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Users\ks\Downloads\agh\"/>
    </mc:Choice>
  </mc:AlternateContent>
  <xr:revisionPtr revIDLastSave="0" documentId="13_ncr:11_{1CE435F8-81E6-4458-AD63-B82CA4A3043B}" xr6:coauthVersionLast="45" xr6:coauthVersionMax="45" xr10:uidLastSave="{00000000-0000-0000-0000-000000000000}"/>
  <bookViews>
    <workbookView xWindow="885" yWindow="1485" windowWidth="28800" windowHeight="15885" xr2:uid="{00000000-000D-0000-FFFF-FFFF00000000}"/>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8" i="7" l="1"/>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4" i="7"/>
  <c r="B43" i="7"/>
  <c r="B46" i="7"/>
  <c r="B45" i="7"/>
  <c r="T2" i="7"/>
  <c r="T45"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E45" i="7" s="1"/>
  <c r="D2" i="7"/>
  <c r="U45" i="7"/>
  <c r="Q3" i="7" l="1"/>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2" authorId="0" shapeId="0" xr:uid="{00000000-0006-0000-00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xr:uid="{00000000-0006-0000-00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xr:uid="{00000000-0006-0000-0000-00000300000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xr:uid="{00000000-0006-0000-0000-00000400000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xr:uid="{00000000-0006-0000-0000-000005000000}">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xr:uid="{00000000-0006-0000-00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xr:uid="{00000000-0006-0000-00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xr:uid="{00000000-0006-0000-00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xr:uid="{00000000-0006-0000-0000-00000900000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0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xr:uid="{00000000-0006-0000-00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shapeId="0" xr:uid="{00000000-0006-0000-00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xr:uid="{00000000-0006-0000-00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TonyAdmin</author>
    <author>Tony C.</author>
    <author>Tony</author>
  </authors>
  <commentList>
    <comment ref="A2" authorId="0" shapeId="0" xr:uid="{00000000-0006-0000-0100-00000100000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xr:uid="{00000000-0006-0000-0100-00000200000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xr:uid="{00000000-0006-0000-0100-00000300000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xr:uid="{00000000-0006-0000-0100-00000400000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xr:uid="{00000000-0006-0000-0100-00000500000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xr:uid="{00000000-0006-0000-0100-00000600000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xr:uid="{00000000-0006-0000-0100-00000700000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xr:uid="{00000000-0006-0000-0100-00000800000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xr:uid="{00000000-0006-0000-0100-00000900000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100-00000A00000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xr:uid="{00000000-0006-0000-0100-00000B00000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xr:uid="{00000000-0006-0000-0100-00000C00000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xr:uid="{00000000-0006-0000-0100-00000D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xr:uid="{00000000-0006-0000-0100-00000E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xr:uid="{00000000-0006-0000-0100-00000F00000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xr:uid="{00000000-0006-0000-0100-00001000000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xr:uid="{00000000-0006-0000-0100-00001100000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xr:uid="{00000000-0006-0000-0100-00001200000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xr:uid="{00000000-0006-0000-0100-00001300000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xr:uid="{00000000-0006-0000-0100-00001400000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xr:uid="{00000000-0006-0000-0100-00001500000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xr:uid="{00000000-0006-0000-0100-00001600000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xr:uid="{00000000-0006-0000-0100-00001700000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xr:uid="{00000000-0006-0000-0100-00001800000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xr:uid="{00000000-0006-0000-0100-00001900000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xr:uid="{00000000-0006-0000-0100-00001A00000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xr:uid="{00000000-0006-0000-0100-00001B00000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xr:uid="{00000000-0006-0000-0100-00001C00000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2" authorId="0" shapeId="0" xr:uid="{00000000-0006-0000-03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xr:uid="{00000000-0006-0000-0300-00000200000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xr:uid="{00000000-0006-0000-0300-00000300000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xr:uid="{00000000-0006-0000-0300-00000400000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xr:uid="{00000000-0006-0000-0300-00000500000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xr:uid="{00000000-0006-0000-0300-00000600000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xr:uid="{00000000-0006-0000-0300-00000700000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xr:uid="{00000000-0006-0000-0300-00000800000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xr:uid="{00000000-0006-0000-0300-00000900000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xr:uid="{00000000-0006-0000-0300-00000A00000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xr:uid="{00000000-0006-0000-0300-00000B00000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xr:uid="{00000000-0006-0000-0300-00000C00000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xr:uid="{00000000-0006-0000-0300-00000D00000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xr:uid="{00000000-0006-0000-0300-00000E00000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xr:uid="{00000000-0006-0000-0300-00000F00000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xr:uid="{00000000-0006-0000-0300-00001000000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xr:uid="{00000000-0006-0000-0300-00001100000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xr:uid="{00000000-0006-0000-0300-00001200000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xr:uid="{00000000-0006-0000-0300-00001300000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xr:uid="{00000000-0006-0000-0300-00001400000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xr:uid="{00000000-0006-0000-0300-00001500000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xr:uid="{00000000-0006-0000-0300-00001600000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1" authorId="0" shapeId="0" xr:uid="{00000000-0006-0000-04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xr:uid="{00000000-0006-0000-0400-00000200000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xr:uid="{00000000-0006-0000-0400-00000300000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TonyAdmin</author>
  </authors>
  <commentList>
    <comment ref="A1" authorId="0" shapeId="0" xr:uid="{00000000-0006-0000-0500-00000100000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<sst xmlns="http://schemas.openxmlformats.org/spreadsheetml/2006/main" count="293" uniqueCount="202">
  <si>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</si>
  <si>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</si>
  <si>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</si>
  <si>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</si>
  <si>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</si>
  <si>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</si>
  <si>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</si>
  <si>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</si>
  <si>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</si>
  <si>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</si>
  <si>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</si>
  <si>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</si>
  <si>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</si>
  <si>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</si>
  <si>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</si>
  <si>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</si>
  <si>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</si>
  <si>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</si>
  <si>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</si>
  <si>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</si>
  <si>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</si>
  <si>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</si>
  <si>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</si>
  <si>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</si>
  <si>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</si>
  <si>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</si>
  <si>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</si>
  <si>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</si>
  <si>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</si>
  <si>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</si>
  <si>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</si>
  <si>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</si>
  <si>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</si>
  <si>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</si>
  <si>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</si>
  <si>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</si>
  <si>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</si>
  <si>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</si>
  <si>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</si>
  <si>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</si>
  <si>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</si>
  <si>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</si>
  <si>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</si>
  <si>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</si>
  <si>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</si>
  <si>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</si>
  <si>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</si>
  <si>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</si>
  <si>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</si>
  <si>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</si>
  <si>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</si>
  <si>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</si>
  <si>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</si>
  <si>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</si>
  <si>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</si>
  <si>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</si>
  <si>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</si>
  <si>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</si>
  <si>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</si>
  <si>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</si>
  <si>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</si>
  <si>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</si>
  <si>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</si>
  <si>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</si>
  <si>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</si>
  <si>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</si>
  <si>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</si>
  <si>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</si>
  <si>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</si>
  <si>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</si>
  <si>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</si>
  <si>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</si>
  <si>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</si>
  <si>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</si>
  <si>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</si>
  <si>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</si>
  <si>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</si>
  <si>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</si>
  <si>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</si>
  <si>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</si>
  <si>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</si>
  <si>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</si>
  <si>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</si>
  <si>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</si>
  <si>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</si>
  <si>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</si>
  <si>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</si>
  <si>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</si>
  <si>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</si>
  <si>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</si>
  <si>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</si>
  <si>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</si>
  <si>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</si>
  <si>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</si>
  <si>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</si>
  <si>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</si>
  <si>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</si>
  <si>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</si>
  <si>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</si>
  <si>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</si>
  <si>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</si>
  <si>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</si>
  <si>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</si>
  <si>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</si>
  <si>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</si>
  <si>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</si>
  <si>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</si>
  <si>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</si>
  <si>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</si>
  <si>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</si>
  <si>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</si>
  <si>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</si>
  <si>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</si>
  <si>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</si>
  <si>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</si>
  <si>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</si>
  <si>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</si>
  <si>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</si>
  <si>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</si>
  <si>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</si>
  <si>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</si>
  <si>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</si>
  <si>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</si>
  <si>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</si>
  <si>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</si>
  <si>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</si>
  <si>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</si>
  <si>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</si>
  <si>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</si>
  <si>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</si>
  <si>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</si>
  <si>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</si>
  <si>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</si>
  <si>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</si>
  <si>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</si>
  <si>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</si>
  <si>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</si>
  <si>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</si>
  <si>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</si>
  <si>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</si>
  <si>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</si>
  <si>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</si>
  <si>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</si>
  <si>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</si>
  <si>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</si>
  <si>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</si>
  <si>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</si>
  <si>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</si>
  <si>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</si>
  <si>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</si>
  <si>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</si>
  <si>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</si>
  <si>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</si>
  <si>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</si>
  <si>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</si>
  <si>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</si>
  <si>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</si>
  <si>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</si>
  <si>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</si>
  <si>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</si>
  <si>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</si>
  <si>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</si>
  <si>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</si>
  <si>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</si>
  <si>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</si>
  <si>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</si>
  <si>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</si>
  <si>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</si>
  <si>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</si>
  <si>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</si>
  <si>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</si>
  <si>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</si>
  <si>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</si>
  <si>
    <t>Workbook Settings Cell Count</t>
  </si>
  <si>
    <t>Graph History</t>
  </si>
  <si>
    <t>Ann</t>
  </si>
  <si>
    <t>Bob</t>
  </si>
  <si>
    <t>Carol</t>
  </si>
  <si>
    <t>Dave</t>
  </si>
  <si>
    <t>Ed</t>
  </si>
  <si>
    <t>Frank</t>
  </si>
  <si>
    <t>Gary</t>
  </si>
  <si>
    <t>Helen</t>
  </si>
  <si>
    <t>Directed</t>
  </si>
  <si>
    <t>LayoutAlgorithm░The graph was laid out using the Circle layout algorithm.▓GraphDirectedness░The graph is directed.</t>
  </si>
  <si>
    <t>Blue</t>
  </si>
  <si>
    <t>Age</t>
  </si>
  <si>
    <t>Prior parties</t>
  </si>
  <si>
    <t>21</t>
  </si>
  <si>
    <t>24</t>
  </si>
  <si>
    <t>20</t>
  </si>
  <si>
    <t>22</t>
  </si>
  <si>
    <t>Autofill Workbook Results</t>
  </si>
  <si>
    <t>▓0▓0▓0▓True▓Black▓Black▓▓▓0▓0▓0▓0▓0▓False▓▓0▓0▓0▓0▓0▓False▓▓0▓0▓0▓True▓Black▓Black▓▓Prior parties▓0▓7▓0▓3.5▓10▓False▓▓0▓0▓0▓0▓0▓False▓▓0▓0▓0▓0▓0▓False▓▓0▓0▓0▓0▓0▓False</t>
  </si>
  <si>
    <t>Workbook Settings 2</t>
  </si>
  <si>
    <t>LightGray</t>
  </si>
  <si>
    <t>&lt;?xml version="1.0" encoding="utf-8"?&gt;_x000D_
&lt;configuration&gt;_x000D_
  &lt;configSections&gt;_x000D_
    &lt;sectionGroup name="userSettings" type="System.Configuration.UserSettingsGroup, System, Version=2.0.0.0, Culture=neutral, PublicKeyToken=b77a5c561934e089"&gt;_x000D_
      &lt;section name="GraphZoomAndScaleUserSettings"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 name="ColumnGroupUserSettings" type="System.Configuration.ClientSettingsSection, System, Version=2.0.0.0, Culture=neutral, PublicKeyToken=b77a5c561934e089" allowExeDefinition="MachineToLocalUser" requirePermission="false" /&gt;_x000D_
      &lt;section name="AutoFillUserSettings3" type="System.Configuration.ClientSettingsSection, System, Version=2.0.0.0, Culture=neutral, PublicKeyToken=b77a5c561934e089" allowExeDefinition="MachineToLocalUser" requirePermission="false" /&gt;_x000D_
    &lt;/sectionGroup&gt;_x000D_
  &lt;/configSections&gt;_x000D_
  &lt;userSettings&gt;_x000D_
    &lt;GraphZoomAndScaleUserSettings&gt;_x000D_
      &lt;setting name="GraphScale" serializeAs="String"&gt;_x000D_
        &lt;value&gt;1&lt;/value&gt;_x000D_
      &lt;/setting&gt;_x000D_
    &lt;/GraphZoomAndScaleUserSettings&gt;_x000D_
    &lt;GeneralUserSettings4&gt;_x000D_
      &lt;setting name="NewWorkbookGraphDirectedness" serializeAs="String"&gt;_x000D_
        &lt;value&gt;Directed&lt;/value&gt;_x000D_
      &lt;/setting&gt;_x000D_
      &lt;setting name="BackColor" serializeAs="String"&gt;_x000D_
        &lt;value&gt;White&lt;/value&gt;_x000D_
      &lt;/setting&gt;_x000D_
      &lt;setting name="BackgroundImageUri" serializeAs="String"&gt;_x000D_
        &lt;value /&gt;_x000D_
      &lt;/setting&gt;_x000D_
      &lt;setting name="AutoReadWorkbook" serializeAs="String"&gt;_x000D_
        &lt;value&gt;True&lt;/value&gt;_x000D_
      &lt;/setting&gt;_x000D_
      &lt;setting name="SelectedEdgeColor" serializeAs="String"&gt;_x000D_
        &lt;value&gt;Red&lt;/value&gt;_x000D_
      &lt;/setting&gt;_x000D_
      &lt;setting name="VertexAlpha" serializeAs="String"&gt;_x000D_
        &lt;value&gt;100&lt;/value&gt;_x000D_
      &lt;/setting&gt;_x000D_
      &lt;setting name="AxisFont" serializeAs="String"&gt;_x000D_
        &lt;value&gt;Microsoft Sans Serif, 8.25pt&lt;/value&gt;_x000D_
      &lt;/setting&gt;_x000D_
      &lt;setting name="EdgeBezierDisplacementFactor" serializeAs="String"&gt;_x000D_
        &lt;value&gt;0.2&lt;/value&gt;_x000D_
      &lt;/setting&gt;_x000D_
      &lt;setting name="VertexRadius" serializeAs="String"&gt;_x000D_
        &lt;value&gt;1.5&lt;/value&gt;_x000D_
      &lt;/setting&gt;_x000D_
      &lt;setting name="VertexRelativeOuterGlowSize" serializeAs="String"&gt;_x000D_
        &lt;value&gt;3&lt;/value&gt;_x000D_
      &lt;/setting&gt;_x000D_
      &lt;setting name="AutoSelect" serializeAs="String"&gt;_x000D_
        &lt;value&gt;True&lt;/value&gt;_x000D_
      &lt;/setting&gt;_x000D_
      &lt;setting name="EdgeCurveStyle" serializeAs="String"&gt;_x000D_
        &lt;value&gt;Straight&lt;/value&gt;_x000D_
      &lt;/setting&gt;_x000D_
      &lt;setting name="VertexEffect" serializeAs="String"&gt;_x000D_
        &lt;value&gt;None&lt;/value&gt;_x000D_
      &lt;/setting&gt;_x000D_
      &lt;setting name="LabelUserSettings" serializeAs="String"&gt;_x000D_
        &lt;value&gt;Microsoft Sans Serif, 8.25pt	White	BottomCenter	2147483647	2147483647	Black	True	200	Black	86	MiddleCenter&lt;/value&gt;_x000D_
      &lt;/setting&gt;_x000D_
      &lt;setting name="EdgeBundlerStraightening" serializeAs="String"&gt;_x000D_
        &lt;value&gt;0.15&lt;/value&gt;_x000D_
      &lt;/setting&gt;_x000D_
      &lt;setting name="EdgeAlpha" serializeAs="String"&gt;_x000D_
        &lt;value&gt;100&lt;/value&gt;_x000D_
      &lt;/setting&gt;_x000D_
      &lt;setting name="SelectedVertexColor" serializeAs="String"&gt;_x000D_
        &lt;value&gt;Red&lt;/value&gt;_x000D_
      &lt;/setting&gt;_x000D_
      &lt;setting name="VertexColor" serializeAs="String"&gt;_x000D_
        &lt;value&gt;Black&lt;/value&gt;_x000D_
      &lt;/setting&gt;_x000D_
      &lt;setting name="EdgeWidth" serializeAs="String"&gt;_x000D_
        &lt;value&gt;1&lt;/value&gt;_x000D_
      &lt;/setting&gt;_x000D_
      &lt;setting name="VertexShape" serializeAs="String"&gt;_x000D_
        &lt;value&gt;Disk&lt;/value&gt;_x000D_
      &lt;/setting&gt;_x000D_
      &lt;setting name="RelativeArrowSize" serializeAs="String"&gt;_x000D_
        &lt;value&gt;3&lt;/value&gt;_x000D_
      &lt;/setting&gt;_x000D_
      &lt;setting name="VertexImageSize" serializeAs="String"&gt;_x000D_
        &lt;value&gt;100&lt;/value&gt;_x000D_
      &lt;/setting&gt;_x000D_
      &lt;setting name="EdgeColor" serializeAs="String"&gt;_x000D_
        &lt;value&gt;Gray&lt;/value&gt;_x000D_
      &lt;/setting&gt;_x000D_
      &lt;setting name="ReadEdgeLabels" serializeAs="String"&gt;_x000D_
        &lt;value&gt;True&lt;/value&gt;_x000D_
      &lt;/setting&gt;_x000D_
      &lt;setting name="ShowGraphLegend" serializeAs="String"&gt;_x000D_
        &lt;value&gt;False&lt;/value&gt;_x000D_
      &lt;/setting&gt;_x000D_
      &lt;setting name="ShowGraphAxes" serializeAs="String"&gt;_x000D_
        &lt;value&gt;False&lt;/value&gt;_x000D_
      &lt;/setting&gt;_x000D_
      &lt;setting name="ReadVertexLabels" serializeAs="String"&gt;_x000D_
        &lt;value&gt;True&lt;/value&gt;_x000D_
      &lt;/setting&gt;_x000D_
      &lt;setting name="ReadGroupLabels" serializeAs="String"&gt;_x000D_
        &lt;value&gt;True&lt;/value&gt;_x000D_
      &lt;/setting&gt;_x000D_
    &lt;/GeneralUserSettings4&gt;_x000D_
    &lt;LayoutUserSettings&gt;_x000D_
      &lt;setting name="Layout" serializeAs="String"&gt;_x000D_
        &lt;value&gt;Null&lt;/value&gt;_x000D_
      &lt;/setting&gt;_x000D_
    &lt;/LayoutUserSettings&gt;_x000D_
    &lt;ColumnGroupUserSettings&gt;_x000D_
      &lt;setting name="ColumnGroupsToShow" serializeAs="String"&gt;_x000D_
        &lt;value&gt;EdgeDoNotHide, EdgeVisualAttributes, EdgeLabels, EdgeOtherColumns, VertexDoNotHide, VertexVisualAttributes, VertexLabels, VertexOtherColumns, GroupDoNotHide, GroupVisualAttributes, GroupLabels, GroupEdgeDoNotHide&lt;/value&gt;_x000D_
      &lt;/setting&gt;_x000D_
    &lt;/ColumnGroupUserSettings&gt;_x000D_
    &lt;AutoFillUserSettings3&gt;_x000D_
      &lt;setting name="VertexLabelSourceColumnName" serializeAs="String"&gt;_x000D_
        &lt;value&gt;Vertex&lt;/value&gt;_x000D_
      &lt;/setting&gt;_x000D_
      &lt;setting name="EdgeAlphaSourceColumnName" serializeAs="String"&gt;_x000D_
        &lt;value /&gt;_x000D_
      &lt;/setting&gt;_x000D_
      &lt;setting name="GroupLabelSourceColumnName" serializeAs="String"&gt;_x000D_
        &lt;value /&gt;_x000D_
      &lt;/setting&gt;_x000D_
      &lt;setting name="VertexRadiusSourceColumnName" serializeAs="String"&gt;_x000D_
        &lt;value&gt;Prior parties&lt;/value&gt;_x000D_
      &lt;/setting&gt;_x000D_
      &lt;setting name="VertexYSourceColumnName" serializeAs="String"&gt;_x000D_
        &lt;value /&gt;_x000D_
      &lt;/s</t>
  </si>
  <si>
    <t>DeepPink</t>
  </si>
  <si>
    <t>mail</t>
  </si>
  <si>
    <t>phone</t>
  </si>
  <si>
    <t>in person</t>
  </si>
  <si>
    <t>etting&gt;_x000D_
      &lt;setting name="VertexXSourceColumnName" serializeAs="String"&gt;_x000D_
        &lt;value /&gt;_x000D_
      &lt;/setting&gt;_x000D_
      &lt;setting name="VertexLabelPositionSourceColumnName" serializeAs="String"&gt;_x000D_
        &lt;value /&gt;_x000D_
      &lt;/setting&gt;_x000D_
      &lt;setting name="EdgeLabelSourceColumnName" serializeAs="String"&gt;_x000D_
        &lt;value /&gt;_x000D_
      &lt;/setting&gt;_x000D_
      &lt;setting name="VertexColorSourceColumnName" serializeAs="String"&gt;_x000D_
        &lt;value /&gt;_x000D_
      &lt;/setting&gt;_x000D_
      &lt;setting name="EdgeVisibilitySourceColumnName" serializeAs="String"&gt;_x000D_
        &lt;value /&gt;_x000D_
      &lt;/setting&gt;_x000D_
      &lt;setting name="VertexLayoutOrderSourceColumnName" serializeAs="String"&gt;_x000D_
        &lt;value /&gt;_x000D_
      &lt;/setting&gt;_x000D_
      &lt;setting name="VertexToolTipSourceColumnName" serializeAs="String"&gt;_x000D_
        &lt;value&gt;Age&lt;/value&gt;_x000D_
      &lt;/setting&gt;_x000D_
      &lt;setting name="VertexAlphaSourceColumnName" serializeAs="String"&gt;_x000D_
        &lt;value /&gt;_x000D_
      &lt;/setting&gt;_x000D_
      &lt;setting name="GroupCollapsedSourceColumnName" serializeAs="String"&gt;_x000D_
        &lt;value /&gt;_x000D_
      &lt;/setting&gt;_x000D_
      &lt;setting name="VertexPolarRSourceColumnName" serializeAs="String"&gt;_x000D_
        &lt;value /&gt;_x000D_
      &lt;/setting&gt;_x000D_
      &lt;setting name="EdgeWidthSourceColumnName" serializeAs="String"&gt;_x000D_
        &lt;value /&gt;_x000D_
      &lt;/setting&gt;_x000D_
      &lt;setting name="VertexShapeSourceColumnName" serializeAs="String"&gt;_x000D_
        &lt;value /&gt;_x000D_
      &lt;/setting&gt;_x000D_
      &lt;setting name="EdgeStyleSourceColumnName" serializeAs="String"&gt;_x000D_
        &lt;value /&gt;_x000D_
      &lt;/setting&gt;_x000D_
      &lt;setting name="EdgeColorSourceColumnName" serializeAs="String"&gt;_x000D_
        &lt;value /&gt;_x000D_
      &lt;/setting&gt;_x000D_
      &lt;setting name="VertexPolarAngleSourceColumnName" serializeAs="String"&gt;_x000D_
        &lt;value /&gt;_x000D_
      &lt;/setting&gt;_x000D_
      &lt;setting name="VertexLabelFillColorSourceColumnName" serializeAs="String"&gt;_x000D_
        &lt;value /&gt;_x000D_
      &lt;/setting&gt;_x000D_
      &lt;setting name="VertexVisibilitySourceColumnName" serializeAs="String"&gt;_x000D_
        &lt;value /&gt;_x000D_
      &lt;/setting&gt;_x000D_
      &lt;setting name="VertexYDetails" serializeAs="String"&gt;_x000D_
        &lt;value&gt;False	False	0	0	0	9999	False	False&lt;/value&gt;_x000D_
      &lt;/setting&gt;_x000D_
      &lt;setting name="VertexLayoutOrderDetails" serializeAs="String"&gt;_x000D_
        &lt;value&gt;False	False	0	0	1	9999	False	False&lt;/value&gt;_x000D_
      &lt;/setting&gt;_x000D_
      &lt;setting name="EdgeStyleDetails" serializeAs="String"&gt;_x000D_
        &lt;value&gt;GreaterThan	0	Solid	Dash&lt;/value&gt;_x000D_
      &lt;/setting&gt;_x000D_
      &lt;setting name="VertexColorDetails" serializeAs="String"&gt;_x000D_
        &lt;value&gt;False	False	0	10	241, 137, 4	46, 7, 195	False	False	True&lt;/value&gt;_x000D_
      &lt;/setting&gt;_x000D_
      &lt;setting name="EdgeAlphaDetails" serializeAs="String"&gt;_x000D_
        &lt;value&gt;False	False	0	100	10	100	False	False&lt;/value&gt;_x000D_
      &lt;/setting&gt;_x000D_
      &lt;setting name="VertexLabelPositionDetails" serializeAs="String"&gt;_x000D_
        &lt;value&gt;GreaterThan	0	Bottom Center	Nowhere&lt;/value&gt;_x000D_
      &lt;/setting&gt;_x000D_
      &lt;setting name="VertexVisibilityDetails" serializeAs="String"&gt;_x000D_
        &lt;value&gt;GreaterThan	0	Show if in an Edge	Skip&lt;/value&gt;_x000D_
      &lt;/setting&gt;_x000D_
      &lt;setting name="VertexPolarAngleDetails" serializeAs="String"&gt;_x000D_
        &lt;value&gt;False	False	0	0	0	359	False	False&lt;/value&gt;_x000D_
      &lt;/setting&gt;_x000D_
      &lt;setting name="VertexAlphaDetails" serializeAs="String"&gt;_x000D_
        &lt;value&gt;False	False	0	100	10	100	False	False&lt;/value&gt;_x000D_
      &lt;/setting&gt;_x000D_
      &lt;setting name="EdgeWidthDetails" serializeAs="String"&gt;_x000D_
        &lt;value&gt;False	False	1	10	1	10	False	False&lt;/value&gt;_x000D_
      &lt;/setting&gt;_x000D_
      &lt;setting name="GroupCollapsedDetails" serializeAs="String"&gt;_x000D_
        &lt;value&gt;GreaterThan	0	Yes	No&lt;/value&gt;_x000D_
      &lt;/setting&gt;_x000D_
      &lt;setting name="VertexRadiusDetails" serializeAs="String"&gt;_x000D_
        &lt;value&gt;False	False	0	0	3.5	10	False	False&lt;/value&gt;_x000D_
      &lt;/setting&gt;_x000D_
      &lt;setting name="VertexShapeDetails" serializeAs="String"&gt;_x000D_
        &lt;value&gt;GreaterThan	0	Solid Square	Disk&lt;/value&gt;_x000D_
      &lt;/setting&gt;_x000D_
      &lt;setting name="VertexXDetails" serializeAs="String"&gt;_x000D_
        &lt;value&gt;False	False	0	0	0	9999	False	False&lt;/value&gt;_x000D_
      &lt;/setting&gt;_x000D_
      &lt;setting name="EdgeColorDetails" serializeAs="String"&gt;_x000D_
        &lt;value&gt;False	False	0	10	241, 137, 4	46, 7, 195	False	False	True&lt;/value&gt;_x000D_
      &lt;/setting&gt;_x000D_
      &lt;setting name="VertexLabelFillColorDetails" serializeAs="String"&gt;_x000D_
        &lt;value&gt;False	False	0	10	241, 137, 4	46, 7, 195	False	False	True&lt;/value&gt;_x000D_
      &lt;/setting&gt;_x000D_
      &lt;setting name="EdgeVisibilityDetails" serializeAs="String"&gt;_x000D_
        &lt;value&gt;GreaterThan	0	Show	Skip&lt;/value&gt;_x000D_
      &lt;/setting&gt;_x000D_
      &lt;setting name="VertexPolarRDetails" serializeAs="String"&gt;_x000D_
        &lt;value&gt;False	False	0	0	0	1	False	False&lt;/value&gt;_x000D_
      &lt;/setting&gt;_x000D_
    &lt;/AutoFillUserSettings3&gt;_x000D_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</si>
</sst>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00"/>
    <numFmt numFmtId="167" formatCode="0.000"/>
  </numFmts>
  <fonts count="13"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111">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49" fontId="0" fillId="0" borderId="0" xfId="3" applyNumberFormat="1" applyFont="1" applyAlignment="1">
      <alignment wrapText="1"/>
    </xf>
    <xf numFmtId="1" fontId="5" fillId="4" borderId="1" xfId="5" applyNumberFormat="1" applyAlignment="1"/>
    <xf numFmtId="167" fontId="5" fillId="4" borderId="1" xfId="5" applyNumberFormat="1" applyAlignment="1"/>
    <xf numFmtId="167" fontId="11" fillId="4" borderId="1" xfId="5" applyNumberFormat="1" applyFont="1" applyAlignment="1"/>
    <xf numFmtId="0" fontId="0" fillId="5" borderId="1" xfId="4" applyNumberFormat="1" applyFont="1" applyAlignment="1">
      <alignment wrapText="1"/>
    </xf>
    <xf numFmtId="164"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64" fontId="0" fillId="3" borderId="1" xfId="7" applyNumberFormat="1" applyFont="1" applyAlignment="1">
      <alignment wrapText="1"/>
    </xf>
    <xf numFmtId="165" fontId="0" fillId="3" borderId="1" xfId="7" applyNumberFormat="1" applyFont="1" applyAlignment="1">
      <alignment wrapText="1"/>
    </xf>
    <xf numFmtId="166"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5" fillId="2" borderId="1" xfId="1" applyNumberFormat="1"/>
    <xf numFmtId="0" fontId="6" fillId="6" borderId="1" xfId="6"/>
    <xf numFmtId="0" fontId="11"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1" fontId="0" fillId="5" borderId="1" xfId="4" applyNumberFormat="1" applyFont="1"/>
    <xf numFmtId="0" fontId="0" fillId="2" borderId="1" xfId="1" applyNumberFormat="1" applyFont="1"/>
    <xf numFmtId="49" fontId="0" fillId="0" borderId="0" xfId="3" applyNumberFormat="1" applyFont="1" applyBorder="1" applyAlignment="1">
      <alignment wrapText="1"/>
    </xf>
    <xf numFmtId="0" fontId="0" fillId="5" borderId="11" xfId="4" applyNumberFormat="1" applyFont="1" applyBorder="1" applyAlignment="1">
      <alignment wrapText="1"/>
    </xf>
    <xf numFmtId="164" fontId="0" fillId="5" borderId="11" xfId="4" applyNumberFormat="1" applyFont="1" applyBorder="1" applyAlignment="1">
      <alignment wrapText="1"/>
    </xf>
    <xf numFmtId="0" fontId="11" fillId="5" borderId="11" xfId="4" applyNumberFormat="1" applyFont="1" applyBorder="1" applyAlignment="1">
      <alignment wrapText="1"/>
    </xf>
    <xf numFmtId="1" fontId="0" fillId="5" borderId="11" xfId="4" applyNumberFormat="1" applyFont="1" applyBorder="1" applyAlignment="1">
      <alignment wrapText="1"/>
    </xf>
    <xf numFmtId="49" fontId="6" fillId="6" borderId="11" xfId="6" applyNumberFormat="1" applyBorder="1" applyAlignment="1">
      <alignment wrapText="1"/>
    </xf>
    <xf numFmtId="0" fontId="6" fillId="6" borderId="11" xfId="6" applyNumberFormat="1" applyBorder="1" applyAlignment="1">
      <alignment wrapText="1"/>
    </xf>
    <xf numFmtId="0" fontId="5" fillId="4" borderId="11" xfId="5" applyNumberFormat="1" applyBorder="1" applyAlignment="1">
      <alignment wrapText="1"/>
    </xf>
    <xf numFmtId="0" fontId="11" fillId="2" borderId="11" xfId="1" applyNumberFormat="1" applyFont="1" applyBorder="1" applyAlignment="1">
      <alignment wrapText="1"/>
    </xf>
    <xf numFmtId="0" fontId="0" fillId="0" borderId="0" xfId="2" applyNumberFormat="1" applyFont="1" applyBorder="1" applyAlignment="1">
      <alignment wrapText="1"/>
    </xf>
    <xf numFmtId="164" fontId="0" fillId="3" borderId="1" xfId="7" applyNumberFormat="1" applyFont="1"/>
    <xf numFmtId="165" fontId="0" fillId="3" borderId="1" xfId="7" applyNumberFormat="1" applyFont="1"/>
    <xf numFmtId="166" fontId="0" fillId="3" borderId="1" xfId="7" applyNumberFormat="1" applyFont="1"/>
    <xf numFmtId="1" fontId="11" fillId="4" borderId="1" xfId="5" applyNumberFormat="1" applyFont="1" applyAlignment="1"/>
    <xf numFmtId="0" fontId="0" fillId="0" borderId="0" xfId="2" applyNumberFormat="1" applyFont="1"/>
    <xf numFmtId="49" fontId="0" fillId="0" borderId="0" xfId="3" applyNumberFormat="1" applyFont="1" applyBorder="1"/>
    <xf numFmtId="0" fontId="0" fillId="5" borderId="11" xfId="4" applyNumberFormat="1" applyFont="1" applyBorder="1"/>
    <xf numFmtId="1" fontId="0" fillId="5" borderId="11" xfId="4" applyNumberFormat="1" applyFont="1" applyBorder="1"/>
    <xf numFmtId="49" fontId="6" fillId="6" borderId="11" xfId="6" applyNumberFormat="1" applyBorder="1"/>
    <xf numFmtId="0" fontId="6" fillId="6" borderId="11" xfId="6" applyNumberFormat="1" applyBorder="1"/>
    <xf numFmtId="164" fontId="0" fillId="3" borderId="11" xfId="7" applyNumberFormat="1" applyFont="1" applyBorder="1"/>
    <xf numFmtId="165" fontId="0" fillId="3" borderId="11" xfId="7" applyNumberFormat="1" applyFont="1" applyBorder="1"/>
    <xf numFmtId="0" fontId="0" fillId="3" borderId="11" xfId="7" applyNumberFormat="1" applyFont="1" applyBorder="1"/>
    <xf numFmtId="166" fontId="0" fillId="3" borderId="11" xfId="7" applyNumberFormat="1" applyFont="1" applyBorder="1"/>
    <xf numFmtId="1" fontId="11" fillId="4" borderId="11" xfId="5" applyNumberFormat="1" applyFont="1" applyBorder="1" applyAlignment="1"/>
    <xf numFmtId="167" fontId="11" fillId="4" borderId="11" xfId="5" applyNumberFormat="1" applyFont="1" applyBorder="1" applyAlignment="1"/>
    <xf numFmtId="167" fontId="5" fillId="4" borderId="11" xfId="5" applyNumberFormat="1" applyBorder="1" applyAlignment="1"/>
    <xf numFmtId="0" fontId="0" fillId="2" borderId="11" xfId="1" applyNumberFormat="1" applyFont="1" applyBorder="1"/>
    <xf numFmtId="0" fontId="0" fillId="0" borderId="0" xfId="2" applyNumberFormat="1" applyFont="1" applyBorder="1"/>
  </cellXfs>
  <cellStyles count="9">
    <cellStyle name="NodeXL Do Not Edit" xfId="1" xr:uid="{00000000-0005-0000-0000-000000000000}"/>
    <cellStyle name="NodeXL Graph Metric" xfId="5" xr:uid="{00000000-0005-0000-0000-000001000000}"/>
    <cellStyle name="NodeXL Graph Metric Separator" xfId="8" xr:uid="{00000000-0005-0000-0000-000002000000}"/>
    <cellStyle name="NodeXL Label" xfId="6" xr:uid="{00000000-0005-0000-0000-000003000000}"/>
    <cellStyle name="NodeXL Layout" xfId="7" xr:uid="{00000000-0005-0000-0000-000004000000}"/>
    <cellStyle name="NodeXL Other Column" xfId="2" xr:uid="{00000000-0005-0000-0000-000005000000}"/>
    <cellStyle name="NodeXL Required" xfId="3" xr:uid="{00000000-0005-0000-0000-000006000000}"/>
    <cellStyle name="NodeXL Visual Property" xfId="4" xr:uid="{00000000-0005-0000-0000-000007000000}"/>
    <cellStyle name="Normalny" xfId="0" builtinId="0"/>
  </cellStyles>
  <dxfs count="99">
    <dxf>
      <numFmt numFmtId="2" formatCode="0.00"/>
    </dxf>
    <dxf>
      <numFmt numFmtId="2" formatCode="0.0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numFmt numFmtId="166" formatCode="#,##0.000"/>
    </dxf>
    <dxf>
      <numFmt numFmtId="166" formatCode="#,##0.000"/>
    </dxf>
    <dxf>
      <numFmt numFmtId="0" formatCode="General"/>
    </dxf>
    <dxf>
      <numFmt numFmtId="165" formatCode="#,##0.0"/>
    </dxf>
    <dxf>
      <numFmt numFmtId="165" formatCode="#,##0.0"/>
    </dxf>
    <dxf>
      <numFmt numFmtId="164"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164" formatCode="0.0"/>
    </dxf>
    <dxf>
      <numFmt numFmtId="0" formatCode="General"/>
    </dxf>
    <dxf>
      <numFmt numFmtId="0" formatCode="General"/>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1" defaultTableStyle="TableStyleMedium9" defaultPivotStyle="PivotStyleLight16">
    <tableStyle name="NodeXL Table" pivot="0" count="1" xr9:uid="{00000000-0011-0000-FFFF-FFFF00000000}">
      <tableStyleElement type="headerRow" dxfId="9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Metrics'!$E$2:$E$45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CEB5-4FE6-A456-1240383DF2A4}"/>
            </c:ext>
          </c:extLst>
        </c:ser>
        <c:dLbls>
          <c:showLegendKey val="0"/>
          <c:showVal val="0"/>
          <c:showCatName val="0"/>
          <c:showSerName val="0"/>
          <c:showPercent val="0"/>
          <c:showBubbleSize val="0"/>
        </c:dLbls>
        <c:gapWidth val="0"/>
        <c:axId val="119107584"/>
        <c:axId val="119109888"/>
      </c:barChart>
      <c:catAx>
        <c:axId val="119107584"/>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19109888"/>
        <c:crosses val="autoZero"/>
        <c:auto val="1"/>
        <c:lblAlgn val="ctr"/>
        <c:lblOffset val="100"/>
        <c:noMultiLvlLbl val="0"/>
      </c:catAx>
      <c:valAx>
        <c:axId val="11910988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910758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A99C-4DB9-BBF5-B10BC3D3E0C7}"/>
            </c:ext>
          </c:extLst>
        </c:ser>
        <c:dLbls>
          <c:showLegendKey val="0"/>
          <c:showVal val="0"/>
          <c:showCatName val="0"/>
          <c:showSerName val="0"/>
          <c:showPercent val="0"/>
          <c:showBubbleSize val="0"/>
        </c:dLbls>
        <c:gapWidth val="0"/>
        <c:axId val="124987648"/>
        <c:axId val="124998016"/>
      </c:barChart>
      <c:catAx>
        <c:axId val="124987648"/>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24998016"/>
        <c:crosses val="autoZero"/>
        <c:auto val="1"/>
        <c:lblAlgn val="ctr"/>
        <c:lblOffset val="100"/>
        <c:noMultiLvlLbl val="0"/>
      </c:catAx>
      <c:valAx>
        <c:axId val="1249980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49876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5EA1-420B-87BE-C088DB6486BB}"/>
            </c:ext>
          </c:extLst>
        </c:ser>
        <c:dLbls>
          <c:showLegendKey val="0"/>
          <c:showVal val="0"/>
          <c:showCatName val="0"/>
          <c:showSerName val="0"/>
          <c:showPercent val="0"/>
          <c:showBubbleSize val="0"/>
        </c:dLbls>
        <c:gapWidth val="0"/>
        <c:axId val="125026688"/>
        <c:axId val="125028608"/>
      </c:barChart>
      <c:catAx>
        <c:axId val="125026688"/>
        <c:scaling>
          <c:orientation val="minMax"/>
        </c:scaling>
        <c:delete val="1"/>
        <c:axPos val="b"/>
        <c:title>
          <c:tx>
            <c:rich>
              <a:bodyPr/>
              <a:lstStyle/>
              <a:p>
                <a:pPr>
                  <a:defRPr/>
                </a:pPr>
                <a:r>
                  <a:rPr lang="en-US"/>
                  <a:t>Out-Degree</a:t>
                </a:r>
              </a:p>
            </c:rich>
          </c:tx>
          <c:layout>
            <c:manualLayout>
              <c:xMode val="edge"/>
              <c:yMode val="edge"/>
              <c:x val="0.41379516818709683"/>
              <c:y val="0.80898890864450279"/>
            </c:manualLayout>
          </c:layout>
          <c:overlay val="0"/>
        </c:title>
        <c:numFmt formatCode="#,##0.00" sourceLinked="1"/>
        <c:majorTickMark val="out"/>
        <c:minorTickMark val="none"/>
        <c:tickLblPos val="none"/>
        <c:crossAx val="125028608"/>
        <c:crosses val="autoZero"/>
        <c:auto val="1"/>
        <c:lblAlgn val="ctr"/>
        <c:lblOffset val="100"/>
        <c:noMultiLvlLbl val="0"/>
      </c:catAx>
      <c:valAx>
        <c:axId val="1250286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502668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C8EB-496C-96DE-781A6A52A547}"/>
            </c:ext>
          </c:extLst>
        </c:ser>
        <c:dLbls>
          <c:showLegendKey val="0"/>
          <c:showVal val="0"/>
          <c:showCatName val="0"/>
          <c:showSerName val="0"/>
          <c:showPercent val="0"/>
          <c:showBubbleSize val="0"/>
        </c:dLbls>
        <c:gapWidth val="0"/>
        <c:axId val="122489088"/>
        <c:axId val="122503552"/>
      </c:barChart>
      <c:catAx>
        <c:axId val="122489088"/>
        <c:scaling>
          <c:orientation val="minMax"/>
        </c:scaling>
        <c:delete val="1"/>
        <c:axPos val="b"/>
        <c:title>
          <c:tx>
            <c:rich>
              <a:bodyPr/>
              <a:lstStyle/>
              <a:p>
                <a:pPr>
                  <a:defRPr/>
                </a:pPr>
                <a:r>
                  <a:rPr lang="en-US"/>
                  <a:t>Betweenness Centrality</a:t>
                </a:r>
              </a:p>
            </c:rich>
          </c:tx>
          <c:layout>
            <c:manualLayout>
              <c:xMode val="edge"/>
              <c:yMode val="edge"/>
              <c:x val="0.32728710116056126"/>
              <c:y val="0.82619320971975252"/>
            </c:manualLayout>
          </c:layout>
          <c:overlay val="0"/>
        </c:title>
        <c:numFmt formatCode="#,##0.00" sourceLinked="1"/>
        <c:majorTickMark val="out"/>
        <c:minorTickMark val="none"/>
        <c:tickLblPos val="none"/>
        <c:crossAx val="122503552"/>
        <c:crosses val="autoZero"/>
        <c:auto val="1"/>
        <c:lblAlgn val="ctr"/>
        <c:lblOffset val="100"/>
        <c:noMultiLvlLbl val="0"/>
      </c:catAx>
      <c:valAx>
        <c:axId val="12250355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248908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A2FB-47F1-8160-4E5E044E2C72}"/>
            </c:ext>
          </c:extLst>
        </c:ser>
        <c:dLbls>
          <c:showLegendKey val="0"/>
          <c:showVal val="0"/>
          <c:showCatName val="0"/>
          <c:showSerName val="0"/>
          <c:showPercent val="0"/>
          <c:showBubbleSize val="0"/>
        </c:dLbls>
        <c:gapWidth val="0"/>
        <c:axId val="122548608"/>
        <c:axId val="122550528"/>
      </c:barChart>
      <c:catAx>
        <c:axId val="122548608"/>
        <c:scaling>
          <c:orientation val="minMax"/>
        </c:scaling>
        <c:delete val="1"/>
        <c:axPos val="b"/>
        <c:title>
          <c:tx>
            <c:rich>
              <a:bodyPr/>
              <a:lstStyle/>
              <a:p>
                <a:pPr>
                  <a:defRPr/>
                </a:pPr>
                <a:r>
                  <a:rPr lang="en-US"/>
                  <a:t>Closeness Centrality</a:t>
                </a:r>
              </a:p>
            </c:rich>
          </c:tx>
          <c:layout>
            <c:manualLayout>
              <c:xMode val="edge"/>
              <c:yMode val="edge"/>
              <c:x val="0.35406086287408589"/>
              <c:y val="0.82619320971975252"/>
            </c:manualLayout>
          </c:layout>
          <c:overlay val="0"/>
        </c:title>
        <c:numFmt formatCode="#,##0.00" sourceLinked="1"/>
        <c:majorTickMark val="out"/>
        <c:minorTickMark val="none"/>
        <c:tickLblPos val="none"/>
        <c:crossAx val="122550528"/>
        <c:crosses val="autoZero"/>
        <c:auto val="1"/>
        <c:lblAlgn val="ctr"/>
        <c:lblOffset val="100"/>
        <c:noMultiLvlLbl val="0"/>
      </c:catAx>
      <c:valAx>
        <c:axId val="12255052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254860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6BCD-4E70-B6BF-FCBCF91A552F}"/>
            </c:ext>
          </c:extLst>
        </c:ser>
        <c:dLbls>
          <c:showLegendKey val="0"/>
          <c:showVal val="0"/>
          <c:showCatName val="0"/>
          <c:showSerName val="0"/>
          <c:showPercent val="0"/>
          <c:showBubbleSize val="0"/>
        </c:dLbls>
        <c:gapWidth val="0"/>
        <c:axId val="125053184"/>
        <c:axId val="125075840"/>
      </c:barChart>
      <c:catAx>
        <c:axId val="125053184"/>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66"/>
              <c:y val="0.82619320971975252"/>
            </c:manualLayout>
          </c:layout>
          <c:overlay val="0"/>
        </c:title>
        <c:numFmt formatCode="#,##0.00" sourceLinked="1"/>
        <c:majorTickMark val="out"/>
        <c:minorTickMark val="none"/>
        <c:tickLblPos val="none"/>
        <c:crossAx val="125075840"/>
        <c:crosses val="autoZero"/>
        <c:auto val="1"/>
        <c:lblAlgn val="ctr"/>
        <c:lblOffset val="100"/>
        <c:noMultiLvlLbl val="0"/>
      </c:catAx>
      <c:valAx>
        <c:axId val="12507584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505318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7666-4B48-BC71-C502DF785F40}"/>
            </c:ext>
          </c:extLst>
        </c:ser>
        <c:dLbls>
          <c:showLegendKey val="0"/>
          <c:showVal val="0"/>
          <c:showCatName val="0"/>
          <c:showSerName val="0"/>
          <c:showPercent val="0"/>
          <c:showBubbleSize val="0"/>
        </c:dLbls>
        <c:gapWidth val="0"/>
        <c:axId val="125092224"/>
        <c:axId val="125094144"/>
      </c:barChart>
      <c:catAx>
        <c:axId val="125092224"/>
        <c:scaling>
          <c:orientation val="minMax"/>
        </c:scaling>
        <c:delete val="1"/>
        <c:axPos val="b"/>
        <c:title>
          <c:tx>
            <c:rich>
              <a:bodyPr/>
              <a:lstStyle/>
              <a:p>
                <a:pPr>
                  <a:defRPr/>
                </a:pPr>
                <a:r>
                  <a:rPr lang="en-US"/>
                  <a:t>Clustering Coefficient</a:t>
                </a:r>
              </a:p>
            </c:rich>
          </c:tx>
          <c:layout>
            <c:manualLayout>
              <c:xMode val="edge"/>
              <c:yMode val="edge"/>
              <c:x val="0.33732726180313388"/>
              <c:y val="0.82619320971975252"/>
            </c:manualLayout>
          </c:layout>
          <c:overlay val="0"/>
        </c:title>
        <c:numFmt formatCode="#,##0.00" sourceLinked="1"/>
        <c:majorTickMark val="out"/>
        <c:minorTickMark val="none"/>
        <c:tickLblPos val="none"/>
        <c:crossAx val="125094144"/>
        <c:crosses val="autoZero"/>
        <c:auto val="1"/>
        <c:lblAlgn val="ctr"/>
        <c:lblOffset val="100"/>
        <c:noMultiLvlLbl val="0"/>
      </c:catAx>
      <c:valAx>
        <c:axId val="12509414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50922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89DB-425E-943C-AAF875948609}"/>
            </c:ext>
          </c:extLst>
        </c:ser>
        <c:dLbls>
          <c:showLegendKey val="0"/>
          <c:showVal val="0"/>
          <c:showCatName val="0"/>
          <c:showSerName val="0"/>
          <c:showPercent val="0"/>
          <c:showBubbleSize val="0"/>
        </c:dLbls>
        <c:gapWidth val="0"/>
        <c:axId val="125466880"/>
        <c:axId val="125473152"/>
      </c:barChart>
      <c:catAx>
        <c:axId val="125466880"/>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25473152"/>
        <c:crosses val="autoZero"/>
        <c:auto val="1"/>
        <c:lblAlgn val="ctr"/>
        <c:lblOffset val="100"/>
        <c:noMultiLvlLbl val="0"/>
      </c:catAx>
      <c:valAx>
        <c:axId val="12547315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2546688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46E-3"/>
          <c:y val="8.0430855234004828E-3"/>
          <c:w val="0.99723592884220302"/>
          <c:h val="0.98391246548723688"/>
        </c:manualLayout>
      </c:layout>
      <c:barChart>
        <c:barDir val="col"/>
        <c:grouping val="clustered"/>
        <c:varyColors val="0"/>
        <c:ser>
          <c:idx val="1"/>
          <c:order val="0"/>
          <c:tx>
            <c:strRef>
              <c:f>'Overall Metrics'!$U$2</c:f>
              <c:strCache>
                <c:ptCount val="1"/>
                <c:pt idx="0">
                  <c:v>#ADR!</c:v>
                </c:pt>
              </c:strCache>
            </c:strRef>
          </c:tx>
          <c:spPr>
            <a:solidFill>
              <a:schemeClr val="accent1"/>
            </a:solidFill>
          </c:spPr>
          <c:invertIfNegative val="0"/>
          <c:cat>
            <c:numRef>
              <c:f>'Overall Metrics'!$T$2:$T$45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Metrics'!$U$2:$U$45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3194-4582-9D80-1C0A2FFA4A45}"/>
            </c:ext>
          </c:extLst>
        </c:ser>
        <c:dLbls>
          <c:showLegendKey val="0"/>
          <c:showVal val="0"/>
          <c:showCatName val="0"/>
          <c:showSerName val="0"/>
          <c:showPercent val="0"/>
          <c:showBubbleSize val="0"/>
        </c:dLbls>
        <c:gapWidth val="0"/>
        <c:axId val="138400128"/>
        <c:axId val="138401664"/>
      </c:barChart>
      <c:catAx>
        <c:axId val="138400128"/>
        <c:scaling>
          <c:orientation val="minMax"/>
        </c:scaling>
        <c:delete val="1"/>
        <c:axPos val="b"/>
        <c:numFmt formatCode="#,##0.00" sourceLinked="1"/>
        <c:majorTickMark val="out"/>
        <c:minorTickMark val="none"/>
        <c:tickLblPos val="none"/>
        <c:crossAx val="138401664"/>
        <c:crosses val="autoZero"/>
        <c:auto val="1"/>
        <c:lblAlgn val="ctr"/>
        <c:lblOffset val="100"/>
        <c:noMultiLvlLbl val="0"/>
      </c:catAx>
      <c:valAx>
        <c:axId val="138401664"/>
        <c:scaling>
          <c:orientation val="minMax"/>
        </c:scaling>
        <c:delete val="1"/>
        <c:axPos val="l"/>
        <c:numFmt formatCode="General" sourceLinked="1"/>
        <c:majorTickMark val="out"/>
        <c:minorTickMark val="none"/>
        <c:tickLblPos val="none"/>
        <c:crossAx val="138400128"/>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ges" displayName="Edges" ref="A2:N9" totalsRowShown="0" headerRowDxfId="97" dataDxfId="96">
  <autoFilter ref="A2:N9" xr:uid="{00000000-0009-0000-0100-000001000000}"/>
  <tableColumns count="14">
    <tableColumn id="1" xr3:uid="{00000000-0010-0000-0000-000001000000}" name="Vertex 1" dataDxfId="95" dataCellStyle="NodeXL Required"/>
    <tableColumn id="2" xr3:uid="{00000000-0010-0000-0000-000002000000}" name="Vertex 2" dataDxfId="94" dataCellStyle="NodeXL Required"/>
    <tableColumn id="3" xr3:uid="{00000000-0010-0000-0000-000003000000}" name="Color" dataDxfId="93" dataCellStyle="NodeXL Visual Property"/>
    <tableColumn id="4" xr3:uid="{00000000-0010-0000-0000-000004000000}" name="Width" dataDxfId="92" dataCellStyle="NodeXL Visual Property"/>
    <tableColumn id="11" xr3:uid="{00000000-0010-0000-0000-00000B000000}" name="Style" dataDxfId="91" dataCellStyle="NodeXL Visual Property"/>
    <tableColumn id="5" xr3:uid="{00000000-0010-0000-0000-000005000000}" name="Opacity" dataDxfId="90" dataCellStyle="NodeXL Visual Property"/>
    <tableColumn id="6" xr3:uid="{00000000-0010-0000-0000-000006000000}" name="Visibility" dataDxfId="89" dataCellStyle="NodeXL Visual Property"/>
    <tableColumn id="10" xr3:uid="{00000000-0010-0000-0000-00000A000000}" name="Label" dataDxfId="88" dataCellStyle="NodeXL Label"/>
    <tableColumn id="12" xr3:uid="{00000000-0010-0000-0000-00000C000000}" name="Label Text Color" dataDxfId="87" dataCellStyle="NodeXL Label"/>
    <tableColumn id="13" xr3:uid="{00000000-0010-0000-0000-00000D000000}" name="Label Font Size" dataDxfId="86" dataCellStyle="NodeXL Label"/>
    <tableColumn id="14" xr3:uid="{00000000-0010-0000-0000-00000E000000}" name="Reciprocated?" dataDxfId="85" dataCellStyle="NodeXL Graph Metric"/>
    <tableColumn id="7" xr3:uid="{00000000-0010-0000-0000-000007000000}" name="ID" dataDxfId="84" dataCellStyle="NodeXL Do Not Edit"/>
    <tableColumn id="9" xr3:uid="{00000000-0010-0000-0000-000009000000}" name="Dynamic Filter" dataDxfId="83" dataCellStyle="NodeXL Do Not Edit"/>
    <tableColumn id="8" xr3:uid="{00000000-0010-0000-0000-000008000000}" name="Add Your Own Columns Here" dataDxfId="82" dataCellStyle="NodeXL Other Column"/>
  </tableColumns>
  <tableStyleInfo name="NodeXL Tabl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Vertices" displayName="Vertices" ref="A2:AE10" totalsRowShown="0" headerRowDxfId="81" dataDxfId="80">
  <autoFilter ref="A2:AE10" xr:uid="{00000000-0009-0000-0100-000002000000}"/>
  <tableColumns count="31">
    <tableColumn id="1" xr3:uid="{00000000-0010-0000-0100-000001000000}" name="Vertex" dataDxfId="79" dataCellStyle="NodeXL Required"/>
    <tableColumn id="2" xr3:uid="{00000000-0010-0000-0100-000002000000}" name="Color" dataDxfId="78" dataCellStyle="NodeXL Visual Property"/>
    <tableColumn id="5" xr3:uid="{00000000-0010-0000-0100-000005000000}" name="Shape" dataDxfId="77" dataCellStyle="NodeXL Visual Property"/>
    <tableColumn id="6" xr3:uid="{00000000-0010-0000-0100-000006000000}" name="Size" dataDxfId="76" dataCellStyle="NodeXL Visual Property"/>
    <tableColumn id="4" xr3:uid="{00000000-0010-0000-0100-000004000000}" name="Opacity" dataDxfId="75" dataCellStyle="NodeXL Visual Property"/>
    <tableColumn id="7" xr3:uid="{00000000-0010-0000-0100-000007000000}" name="Image File" dataDxfId="74" dataCellStyle="NodeXL Visual Property"/>
    <tableColumn id="3" xr3:uid="{00000000-0010-0000-0100-000003000000}" name="Visibility" dataDxfId="73" dataCellStyle="NodeXL Visual Property"/>
    <tableColumn id="10" xr3:uid="{00000000-0010-0000-0100-00000A000000}" name="Label" dataDxfId="72" dataCellStyle="NodeXL Label"/>
    <tableColumn id="16" xr3:uid="{00000000-0010-0000-0100-000010000000}" name="Label Fill Color" dataDxfId="71" dataCellStyle="NodeXL Label"/>
    <tableColumn id="9" xr3:uid="{00000000-0010-0000-0100-000009000000}" name="Label Position" dataDxfId="70" dataCellStyle="NodeXL Label"/>
    <tableColumn id="8" xr3:uid="{00000000-0010-0000-0100-000008000000}" name="Tooltip" dataDxfId="69" dataCellStyle="NodeXL Label"/>
    <tableColumn id="18" xr3:uid="{00000000-0010-0000-0100-000012000000}" name="Layout Order" dataDxfId="68" dataCellStyle="NodeXL Layout"/>
    <tableColumn id="13" xr3:uid="{00000000-0010-0000-0100-00000D000000}" name="X" dataDxfId="67" dataCellStyle="NodeXL Layout"/>
    <tableColumn id="14" xr3:uid="{00000000-0010-0000-0100-00000E000000}" name="Y" dataDxfId="66" dataCellStyle="NodeXL Layout"/>
    <tableColumn id="12" xr3:uid="{00000000-0010-0000-0100-00000C000000}" name="Locked?" dataDxfId="65" dataCellStyle="NodeXL Layout"/>
    <tableColumn id="19" xr3:uid="{00000000-0010-0000-0100-000013000000}" name="Polar R" dataDxfId="64" dataCellStyle="NodeXL Layout"/>
    <tableColumn id="20" xr3:uid="{00000000-0010-0000-0100-000014000000}" name="Polar Angle" dataDxfId="63" dataCellStyle="NodeXL Layout"/>
    <tableColumn id="21" xr3:uid="{00000000-0010-0000-0100-000015000000}" name="Degree" dataDxfId="62" dataCellStyle="NodeXL Graph Metric"/>
    <tableColumn id="22" xr3:uid="{00000000-0010-0000-0100-000016000000}" name="In-Degree" dataDxfId="61" dataCellStyle="NodeXL Graph Metric"/>
    <tableColumn id="23" xr3:uid="{00000000-0010-0000-0100-000017000000}" name="Out-Degree" dataDxfId="60" dataCellStyle="NodeXL Graph Metric"/>
    <tableColumn id="24" xr3:uid="{00000000-0010-0000-0100-000018000000}" name="Betweenness Centrality" dataDxfId="59" dataCellStyle="NodeXL Graph Metric"/>
    <tableColumn id="25" xr3:uid="{00000000-0010-0000-0100-000019000000}" name="Closeness Centrality" dataDxfId="58" dataCellStyle="NodeXL Graph Metric"/>
    <tableColumn id="26" xr3:uid="{00000000-0010-0000-0100-00001A000000}" name="Eigenvector Centrality" dataDxfId="57" dataCellStyle="NodeXL Graph Metric"/>
    <tableColumn id="15" xr3:uid="{00000000-0010-0000-0100-00000F000000}" name="PageRank" dataDxfId="56" dataCellStyle="NodeXL Graph Metric"/>
    <tableColumn id="27" xr3:uid="{00000000-0010-0000-0100-00001B000000}" name="Clustering Coefficient" dataDxfId="55" dataCellStyle="NodeXL Graph Metric"/>
    <tableColumn id="29" xr3:uid="{00000000-0010-0000-0100-00001D000000}" name="Reciprocated Vertex Pair Ratio" dataDxfId="54" dataCellStyle="NodeXL Graph Metric"/>
    <tableColumn id="11" xr3:uid="{00000000-0010-0000-0100-00000B000000}" name="ID" dataDxfId="53" dataCellStyle="NodeXL Do Not Edit"/>
    <tableColumn id="28" xr3:uid="{00000000-0010-0000-0100-00001C000000}" name="Dynamic Filter" dataDxfId="52" dataCellStyle="NodeXL Do Not Edit"/>
    <tableColumn id="17" xr3:uid="{00000000-0010-0000-0100-000011000000}" name="Add Your Own Columns Here" dataDxfId="51" dataCellStyle="NodeXL Other Column"/>
    <tableColumn id="30" xr3:uid="{5F743593-4862-4334-85E9-B14667A0DC6C}" name="Age" dataDxfId="1"/>
    <tableColumn id="31" xr3:uid="{6ED24DF1-7FEB-45B0-8710-DB023E0F33BB}" name="Prior parties" dataDxfId="0"/>
  </tableColumns>
  <tableStyleInfo name="NodeXL Tabl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Groups" displayName="Groups" ref="A2:X3" insertRow="1" totalsRowShown="0" headerRowDxfId="50">
  <autoFilter ref="A2:X3" xr:uid="{00000000-0009-0000-0100-000004000000}"/>
  <tableColumns count="24">
    <tableColumn id="1" xr3:uid="{00000000-0010-0000-0200-000001000000}" name="Group" dataDxfId="49" dataCellStyle="NodeXL Required"/>
    <tableColumn id="2" xr3:uid="{00000000-0010-0000-0200-000002000000}" name="Vertex Color" dataDxfId="48" dataCellStyle="NodeXL Visual Property"/>
    <tableColumn id="3" xr3:uid="{00000000-0010-0000-0200-000003000000}" name="Vertex Shape" dataDxfId="47" dataCellStyle="NodeXL Visual Property"/>
    <tableColumn id="22" xr3:uid="{00000000-0010-0000-0200-000016000000}" name="Visibility" dataDxfId="46" dataCellStyle="NodeXL Visual Property"/>
    <tableColumn id="4" xr3:uid="{00000000-0010-0000-0200-000004000000}" name="Collapsed?" dataCellStyle="NodeXL Visual Property"/>
    <tableColumn id="18" xr3:uid="{00000000-0010-0000-0200-000012000000}" name="Label" dataDxfId="45" dataCellStyle="NodeXL Label"/>
    <tableColumn id="20" xr3:uid="{00000000-0010-0000-0200-000014000000}" name="Collapsed X" dataCellStyle="NodeXL Layout"/>
    <tableColumn id="21" xr3:uid="{00000000-0010-0000-0200-000015000000}" name="Collapsed Y" dataCellStyle="NodeXL Layout"/>
    <tableColumn id="6" xr3:uid="{00000000-0010-0000-0200-000006000000}" name="ID" dataDxfId="44" dataCellStyle="NodeXL Do Not Edit"/>
    <tableColumn id="19" xr3:uid="{00000000-0010-0000-0200-000013000000}" name="Collapsed Properties" dataDxfId="43" dataCellStyle="NodeXL Do Not Edit"/>
    <tableColumn id="5" xr3:uid="{00000000-0010-0000-0200-000005000000}" name="Vertices" dataDxfId="42" dataCellStyle="NodeXL Graph Metric"/>
    <tableColumn id="7" xr3:uid="{00000000-0010-0000-0200-000007000000}" name="Unique Edges" dataDxfId="41" dataCellStyle="NodeXL Graph Metric"/>
    <tableColumn id="8" xr3:uid="{00000000-0010-0000-0200-000008000000}" name="Edges With Duplicates" dataDxfId="40" dataCellStyle="NodeXL Graph Metric"/>
    <tableColumn id="9" xr3:uid="{00000000-0010-0000-0200-000009000000}" name="Total Edges" dataDxfId="39" dataCellStyle="NodeXL Graph Metric"/>
    <tableColumn id="10" xr3:uid="{00000000-0010-0000-0200-00000A000000}" name="Self-Loops" dataDxfId="38" dataCellStyle="NodeXL Graph Metric"/>
    <tableColumn id="24" xr3:uid="{00000000-0010-0000-0200-000018000000}" name="Reciprocated Vertex Pair Ratio" dataDxfId="37" dataCellStyle="NodeXL Graph Metric"/>
    <tableColumn id="25" xr3:uid="{00000000-0010-0000-0200-000019000000}" name="Reciprocated Edge Ratio" dataDxfId="36" dataCellStyle="NodeXL Graph Metric"/>
    <tableColumn id="11" xr3:uid="{00000000-0010-0000-0200-00000B000000}" name="Connected Components" dataDxfId="35" dataCellStyle="NodeXL Graph Metric"/>
    <tableColumn id="12" xr3:uid="{00000000-0010-0000-0200-00000C000000}" name="Single-Vertex Connected Components" dataDxfId="34" dataCellStyle="NodeXL Graph Metric"/>
    <tableColumn id="13" xr3:uid="{00000000-0010-0000-0200-00000D000000}" name="Maximum Vertices in a Connected Component" dataDxfId="33" dataCellStyle="NodeXL Graph Metric"/>
    <tableColumn id="14" xr3:uid="{00000000-0010-0000-0200-00000E000000}" name="Maximum Edges in a Connected Component" dataDxfId="32" dataCellStyle="NodeXL Graph Metric"/>
    <tableColumn id="15" xr3:uid="{00000000-0010-0000-0200-00000F000000}" name="Maximum Geodesic Distance (Diameter)" dataDxfId="31" dataCellStyle="NodeXL Graph Metric"/>
    <tableColumn id="16" xr3:uid="{00000000-0010-0000-0200-000010000000}" name="Average Geodesic Distance" dataDxfId="30" dataCellStyle="NodeXL Graph Metric"/>
    <tableColumn id="17" xr3:uid="{00000000-0010-0000-0200-000011000000}" name="Graph Density" dataDxfId="29" dataCellStyle="NodeXL Graph Metric"/>
  </tableColumns>
  <tableStyleInfo name="NodeXL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GroupVertices" displayName="GroupVertices" ref="A1:C2" totalsRowShown="0" headerRowDxfId="28" dataDxfId="27">
  <autoFilter ref="A1:C2" xr:uid="{00000000-0009-0000-0100-000005000000}"/>
  <tableColumns count="3">
    <tableColumn id="1" xr3:uid="{00000000-0010-0000-0300-000001000000}" name="Group" dataDxfId="26"/>
    <tableColumn id="2" xr3:uid="{00000000-0010-0000-0300-000002000000}" name="Vertex" dataDxfId="25"/>
    <tableColumn id="3" xr3:uid="{00000000-0010-0000-0300-000003000000}" name="Vertex ID" dataDxfId="2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OverallMetrics" displayName="OverallMetrics" ref="A1:B26" totalsRowShown="0" dataCellStyle="NodeXL Graph Metric">
  <autoFilter ref="A1:B26" xr:uid="{00000000-0009-0000-0100-000006000000}"/>
  <tableColumns count="2">
    <tableColumn id="1" xr3:uid="{00000000-0010-0000-0400-000001000000}" name="Graph Metric" dataDxfId="23" dataCellStyle="NodeXL Graph Metric"/>
    <tableColumn id="2" xr3:uid="{00000000-0010-0000-0400-000002000000}" name="Value" dataDxfId="22" dataCellStyle="NodeXL Graph Metric"/>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HistogramBins" displayName="HistogramBins" ref="D1:U45" totalsRowShown="0">
  <autoFilter ref="D1:U45" xr:uid="{00000000-0009-0000-0100-000003000000}"/>
  <tableColumns count="18">
    <tableColumn id="1" xr3:uid="{00000000-0010-0000-0500-000001000000}" name="Degree Bin" dataDxfId="21"/>
    <tableColumn id="2" xr3:uid="{00000000-0010-0000-0500-000002000000}" name="Degree Frequency" dataDxfId="20">
      <calculatedColumnFormula>COUNTIF(Vertices[Degree], "&gt;= " &amp; D2) - COUNTIF(Vertices[Degree], "&gt;=" &amp; D3)</calculatedColumnFormula>
    </tableColumn>
    <tableColumn id="3" xr3:uid="{00000000-0010-0000-0500-000003000000}" name="In-Degree Bin" dataDxfId="19"/>
    <tableColumn id="4" xr3:uid="{00000000-0010-0000-0500-000004000000}" name="In-Degree Frequency" dataDxfId="18">
      <calculatedColumnFormula>COUNTIF(Vertices[In-Degree], "&gt;= " &amp; F2) - COUNTIF(Vertices[In-Degree], "&gt;=" &amp; F3)</calculatedColumnFormula>
    </tableColumn>
    <tableColumn id="5" xr3:uid="{00000000-0010-0000-0500-000005000000}" name="Out-Degree Bin" dataDxfId="17"/>
    <tableColumn id="6" xr3:uid="{00000000-0010-0000-0500-000006000000}" name="Out-Degree Frequency" dataDxfId="16">
      <calculatedColumnFormula>COUNTIF(Vertices[Out-Degree], "&gt;= " &amp; H2) - COUNTIF(Vertices[Out-Degree], "&gt;=" &amp; H3)</calculatedColumnFormula>
    </tableColumn>
    <tableColumn id="7" xr3:uid="{00000000-0010-0000-0500-000007000000}" name="Betweenness Centrality Bin" dataDxfId="15"/>
    <tableColumn id="8" xr3:uid="{00000000-0010-0000-0500-000008000000}" name="Betweenness Centrality Frequency" dataDxfId="14">
      <calculatedColumnFormula>COUNTIF(Vertices[Betweenness Centrality], "&gt;= " &amp; J2) - COUNTIF(Vertices[Betweenness Centrality], "&gt;=" &amp; J3)</calculatedColumnFormula>
    </tableColumn>
    <tableColumn id="9" xr3:uid="{00000000-0010-0000-0500-000009000000}" name="Closeness Centrality Bin" dataDxfId="13"/>
    <tableColumn id="10" xr3:uid="{00000000-0010-0000-0500-00000A000000}" name="Closeness Centrality Frequency" dataDxfId="12">
      <calculatedColumnFormula>COUNTIF(Vertices[Closeness Centrality], "&gt;= " &amp; L2) - COUNTIF(Vertices[Closeness Centrality], "&gt;=" &amp; L3)</calculatedColumnFormula>
    </tableColumn>
    <tableColumn id="11" xr3:uid="{00000000-0010-0000-0500-00000B000000}" name="Eigenvector Centrality Bin" dataDxfId="11"/>
    <tableColumn id="12" xr3:uid="{00000000-0010-0000-0500-00000C000000}" name="Eigenvector Centrality Frequency" dataDxfId="10">
      <calculatedColumnFormula>COUNTIF(Vertices[Eigenvector Centrality], "&gt;= " &amp; N2) - COUNTIF(Vertices[Eigenvector Centrality], "&gt;=" &amp; N3)</calculatedColumnFormula>
    </tableColumn>
    <tableColumn id="18" xr3:uid="{00000000-0010-0000-0500-000012000000}" name="PageRank Bin" dataDxfId="9"/>
    <tableColumn id="17" xr3:uid="{00000000-0010-0000-0500-000011000000}" name="PageRank Frequency" dataDxfId="8">
      <calculatedColumnFormula>COUNTIF(Vertices[Eigenvector Centrality], "&gt;= " &amp; P2) - COUNTIF(Vertices[Eigenvector Centrality], "&gt;=" &amp; P3)</calculatedColumnFormula>
    </tableColumn>
    <tableColumn id="13" xr3:uid="{00000000-0010-0000-0500-00000D000000}" name="Clustering Coefficient Bin" dataDxfId="7"/>
    <tableColumn id="14" xr3:uid="{00000000-0010-0000-0500-00000E000000}" name="Clustering Coefficient Frequency" dataDxfId="6">
      <calculatedColumnFormula>COUNTIF(Vertices[Clustering Coefficient], "&gt;= " &amp; R2) - COUNTIF(Vertices[Clustering Coefficient], "&gt;=" &amp; R3)</calculatedColumnFormula>
    </tableColumn>
    <tableColumn id="15" xr3:uid="{00000000-0010-0000-0500-00000F000000}" name="Dynamic Filter Bin" dataDxfId="5"/>
    <tableColumn id="16" xr3:uid="{00000000-0010-0000-0500-000010000000}" name="Dynamic Filter Frequency" dataDxfId="4">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HistogramProperties" displayName="HistogramProperties" ref="W1:X4" totalsRowShown="0">
  <autoFilter ref="W1:X4" xr:uid="{00000000-0009-0000-0100-00000F000000}"/>
  <tableColumns count="2">
    <tableColumn id="1" xr3:uid="{00000000-0010-0000-0600-000001000000}" name="Histogram Property"/>
    <tableColumn id="2" xr3:uid="{00000000-0010-0000-0600-000002000000}" name="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OverallReadabilityMetrics" displayName="OverallReadabilityMetrics" ref="A29:B32" totalsRowShown="0" dataCellStyle="NodeXL Graph Metric">
  <autoFilter ref="A29:B32" xr:uid="{00000000-0009-0000-0100-000009000000}"/>
  <tableColumns count="2">
    <tableColumn id="1" xr3:uid="{00000000-0010-0000-0700-000001000000}" name="Readability Metric" dataCellStyle="NodeXL Graph Metric"/>
    <tableColumn id="2" xr3:uid="{00000000-0010-0000-0700-000002000000}"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PerWorkbookSettings" displayName="PerWorkbookSettings" ref="J1:K9" totalsRowShown="0" headerRowDxfId="3">
  <autoFilter ref="J1:K9" xr:uid="{00000000-0009-0000-0100-000007000000}"/>
  <tableColumns count="2">
    <tableColumn id="1" xr3:uid="{00000000-0010-0000-0800-000001000000}" name="Per-Workbook Setting"/>
    <tableColumn id="2" xr3:uid="{00000000-0010-0000-0800-000002000000}" name="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9000000}" name="DynamicFilterSettings" displayName="DynamicFilterSettings" ref="M1:P2" totalsRowShown="0" headerRowDxfId="2">
  <autoFilter ref="M1:P2" xr:uid="{00000000-0009-0000-0100-000008000000}"/>
  <tableColumns count="4">
    <tableColumn id="1" xr3:uid="{00000000-0010-0000-0900-000001000000}" name="Table Name"/>
    <tableColumn id="2" xr3:uid="{00000000-0010-0000-0900-000002000000}" name="Column Name"/>
    <tableColumn id="3" xr3:uid="{00000000-0010-0000-0900-000003000000}" name="Selected Minimum"/>
    <tableColumn id="4" xr3:uid="{00000000-0010-0000-0900-000004000000}" name="Selected Maximum"/>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3"/>
  <sheetViews>
    <sheetView tabSelected="1" workbookViewId="0">
      <pane xSplit="2" ySplit="2" topLeftCell="C3" activePane="bottomRight" state="frozen"/>
      <selection pane="topRight" activeCell="C1" sqref="C1"/>
      <selection pane="bottomLeft" activeCell="A3" sqref="A3"/>
      <selection pane="bottomRight" activeCell="H13" sqref="H13"/>
    </sheetView>
  </sheetViews>
  <sheetFormatPr defaultRowHeight="15" x14ac:dyDescent="0.25"/>
  <cols>
    <col min="1" max="2" width="10.42578125" style="1" customWidth="1"/>
    <col min="3" max="3" width="7.85546875" style="3" customWidth="1"/>
    <col min="4" max="4" width="8.7109375" style="2" customWidth="1"/>
    <col min="5" max="5" width="7.7109375" style="2" customWidth="1"/>
    <col min="6" max="6" width="9.85546875" style="2" customWidth="1"/>
    <col min="7" max="7" width="11" style="3" customWidth="1"/>
    <col min="8" max="8" width="12.5703125" style="1" customWidth="1"/>
    <col min="9" max="9" width="12.28515625" style="3" bestFit="1" customWidth="1"/>
    <col min="10" max="10" width="12.42578125" style="3" bestFit="1" customWidth="1"/>
    <col min="11" max="11" width="15.5703125" style="3" hidden="1" customWidth="1"/>
    <col min="12" max="12" width="11" hidden="1" customWidth="1"/>
    <col min="13" max="13" width="10.85546875" hidden="1" customWidth="1"/>
    <col min="14" max="14" width="16" bestFit="1" customWidth="1"/>
  </cols>
  <sheetData>
    <row r="1" spans="1:14" x14ac:dyDescent="0.25">
      <c r="C1" s="18" t="s">
        <v>39</v>
      </c>
      <c r="D1" s="19"/>
      <c r="E1" s="19"/>
      <c r="F1" s="19"/>
      <c r="G1" s="18"/>
      <c r="H1" s="16" t="s">
        <v>43</v>
      </c>
      <c r="I1" s="66"/>
      <c r="J1" s="66"/>
      <c r="K1" s="35" t="s">
        <v>42</v>
      </c>
      <c r="L1" s="20" t="s">
        <v>40</v>
      </c>
      <c r="M1" s="20"/>
      <c r="N1" s="17" t="s">
        <v>41</v>
      </c>
    </row>
    <row r="2" spans="1:14" ht="30" customHeight="1" x14ac:dyDescent="0.25">
      <c r="A2" s="11" t="s">
        <v>0</v>
      </c>
      <c r="B2" s="11" t="s">
        <v>1</v>
      </c>
      <c r="C2" s="13" t="s">
        <v>2</v>
      </c>
      <c r="D2" s="13" t="s">
        <v>3</v>
      </c>
      <c r="E2" s="13" t="s">
        <v>130</v>
      </c>
      <c r="F2" s="13" t="s">
        <v>4</v>
      </c>
      <c r="G2" s="13" t="s">
        <v>11</v>
      </c>
      <c r="H2" s="11" t="s">
        <v>46</v>
      </c>
      <c r="I2" s="13" t="s">
        <v>160</v>
      </c>
      <c r="J2" s="13" t="s">
        <v>161</v>
      </c>
      <c r="K2" s="13" t="s">
        <v>165</v>
      </c>
      <c r="L2" s="13" t="s">
        <v>12</v>
      </c>
      <c r="M2" s="13" t="s">
        <v>38</v>
      </c>
      <c r="N2" s="13" t="s">
        <v>26</v>
      </c>
    </row>
    <row r="3" spans="1:14" ht="15" customHeight="1" x14ac:dyDescent="0.25">
      <c r="A3" s="50" t="s">
        <v>175</v>
      </c>
      <c r="B3" s="50" t="s">
        <v>176</v>
      </c>
      <c r="C3" s="54"/>
      <c r="D3" s="55"/>
      <c r="E3" s="67"/>
      <c r="F3" s="56"/>
      <c r="G3" s="54"/>
      <c r="H3" s="58" t="s">
        <v>198</v>
      </c>
      <c r="I3" s="57"/>
      <c r="J3" s="57"/>
      <c r="K3" s="69"/>
      <c r="L3" s="63">
        <v>3</v>
      </c>
      <c r="M3" s="63"/>
      <c r="N3" s="64"/>
    </row>
    <row r="4" spans="1:14" ht="15" customHeight="1" x14ac:dyDescent="0.25">
      <c r="A4" s="82" t="s">
        <v>176</v>
      </c>
      <c r="B4" s="82" t="s">
        <v>177</v>
      </c>
      <c r="C4" s="83"/>
      <c r="D4" s="84"/>
      <c r="E4" s="85"/>
      <c r="F4" s="86"/>
      <c r="G4" s="83"/>
      <c r="H4" s="87" t="s">
        <v>199</v>
      </c>
      <c r="I4" s="88"/>
      <c r="J4" s="88"/>
      <c r="K4" s="89"/>
      <c r="L4" s="90">
        <v>4</v>
      </c>
      <c r="M4" s="90"/>
      <c r="N4" s="91"/>
    </row>
    <row r="5" spans="1:14" x14ac:dyDescent="0.25">
      <c r="A5" s="82" t="s">
        <v>177</v>
      </c>
      <c r="B5" s="82" t="s">
        <v>178</v>
      </c>
      <c r="C5" s="54"/>
      <c r="D5" s="84"/>
      <c r="E5" s="85"/>
      <c r="F5" s="86"/>
      <c r="G5" s="83"/>
      <c r="H5" s="87" t="s">
        <v>199</v>
      </c>
      <c r="I5" s="88"/>
      <c r="J5" s="88"/>
      <c r="K5" s="89"/>
      <c r="L5" s="90">
        <v>5</v>
      </c>
      <c r="M5" s="90"/>
      <c r="N5" s="91"/>
    </row>
    <row r="6" spans="1:14" x14ac:dyDescent="0.25">
      <c r="A6" s="82" t="s">
        <v>175</v>
      </c>
      <c r="B6" s="82" t="s">
        <v>177</v>
      </c>
      <c r="C6" s="83"/>
      <c r="D6" s="84"/>
      <c r="E6" s="85"/>
      <c r="F6" s="86"/>
      <c r="G6" s="83"/>
      <c r="H6" s="87" t="s">
        <v>200</v>
      </c>
      <c r="I6" s="88"/>
      <c r="J6" s="88"/>
      <c r="K6" s="89"/>
      <c r="L6" s="90">
        <v>6</v>
      </c>
      <c r="M6" s="90"/>
      <c r="N6" s="91"/>
    </row>
    <row r="7" spans="1:14" x14ac:dyDescent="0.25">
      <c r="A7" s="82" t="s">
        <v>177</v>
      </c>
      <c r="B7" s="82" t="s">
        <v>179</v>
      </c>
      <c r="C7" s="83"/>
      <c r="D7" s="84"/>
      <c r="E7" s="85"/>
      <c r="F7" s="86"/>
      <c r="G7" s="83"/>
      <c r="H7" s="87" t="s">
        <v>198</v>
      </c>
      <c r="I7" s="88"/>
      <c r="J7" s="88"/>
      <c r="K7" s="89"/>
      <c r="L7" s="90">
        <v>7</v>
      </c>
      <c r="M7" s="90"/>
      <c r="N7" s="91"/>
    </row>
    <row r="8" spans="1:14" x14ac:dyDescent="0.25">
      <c r="A8" s="82" t="s">
        <v>179</v>
      </c>
      <c r="B8" s="82" t="s">
        <v>180</v>
      </c>
      <c r="C8" s="83"/>
      <c r="D8" s="84"/>
      <c r="E8" s="85"/>
      <c r="F8" s="86"/>
      <c r="G8" s="83"/>
      <c r="H8" s="87" t="s">
        <v>199</v>
      </c>
      <c r="I8" s="88"/>
      <c r="J8" s="88"/>
      <c r="K8" s="89"/>
      <c r="L8" s="90">
        <v>8</v>
      </c>
      <c r="M8" s="90"/>
      <c r="N8" s="91"/>
    </row>
    <row r="9" spans="1:14" x14ac:dyDescent="0.25">
      <c r="A9" s="82" t="s">
        <v>181</v>
      </c>
      <c r="B9" s="82" t="s">
        <v>182</v>
      </c>
      <c r="C9" s="83"/>
      <c r="D9" s="84"/>
      <c r="E9" s="85"/>
      <c r="F9" s="86"/>
      <c r="G9" s="83"/>
      <c r="H9" s="87" t="s">
        <v>200</v>
      </c>
      <c r="I9" s="88"/>
      <c r="J9" s="88"/>
      <c r="K9" s="89"/>
      <c r="L9" s="90">
        <v>9</v>
      </c>
      <c r="M9" s="90"/>
      <c r="N9" s="91"/>
    </row>
    <row r="23" spans="13:13" x14ac:dyDescent="0.25">
      <c r="M23" s="7"/>
    </row>
  </sheetData>
  <dataConsolidate/>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9" xr:uid="{00000000-0002-0000-0000-000000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9" xr:uid="{00000000-0002-0000-0000-000001000000}"/>
    <dataValidation allowBlank="1" showErrorMessage="1" sqref="N2:N9" xr:uid="{00000000-0002-0000-0000-000002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9" xr:uid="{00000000-0002-0000-0000-000003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9" xr:uid="{00000000-0002-0000-0000-000004000000}"/>
    <dataValidation allowBlank="1" showInputMessage="1" promptTitle="Edge Color" prompt="To select an optional edge color, right-click and select Select Color on the right-click menu." sqref="C3:C9" xr:uid="{00000000-0002-0000-0000-000005000000}"/>
    <dataValidation allowBlank="1" showInputMessage="1" errorTitle="Invalid Edge Width" error="The optional edge width must be a whole number between 1 and 10." promptTitle="Edge Width" prompt="Enter an optional edge width between 1 and 10." sqref="D3:D9" xr:uid="{00000000-0002-0000-0000-000006000000}"/>
    <dataValidation allowBlank="1" showInputMessage="1" errorTitle="Invalid Edge Opacity" error="The optional edge opacity must be a whole number between 0 and 10." promptTitle="Edge Opacity" prompt="Enter an optional edge opacity between 0 (transparent) and 100 (opaque)." sqref="F3:F9" xr:uid="{00000000-0002-0000-0000-000007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9" xr:uid="{00000000-0002-0000-0000-000008000000}">
      <formula1>ValidEdgeVisibilities</formula1>
    </dataValidation>
    <dataValidation allowBlank="1" showInputMessage="1" showErrorMessage="1" promptTitle="Vertex 1 Name" prompt="Enter the name of the edge's first vertex." sqref="A3:A9" xr:uid="{00000000-0002-0000-0000-000009000000}"/>
    <dataValidation allowBlank="1" showInputMessage="1" showErrorMessage="1" promptTitle="Vertex 2 Name" prompt="Enter the name of the edge's second vertex." sqref="B3:B9" xr:uid="{00000000-0002-0000-0000-00000A000000}"/>
    <dataValidation allowBlank="1" showInputMessage="1" showErrorMessage="1" errorTitle="Invalid Edge Visibility" error="You have entered an unrecognized edge visibility.  Try selecting from the drop-down list instead." promptTitle="Edge Label" prompt="Enter an optional edge label." sqref="H3:H9" xr:uid="{00000000-0002-0000-0000-00000B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9" xr:uid="{00000000-0002-0000-0000-00000C000000}">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9" xr:uid="{00000000-0002-0000-0000-00000D000000}"/>
  </dataValidations>
  <pageMargins left="0.7" right="0.7" top="0.75" bottom="0.75" header="0.3" footer="0.3"/>
  <pageSetup orientation="portrait" horizontalDpi="0"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0"/>
  <sheetViews>
    <sheetView workbookViewId="0">
      <pane xSplit="1" ySplit="2" topLeftCell="B3" activePane="bottomRight" state="frozen"/>
      <selection pane="topRight" activeCell="B1" sqref="B1"/>
      <selection pane="bottomLeft" activeCell="A3" sqref="A3"/>
      <selection pane="bottomRight" activeCell="A2" sqref="A2:AE2"/>
    </sheetView>
  </sheetViews>
  <sheetFormatPr defaultRowHeight="15" x14ac:dyDescent="0.25"/>
  <cols>
    <col min="1" max="1" width="9.140625" style="1"/>
    <col min="2" max="2" width="11.42578125" customWidth="1"/>
    <col min="3" max="3" width="8.5703125" customWidth="1"/>
    <col min="4" max="4" width="6.7109375" customWidth="1"/>
    <col min="5" max="5" width="9.85546875" customWidth="1"/>
    <col min="6" max="6" width="7.7109375" customWidth="1"/>
    <col min="7" max="7" width="11" customWidth="1"/>
    <col min="8" max="8" width="8.5703125" customWidth="1"/>
    <col min="9" max="9" width="9.7109375" customWidth="1"/>
    <col min="10" max="10" width="10.5703125" style="3" customWidth="1"/>
    <col min="11" max="11" width="9.140625" customWidth="1"/>
    <col min="12" max="12" width="9.140625" hidden="1" customWidth="1"/>
    <col min="13" max="14" width="4.28515625" hidden="1" customWidth="1"/>
    <col min="15" max="15" width="10.28515625" hidden="1" customWidth="1"/>
    <col min="16" max="16" width="6.42578125" hidden="1" customWidth="1"/>
    <col min="17" max="17" width="8.28515625" hidden="1" customWidth="1"/>
    <col min="18" max="18" width="9.5703125" hidden="1" customWidth="1"/>
    <col min="19" max="19" width="9.28515625" hidden="1" customWidth="1"/>
    <col min="20" max="20" width="9.5703125" hidden="1" customWidth="1"/>
    <col min="21" max="23" width="14.28515625" hidden="1" customWidth="1"/>
    <col min="24" max="24" width="11.85546875" hidden="1" customWidth="1"/>
    <col min="25" max="25" width="14.42578125" hidden="1" customWidth="1"/>
    <col min="26" max="26" width="18.28515625" hidden="1" customWidth="1"/>
    <col min="27" max="27" width="5" style="3" hidden="1" customWidth="1"/>
    <col min="28" max="28" width="16" style="3" hidden="1" customWidth="1"/>
    <col min="29" max="29" width="16" style="6" bestFit="1" customWidth="1"/>
    <col min="30" max="30" width="14.28515625" style="2" customWidth="1"/>
    <col min="31" max="32" width="14.28515625" style="3" customWidth="1"/>
    <col min="33" max="33" width="11.85546875" style="3" customWidth="1"/>
    <col min="34" max="34" width="14.42578125" style="3" customWidth="1"/>
    <col min="35" max="35" width="5" customWidth="1"/>
    <col min="36" max="36" width="16" customWidth="1"/>
    <col min="37" max="37" width="16" bestFit="1" customWidth="1"/>
    <col min="38" max="39" width="9.140625" customWidth="1"/>
  </cols>
  <sheetData>
    <row r="1" spans="1:34" x14ac:dyDescent="0.25">
      <c r="B1" s="25" t="s">
        <v>39</v>
      </c>
      <c r="C1" s="18"/>
      <c r="D1" s="18"/>
      <c r="E1" s="18"/>
      <c r="F1" s="18"/>
      <c r="G1" s="18"/>
      <c r="H1" s="27" t="s">
        <v>43</v>
      </c>
      <c r="I1" s="26"/>
      <c r="J1" s="26"/>
      <c r="K1" s="26"/>
      <c r="L1" s="29" t="s">
        <v>44</v>
      </c>
      <c r="M1" s="28"/>
      <c r="N1" s="28"/>
      <c r="O1" s="28"/>
      <c r="P1" s="28"/>
      <c r="Q1" s="28"/>
      <c r="R1" s="24" t="s">
        <v>42</v>
      </c>
      <c r="S1" s="21"/>
      <c r="T1" s="22"/>
      <c r="U1" s="23"/>
      <c r="V1" s="21"/>
      <c r="W1" s="21"/>
      <c r="X1" s="21"/>
      <c r="Y1" s="21"/>
      <c r="Z1" s="21"/>
      <c r="AA1" s="30" t="s">
        <v>40</v>
      </c>
      <c r="AB1" s="20"/>
      <c r="AC1" s="31" t="s">
        <v>41</v>
      </c>
      <c r="AD1"/>
      <c r="AE1"/>
      <c r="AF1"/>
      <c r="AG1"/>
      <c r="AH1"/>
    </row>
    <row r="2" spans="1:34" ht="30" customHeight="1" x14ac:dyDescent="0.25">
      <c r="A2" s="11" t="s">
        <v>5</v>
      </c>
      <c r="B2" s="8" t="s">
        <v>2</v>
      </c>
      <c r="C2" s="8" t="s">
        <v>8</v>
      </c>
      <c r="D2" s="9" t="s">
        <v>45</v>
      </c>
      <c r="E2" s="10" t="s">
        <v>4</v>
      </c>
      <c r="F2" s="8" t="s">
        <v>48</v>
      </c>
      <c r="G2" s="8" t="s">
        <v>11</v>
      </c>
      <c r="H2" s="8" t="s">
        <v>46</v>
      </c>
      <c r="I2" s="8" t="s">
        <v>47</v>
      </c>
      <c r="J2" s="8" t="s">
        <v>77</v>
      </c>
      <c r="K2" s="8" t="s">
        <v>10</v>
      </c>
      <c r="L2" s="8" t="s">
        <v>27</v>
      </c>
      <c r="M2" s="8" t="s">
        <v>15</v>
      </c>
      <c r="N2" s="8" t="s">
        <v>16</v>
      </c>
      <c r="O2" s="8" t="s">
        <v>13</v>
      </c>
      <c r="P2" s="8" t="s">
        <v>28</v>
      </c>
      <c r="Q2" s="8" t="s">
        <v>29</v>
      </c>
      <c r="R2" s="13" t="s">
        <v>31</v>
      </c>
      <c r="S2" s="13" t="s">
        <v>32</v>
      </c>
      <c r="T2" s="13" t="s">
        <v>33</v>
      </c>
      <c r="U2" s="13" t="s">
        <v>34</v>
      </c>
      <c r="V2" s="13" t="s">
        <v>35</v>
      </c>
      <c r="W2" s="13" t="s">
        <v>36</v>
      </c>
      <c r="X2" s="13" t="s">
        <v>137</v>
      </c>
      <c r="Y2" s="13" t="s">
        <v>37</v>
      </c>
      <c r="Z2" s="13" t="s">
        <v>170</v>
      </c>
      <c r="AA2" s="11" t="s">
        <v>12</v>
      </c>
      <c r="AB2" s="11" t="s">
        <v>38</v>
      </c>
      <c r="AC2" s="8" t="s">
        <v>26</v>
      </c>
      <c r="AD2" s="11" t="s">
        <v>186</v>
      </c>
      <c r="AE2" s="11" t="s">
        <v>187</v>
      </c>
      <c r="AF2"/>
      <c r="AG2"/>
      <c r="AH2"/>
    </row>
    <row r="3" spans="1:34" ht="15" customHeight="1" x14ac:dyDescent="0.25">
      <c r="A3" s="50" t="s">
        <v>175</v>
      </c>
      <c r="B3" s="54" t="s">
        <v>197</v>
      </c>
      <c r="C3" s="54" t="s">
        <v>46</v>
      </c>
      <c r="D3" s="55">
        <v>3.5</v>
      </c>
      <c r="E3" s="56"/>
      <c r="F3" s="54"/>
      <c r="G3" s="54"/>
      <c r="H3" s="58" t="s">
        <v>175</v>
      </c>
      <c r="I3" s="57"/>
      <c r="J3" s="57" t="s">
        <v>72</v>
      </c>
      <c r="K3" s="58" t="s">
        <v>188</v>
      </c>
      <c r="L3" s="60"/>
      <c r="M3" s="61">
        <v>7614.9267578125</v>
      </c>
      <c r="N3" s="61">
        <v>6017.74658203125</v>
      </c>
      <c r="O3" s="59"/>
      <c r="P3" s="62"/>
      <c r="Q3" s="62"/>
      <c r="R3" s="51"/>
      <c r="S3" s="51"/>
      <c r="T3" s="51"/>
      <c r="U3" s="51"/>
      <c r="V3" s="52"/>
      <c r="W3" s="52"/>
      <c r="X3" s="53"/>
      <c r="Y3" s="52"/>
      <c r="Z3" s="52"/>
      <c r="AA3" s="63">
        <v>3</v>
      </c>
      <c r="AB3" s="63"/>
      <c r="AC3" s="64"/>
      <c r="AD3" s="3">
        <v>21</v>
      </c>
      <c r="AE3" s="3">
        <v>0</v>
      </c>
      <c r="AF3"/>
      <c r="AG3"/>
      <c r="AH3"/>
    </row>
    <row r="4" spans="1:34" x14ac:dyDescent="0.25">
      <c r="A4" s="14" t="s">
        <v>176</v>
      </c>
      <c r="B4" s="15" t="s">
        <v>185</v>
      </c>
      <c r="C4" s="54" t="s">
        <v>46</v>
      </c>
      <c r="D4" s="55">
        <v>3.5</v>
      </c>
      <c r="E4" s="80"/>
      <c r="F4" s="15"/>
      <c r="G4" s="15"/>
      <c r="H4" s="16" t="s">
        <v>176</v>
      </c>
      <c r="I4" s="68"/>
      <c r="J4" s="68" t="s">
        <v>75</v>
      </c>
      <c r="K4" s="16" t="s">
        <v>189</v>
      </c>
      <c r="L4" s="92"/>
      <c r="M4" s="93">
        <v>5746.46484375</v>
      </c>
      <c r="N4" s="93">
        <v>4634.67578125</v>
      </c>
      <c r="O4" s="79"/>
      <c r="P4" s="94"/>
      <c r="Q4" s="94"/>
      <c r="R4" s="95"/>
      <c r="S4" s="95"/>
      <c r="T4" s="95"/>
      <c r="U4" s="95"/>
      <c r="V4" s="53"/>
      <c r="W4" s="53"/>
      <c r="X4" s="53"/>
      <c r="Y4" s="53"/>
      <c r="Z4" s="52"/>
      <c r="AA4" s="81">
        <v>4</v>
      </c>
      <c r="AB4" s="81"/>
      <c r="AC4" s="96"/>
      <c r="AD4" s="3">
        <v>24</v>
      </c>
      <c r="AE4" s="3">
        <v>0</v>
      </c>
    </row>
    <row r="5" spans="1:34" x14ac:dyDescent="0.25">
      <c r="A5" s="14" t="s">
        <v>177</v>
      </c>
      <c r="B5" s="54" t="s">
        <v>197</v>
      </c>
      <c r="C5" s="54" t="s">
        <v>46</v>
      </c>
      <c r="D5" s="55">
        <v>6.2857142857142856</v>
      </c>
      <c r="E5" s="80"/>
      <c r="F5" s="15"/>
      <c r="G5" s="15"/>
      <c r="H5" s="16" t="s">
        <v>177</v>
      </c>
      <c r="I5" s="68"/>
      <c r="J5" s="68" t="s">
        <v>69</v>
      </c>
      <c r="K5" s="16" t="s">
        <v>190</v>
      </c>
      <c r="L5" s="92"/>
      <c r="M5" s="93">
        <v>4104.9287109375</v>
      </c>
      <c r="N5" s="93">
        <v>7049.75390625</v>
      </c>
      <c r="O5" s="79"/>
      <c r="P5" s="94"/>
      <c r="Q5" s="94"/>
      <c r="R5" s="95"/>
      <c r="S5" s="95"/>
      <c r="T5" s="95"/>
      <c r="U5" s="95"/>
      <c r="V5" s="53"/>
      <c r="W5" s="53"/>
      <c r="X5" s="53"/>
      <c r="Y5" s="53"/>
      <c r="Z5" s="52"/>
      <c r="AA5" s="81">
        <v>5</v>
      </c>
      <c r="AB5" s="81"/>
      <c r="AC5" s="96"/>
      <c r="AD5" s="3">
        <v>20</v>
      </c>
      <c r="AE5" s="3">
        <v>3</v>
      </c>
    </row>
    <row r="6" spans="1:34" x14ac:dyDescent="0.25">
      <c r="A6" s="14" t="s">
        <v>178</v>
      </c>
      <c r="B6" s="15" t="s">
        <v>185</v>
      </c>
      <c r="C6" s="54" t="s">
        <v>46</v>
      </c>
      <c r="D6" s="55">
        <v>7.2142857142857144</v>
      </c>
      <c r="E6" s="80"/>
      <c r="F6" s="15"/>
      <c r="G6" s="15"/>
      <c r="H6" s="16" t="s">
        <v>178</v>
      </c>
      <c r="I6" s="68"/>
      <c r="J6" s="68"/>
      <c r="K6" s="16" t="s">
        <v>191</v>
      </c>
      <c r="L6" s="92"/>
      <c r="M6" s="93">
        <v>3401.2490234375</v>
      </c>
      <c r="N6" s="93">
        <v>4597.98193359375</v>
      </c>
      <c r="O6" s="79"/>
      <c r="P6" s="94"/>
      <c r="Q6" s="94"/>
      <c r="R6" s="95"/>
      <c r="S6" s="95"/>
      <c r="T6" s="95"/>
      <c r="U6" s="95"/>
      <c r="V6" s="53"/>
      <c r="W6" s="53"/>
      <c r="X6" s="53"/>
      <c r="Y6" s="53"/>
      <c r="Z6" s="52"/>
      <c r="AA6" s="81">
        <v>6</v>
      </c>
      <c r="AB6" s="81"/>
      <c r="AC6" s="96"/>
      <c r="AD6" s="3">
        <v>22</v>
      </c>
      <c r="AE6" s="3">
        <v>4</v>
      </c>
    </row>
    <row r="7" spans="1:34" x14ac:dyDescent="0.25">
      <c r="A7" s="14" t="s">
        <v>179</v>
      </c>
      <c r="B7" s="15" t="s">
        <v>185</v>
      </c>
      <c r="C7" s="54" t="s">
        <v>46</v>
      </c>
      <c r="D7" s="55">
        <v>10</v>
      </c>
      <c r="E7" s="80"/>
      <c r="F7" s="15"/>
      <c r="G7" s="15"/>
      <c r="H7" s="16" t="s">
        <v>179</v>
      </c>
      <c r="I7" s="68"/>
      <c r="J7" s="68" t="s">
        <v>71</v>
      </c>
      <c r="K7" s="16" t="s">
        <v>188</v>
      </c>
      <c r="L7" s="92"/>
      <c r="M7" s="93">
        <v>1922.5701904296875</v>
      </c>
      <c r="N7" s="93">
        <v>6081.96044921875</v>
      </c>
      <c r="O7" s="79"/>
      <c r="P7" s="94"/>
      <c r="Q7" s="94"/>
      <c r="R7" s="95"/>
      <c r="S7" s="95"/>
      <c r="T7" s="95"/>
      <c r="U7" s="95"/>
      <c r="V7" s="53"/>
      <c r="W7" s="53"/>
      <c r="X7" s="53"/>
      <c r="Y7" s="53"/>
      <c r="Z7" s="52"/>
      <c r="AA7" s="81">
        <v>7</v>
      </c>
      <c r="AB7" s="81"/>
      <c r="AC7" s="96"/>
      <c r="AD7" s="3">
        <v>21</v>
      </c>
      <c r="AE7" s="3">
        <v>7</v>
      </c>
    </row>
    <row r="8" spans="1:34" x14ac:dyDescent="0.25">
      <c r="A8" s="14" t="s">
        <v>180</v>
      </c>
      <c r="B8" s="15" t="s">
        <v>185</v>
      </c>
      <c r="C8" s="54" t="s">
        <v>46</v>
      </c>
      <c r="D8" s="55">
        <v>8.1428571428571423</v>
      </c>
      <c r="E8" s="80"/>
      <c r="F8" s="15"/>
      <c r="G8" s="15"/>
      <c r="H8" s="16" t="s">
        <v>180</v>
      </c>
      <c r="I8" s="68"/>
      <c r="J8" s="68"/>
      <c r="K8" s="16" t="s">
        <v>190</v>
      </c>
      <c r="L8" s="92"/>
      <c r="M8" s="93">
        <v>1020.534912109375</v>
      </c>
      <c r="N8" s="93">
        <v>5070.7763671875</v>
      </c>
      <c r="O8" s="79"/>
      <c r="P8" s="94"/>
      <c r="Q8" s="94"/>
      <c r="R8" s="95"/>
      <c r="S8" s="95"/>
      <c r="T8" s="95"/>
      <c r="U8" s="95"/>
      <c r="V8" s="53"/>
      <c r="W8" s="53"/>
      <c r="X8" s="53"/>
      <c r="Y8" s="53"/>
      <c r="Z8" s="52"/>
      <c r="AA8" s="81">
        <v>8</v>
      </c>
      <c r="AB8" s="81"/>
      <c r="AC8" s="96"/>
      <c r="AD8" s="3">
        <v>20</v>
      </c>
      <c r="AE8" s="3">
        <v>5</v>
      </c>
    </row>
    <row r="9" spans="1:34" x14ac:dyDescent="0.25">
      <c r="A9" s="14" t="s">
        <v>181</v>
      </c>
      <c r="B9" s="15" t="s">
        <v>185</v>
      </c>
      <c r="C9" s="54" t="s">
        <v>46</v>
      </c>
      <c r="D9" s="55">
        <v>5.3571428571428568</v>
      </c>
      <c r="E9" s="80"/>
      <c r="F9" s="15"/>
      <c r="G9" s="15"/>
      <c r="H9" s="16" t="s">
        <v>181</v>
      </c>
      <c r="I9" s="68" t="s">
        <v>195</v>
      </c>
      <c r="J9" s="68"/>
      <c r="K9" s="16" t="s">
        <v>188</v>
      </c>
      <c r="L9" s="92"/>
      <c r="M9" s="93">
        <v>5028.35693359375</v>
      </c>
      <c r="N9" s="93">
        <v>8838.5654296875</v>
      </c>
      <c r="O9" s="79"/>
      <c r="P9" s="94"/>
      <c r="Q9" s="94"/>
      <c r="R9" s="95"/>
      <c r="S9" s="95"/>
      <c r="T9" s="95"/>
      <c r="U9" s="95"/>
      <c r="V9" s="53"/>
      <c r="W9" s="53"/>
      <c r="X9" s="53"/>
      <c r="Y9" s="53"/>
      <c r="Z9" s="52"/>
      <c r="AA9" s="81">
        <v>9</v>
      </c>
      <c r="AB9" s="81"/>
      <c r="AC9" s="96"/>
      <c r="AD9" s="3">
        <v>21</v>
      </c>
      <c r="AE9" s="3">
        <v>2</v>
      </c>
    </row>
    <row r="10" spans="1:34" x14ac:dyDescent="0.25">
      <c r="A10" s="97" t="s">
        <v>182</v>
      </c>
      <c r="B10" s="54" t="s">
        <v>197</v>
      </c>
      <c r="C10" s="54" t="s">
        <v>46</v>
      </c>
      <c r="D10" s="55">
        <v>4.4285714285714288</v>
      </c>
      <c r="E10" s="99"/>
      <c r="F10" s="98"/>
      <c r="G10" s="98"/>
      <c r="H10" s="100" t="s">
        <v>182</v>
      </c>
      <c r="I10" s="68" t="s">
        <v>195</v>
      </c>
      <c r="J10" s="101"/>
      <c r="K10" s="100" t="s">
        <v>191</v>
      </c>
      <c r="L10" s="102"/>
      <c r="M10" s="103">
        <v>8040.607421875</v>
      </c>
      <c r="N10" s="103">
        <v>7520.07275390625</v>
      </c>
      <c r="O10" s="104"/>
      <c r="P10" s="105"/>
      <c r="Q10" s="105"/>
      <c r="R10" s="106"/>
      <c r="S10" s="106"/>
      <c r="T10" s="106"/>
      <c r="U10" s="106"/>
      <c r="V10" s="107"/>
      <c r="W10" s="107"/>
      <c r="X10" s="107"/>
      <c r="Y10" s="107"/>
      <c r="Z10" s="108"/>
      <c r="AA10" s="109">
        <v>10</v>
      </c>
      <c r="AB10" s="109"/>
      <c r="AC10" s="110"/>
      <c r="AD10" s="3">
        <v>22</v>
      </c>
      <c r="AE10" s="3">
        <v>1</v>
      </c>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10" xr:uid="{00000000-0002-0000-0100-000000000000}"/>
    <dataValidation allowBlank="1" errorTitle="Invalid Vertex Visibility" error="You have entered an unrecognized vertex visibility.  Try selecting from the drop-down list instead." sqref="AD3" xr:uid="{00000000-0002-0000-0100-000001000000}"/>
    <dataValidation allowBlank="1" showErrorMessage="1" sqref="AD2" xr:uid="{00000000-0002-0000-0100-000002000000}"/>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10" xr:uid="{00000000-0002-0000-0100-000003000000}">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10" xr:uid="{00000000-0002-0000-0100-000004000000}"/>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10" xr:uid="{00000000-0002-0000-0100-000005000000}"/>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10" xr:uid="{00000000-0002-0000-0100-000006000000}"/>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10" xr:uid="{00000000-0002-0000-0100-000007000000}"/>
    <dataValidation allowBlank="1" showInputMessage="1" errorTitle="Invalid Vertex Image Key" promptTitle="Vertex Tooltip" prompt="Enter optional text that will pop up when the mouse is hovered over the vertex." sqref="K3:K10" xr:uid="{00000000-0002-0000-0100-000008000000}"/>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10" xr:uid="{00000000-0002-0000-0100-000009000000}"/>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10" xr:uid="{00000000-0002-0000-0100-00000A000000}">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10" xr:uid="{00000000-0002-0000-0100-00000B000000}"/>
    <dataValidation allowBlank="1" showInputMessage="1" promptTitle="Vertex Label Fill Color" prompt="To select an optional fill color for the Label shape, right-click and select Select Color on the right-click menu." sqref="I3:I10" xr:uid="{00000000-0002-0000-0100-00000C000000}"/>
    <dataValidation allowBlank="1" showInputMessage="1" errorTitle="Invalid Vertex Image Key" promptTitle="Vertex Image File" prompt="Enter the path to an image file.  Hover over the column header for examples." sqref="F3:F10" xr:uid="{00000000-0002-0000-0100-00000D000000}"/>
    <dataValidation allowBlank="1" showInputMessage="1" promptTitle="Vertex Color" prompt="To select an optional vertex color, right-click and select Select Color on the right-click menu." sqref="B3:B10" xr:uid="{00000000-0002-0000-0100-00000E000000}"/>
    <dataValidation allowBlank="1" showInputMessage="1" errorTitle="Invalid Vertex Opacity" error="The optional vertex opacity must be a whole number between 0 and 10." promptTitle="Vertex Opacity" prompt="Enter an optional vertex opacity between 0 (transparent) and 100 (opaque)." sqref="E3:E10" xr:uid="{00000000-0002-0000-0100-00000F000000}"/>
    <dataValidation type="list" allowBlank="1" showInputMessage="1" showErrorMessage="1" errorTitle="Invalid Vertex Shape" error="You have entered an invalid vertex shape.  Try selecting from the drop-down list instead." promptTitle="Vertex Shape" prompt="Select an optional vertex shape." sqref="C3:C10" xr:uid="{00000000-0002-0000-0100-000010000000}">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10" xr:uid="{00000000-0002-0000-0100-000011000000}"/>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10" xr:uid="{00000000-0002-0000-0100-000012000000}">
      <formula1>ValidVertexLabelPositions</formula1>
    </dataValidation>
    <dataValidation allowBlank="1" showInputMessage="1" showErrorMessage="1" promptTitle="Vertex Name" prompt="Enter the name of the vertex." sqref="A3:A10" xr:uid="{00000000-0002-0000-0100-000013000000}"/>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1"/>
  <sheetViews>
    <sheetView workbookViewId="0"/>
  </sheetViews>
  <sheetFormatPr defaultRowHeight="15" x14ac:dyDescent="0.25"/>
  <cols>
    <col min="1" max="1" width="10.85546875" style="3" bestFit="1" customWidth="1"/>
    <col min="2" max="2" width="16.85546875" style="3" bestFit="1" customWidth="1"/>
    <col min="4" max="5" width="9.140625" customWidth="1"/>
  </cols>
  <sheetData>
    <row r="1" spans="1:1" x14ac:dyDescent="0.25">
      <c r="A1" s="3" t="s">
        <v>49</v>
      </c>
    </row>
    <row r="2" spans="1:1" ht="15" customHeight="1" x14ac:dyDescent="0.25"/>
    <row r="3" spans="1:1" ht="15" customHeight="1" x14ac:dyDescent="0.25">
      <c r="A3" s="32" t="s">
        <v>50</v>
      </c>
    </row>
    <row r="21" spans="4:4" x14ac:dyDescent="0.25">
      <c r="D21" s="7"/>
    </row>
  </sheetData>
  <dataConsolidate/>
  <dataValidations xWindow="63" yWindow="236" count="2">
    <dataValidation allowBlank="1" showInputMessage="1" showErrorMessage="1" promptTitle="Image ID" prompt="Enter a unique ID for the image." sqref="A2" xr:uid="{00000000-0002-0000-0200-000000000000}"/>
    <dataValidation allowBlank="1" showInputMessage="1" showErrorMessage="1" promptTitle="Image File Path" prompt="Enter an image file path.  Hover over the column header for examples." sqref="B2" xr:uid="{00000000-0002-0000-0200-000001000000}"/>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X10"/>
  <sheetViews>
    <sheetView workbookViewId="0">
      <pane ySplit="2" topLeftCell="A3" activePane="bottomLeft" state="frozen"/>
      <selection pane="bottomLeft" activeCell="A2" sqref="A2:X2"/>
    </sheetView>
  </sheetViews>
  <sheetFormatPr defaultRowHeight="15" x14ac:dyDescent="0.25"/>
  <cols>
    <col min="1" max="1" width="9.42578125" style="1" bestFit="1" customWidth="1"/>
    <col min="2" max="2" width="14.28515625" customWidth="1"/>
    <col min="3" max="3" width="15" customWidth="1"/>
    <col min="4" max="4" width="11.140625" customWidth="1"/>
    <col min="5" max="5" width="13" customWidth="1"/>
    <col min="6" max="6" width="8" bestFit="1" customWidth="1"/>
    <col min="7" max="8" width="13.5703125" hidden="1" customWidth="1"/>
    <col min="9" max="9" width="11" hidden="1" customWidth="1"/>
    <col min="10" max="10" width="12.5703125" hidden="1" customWidth="1"/>
    <col min="11" max="11" width="11" hidden="1" customWidth="1"/>
    <col min="12" max="12" width="9.7109375" hidden="1" customWidth="1"/>
    <col min="13" max="13" width="13.140625" hidden="1" customWidth="1"/>
    <col min="14" max="15" width="8.42578125" hidden="1" customWidth="1"/>
    <col min="16" max="16" width="18.28515625" hidden="1" customWidth="1"/>
    <col min="17" max="17" width="14.85546875" hidden="1" customWidth="1"/>
    <col min="18" max="18" width="14.5703125" hidden="1" customWidth="1"/>
    <col min="19" max="21" width="24.140625" hidden="1" customWidth="1"/>
    <col min="22" max="22" width="21.28515625" hidden="1" customWidth="1"/>
    <col min="23" max="23" width="19.28515625" hidden="1" customWidth="1"/>
    <col min="24" max="24" width="10" hidden="1" customWidth="1"/>
    <col min="25" max="25" width="13" customWidth="1"/>
  </cols>
  <sheetData>
    <row r="1" spans="1:24" x14ac:dyDescent="0.25">
      <c r="B1" s="70" t="s">
        <v>39</v>
      </c>
      <c r="C1" s="71"/>
      <c r="D1" s="71"/>
      <c r="E1" s="72"/>
      <c r="F1" s="68" t="s">
        <v>43</v>
      </c>
      <c r="G1" s="73" t="s">
        <v>44</v>
      </c>
      <c r="H1" s="74"/>
      <c r="I1" s="75" t="s">
        <v>40</v>
      </c>
      <c r="J1" s="76"/>
      <c r="K1" s="77" t="s">
        <v>42</v>
      </c>
      <c r="L1" s="78"/>
      <c r="M1" s="78"/>
      <c r="N1" s="78"/>
      <c r="O1" s="78"/>
      <c r="P1" s="78"/>
      <c r="Q1" s="78"/>
      <c r="R1" s="78"/>
      <c r="S1" s="78"/>
      <c r="T1" s="78"/>
      <c r="U1" s="78"/>
      <c r="V1" s="78"/>
      <c r="W1" s="78"/>
      <c r="X1" s="78"/>
    </row>
    <row r="2" spans="1:24" s="13" customFormat="1" ht="30" customHeight="1" x14ac:dyDescent="0.25">
      <c r="A2" s="11" t="s">
        <v>144</v>
      </c>
      <c r="B2" s="13" t="s">
        <v>21</v>
      </c>
      <c r="C2" s="13" t="s">
        <v>20</v>
      </c>
      <c r="D2" s="13" t="s">
        <v>11</v>
      </c>
      <c r="E2" s="13" t="s">
        <v>145</v>
      </c>
      <c r="F2" s="13" t="s">
        <v>46</v>
      </c>
      <c r="G2" s="13" t="s">
        <v>167</v>
      </c>
      <c r="H2" s="13" t="s">
        <v>168</v>
      </c>
      <c r="I2" s="13" t="s">
        <v>12</v>
      </c>
      <c r="J2" s="13" t="s">
        <v>166</v>
      </c>
      <c r="K2" s="13" t="s">
        <v>146</v>
      </c>
      <c r="L2" s="13" t="s">
        <v>148</v>
      </c>
      <c r="M2" s="13" t="s">
        <v>149</v>
      </c>
      <c r="N2" s="13" t="s">
        <v>150</v>
      </c>
      <c r="O2" s="13" t="s">
        <v>151</v>
      </c>
      <c r="P2" s="13" t="s">
        <v>170</v>
      </c>
      <c r="Q2" s="13" t="s">
        <v>171</v>
      </c>
      <c r="R2" s="13" t="s">
        <v>152</v>
      </c>
      <c r="S2" s="13" t="s">
        <v>153</v>
      </c>
      <c r="T2" s="13" t="s">
        <v>154</v>
      </c>
      <c r="U2" s="13" t="s">
        <v>155</v>
      </c>
      <c r="V2" s="13" t="s">
        <v>156</v>
      </c>
      <c r="W2" s="13" t="s">
        <v>157</v>
      </c>
      <c r="X2" s="13" t="s">
        <v>158</v>
      </c>
    </row>
    <row r="3" spans="1:24" x14ac:dyDescent="0.25">
      <c r="A3" s="14"/>
      <c r="B3" s="15"/>
      <c r="C3" s="15"/>
      <c r="D3" s="15"/>
      <c r="E3" s="15"/>
      <c r="F3" s="16"/>
      <c r="G3" s="79"/>
      <c r="H3" s="79"/>
      <c r="I3" s="65"/>
      <c r="J3" s="65"/>
      <c r="K3" s="48"/>
      <c r="L3" s="48"/>
      <c r="M3" s="48"/>
      <c r="N3" s="48"/>
      <c r="O3" s="48"/>
      <c r="P3" s="48"/>
      <c r="Q3" s="48"/>
      <c r="R3" s="48"/>
      <c r="S3" s="48"/>
      <c r="T3" s="48"/>
      <c r="U3" s="48"/>
      <c r="V3" s="48"/>
      <c r="W3" s="49"/>
      <c r="X3" s="49"/>
    </row>
    <row r="10" spans="1:24" ht="14.25" customHeight="1" x14ac:dyDescent="0.25"/>
  </sheetData>
  <dataConsolidate/>
  <dataValidations count="8">
    <dataValidation allowBlank="1" showInputMessage="1" promptTitle="Group Vertex Color" prompt="To select a color to use for all vertices in the group, right-click and select Select Color on the right-click menu." sqref="B3" xr:uid="{00000000-0002-0000-0300-000000000000}"/>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xr:uid="{00000000-0002-0000-0300-000001000000}">
      <formula1>ValidGroupShapes</formula1>
    </dataValidation>
    <dataValidation allowBlank="1" showInputMessage="1" showErrorMessage="1" promptTitle="Group Name" prompt="Enter the name of the group." sqref="A3" xr:uid="{00000000-0002-0000-0300-000002000000}"/>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xr:uid="{00000000-0002-0000-0300-000003000000}">
      <formula1>ValidBooleansDefaultFalse</formula1>
    </dataValidation>
    <dataValidation allowBlank="1" sqref="K3" xr:uid="{00000000-0002-0000-0300-000004000000}"/>
    <dataValidation allowBlank="1" showInputMessage="1" showErrorMessage="1" errorTitle="Invalid Group Collapsed" error="You have entered an unrecognized &quot;group collapsed.&quot;  Try selecting from the drop-down list instead." promptTitle="Group Label" prompt="Enter an optional group label." sqref="F3" xr:uid="{00000000-0002-0000-0300-000005000000}"/>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xr:uid="{00000000-0002-0000-0300-000006000000}"/>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xr:uid="{00000000-0002-0000-0300-000007000000}">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C2"/>
  <sheetViews>
    <sheetView workbookViewId="0">
      <selection activeCell="A2" sqref="A2"/>
    </sheetView>
  </sheetViews>
  <sheetFormatPr defaultRowHeight="15" x14ac:dyDescent="0.25"/>
  <cols>
    <col min="1" max="1" width="9.42578125" style="1" bestFit="1" customWidth="1"/>
    <col min="2" max="2" width="9.140625" style="1"/>
    <col min="3" max="3" width="11.5703125" bestFit="1" customWidth="1"/>
    <col min="4" max="4" width="9.140625" customWidth="1"/>
  </cols>
  <sheetData>
    <row r="1" spans="1:3" x14ac:dyDescent="0.25">
      <c r="A1" s="1" t="s">
        <v>144</v>
      </c>
      <c r="B1" s="1" t="s">
        <v>5</v>
      </c>
      <c r="C1" s="1" t="s">
        <v>147</v>
      </c>
    </row>
    <row r="2" spans="1:3" x14ac:dyDescent="0.25">
      <c r="C2" s="3"/>
    </row>
  </sheetData>
  <dataConsolidate/>
  <dataValidations xWindow="58" yWindow="226" count="3">
    <dataValidation allowBlank="1" showInputMessage="1" showErrorMessage="1" promptTitle="Group Name" prompt="Enter the name of the group.  The group name must also be entered on the Groups worksheet." sqref="A2" xr:uid="{00000000-0002-0000-0400-000000000000}"/>
    <dataValidation allowBlank="1" showInputMessage="1" showErrorMessage="1" promptTitle="Vertex Name" prompt="Enter the name of a vertex to include in the group." sqref="B2" xr:uid="{00000000-0002-0000-0400-000001000000}"/>
    <dataValidation allowBlank="1" showInputMessage="1" promptTitle="Vertex ID" prompt="This is the value of the hidden ID cell in the Vertices worksheet.  It gets filled in by the items on the NodeXL, Analysis, Groups menu." sqref="C2" xr:uid="{00000000-0002-0000-0400-000002000000}"/>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X144"/>
  <sheetViews>
    <sheetView workbookViewId="0">
      <selection activeCell="A2" sqref="A2"/>
    </sheetView>
  </sheetViews>
  <sheetFormatPr defaultRowHeight="15" x14ac:dyDescent="0.25"/>
  <cols>
    <col min="1" max="1" width="43.140625" customWidth="1"/>
    <col min="2" max="2" width="13.85546875" customWidth="1"/>
    <col min="3" max="3" width="9.140625" customWidth="1"/>
    <col min="4" max="4" width="12.85546875" hidden="1" customWidth="1"/>
    <col min="5" max="5" width="19.7109375" hidden="1" customWidth="1"/>
    <col min="6" max="6" width="15.5703125" hidden="1" customWidth="1"/>
    <col min="7" max="7" width="22.140625" hidden="1" customWidth="1"/>
    <col min="8" max="8" width="17.140625" hidden="1" customWidth="1"/>
    <col min="9" max="9" width="23.85546875" hidden="1" customWidth="1"/>
    <col min="10" max="10" width="28.28515625" hidden="1" customWidth="1"/>
    <col min="11" max="11" width="34.85546875" hidden="1" customWidth="1"/>
    <col min="12" max="12" width="25" hidden="1" customWidth="1"/>
    <col min="13" max="13" width="31.5703125" hidden="1" customWidth="1"/>
    <col min="14" max="14" width="26.5703125" hidden="1" customWidth="1"/>
    <col min="15" max="17" width="33.28515625" hidden="1" customWidth="1"/>
    <col min="18" max="18" width="26.5703125" hidden="1" customWidth="1"/>
    <col min="19" max="19" width="33" hidden="1" customWidth="1"/>
    <col min="20" max="20" width="19.5703125" hidden="1" customWidth="1"/>
    <col min="21" max="21" width="26.140625" hidden="1" customWidth="1"/>
    <col min="22" max="22" width="9.140625" hidden="1" customWidth="1"/>
    <col min="23" max="23" width="34.140625" hidden="1" customWidth="1"/>
    <col min="24" max="24" width="25.140625" hidden="1" customWidth="1"/>
  </cols>
  <sheetData>
    <row r="1" spans="1:24" ht="15" customHeight="1" thickBot="1" x14ac:dyDescent="0.3">
      <c r="A1" s="13" t="s">
        <v>162</v>
      </c>
      <c r="B1" s="13" t="s">
        <v>17</v>
      </c>
      <c r="D1" t="s">
        <v>79</v>
      </c>
      <c r="E1" t="s">
        <v>80</v>
      </c>
      <c r="F1" s="37" t="s">
        <v>86</v>
      </c>
      <c r="G1" s="38" t="s">
        <v>87</v>
      </c>
      <c r="H1" s="37" t="s">
        <v>92</v>
      </c>
      <c r="I1" s="38" t="s">
        <v>93</v>
      </c>
      <c r="J1" s="37" t="s">
        <v>98</v>
      </c>
      <c r="K1" s="38" t="s">
        <v>99</v>
      </c>
      <c r="L1" s="37" t="s">
        <v>104</v>
      </c>
      <c r="M1" s="38" t="s">
        <v>105</v>
      </c>
      <c r="N1" s="37" t="s">
        <v>110</v>
      </c>
      <c r="O1" s="38" t="s">
        <v>111</v>
      </c>
      <c r="P1" s="38" t="s">
        <v>138</v>
      </c>
      <c r="Q1" s="38" t="s">
        <v>139</v>
      </c>
      <c r="R1" s="37" t="s">
        <v>116</v>
      </c>
      <c r="S1" s="37" t="s">
        <v>117</v>
      </c>
      <c r="T1" s="37" t="s">
        <v>122</v>
      </c>
      <c r="U1" s="38" t="s">
        <v>123</v>
      </c>
      <c r="W1" t="s">
        <v>127</v>
      </c>
      <c r="X1" t="s">
        <v>17</v>
      </c>
    </row>
    <row r="2" spans="1:24" ht="15.75" thickTop="1" x14ac:dyDescent="0.25">
      <c r="A2" s="36"/>
      <c r="B2" s="36"/>
      <c r="D2" s="33">
        <f>MIN(Vertices[Degree])</f>
        <v>0</v>
      </c>
      <c r="E2" s="3">
        <f>COUNTIF(Vertices[Degree], "&gt;= " &amp; D2) - COUNTIF(Vertices[Degree], "&gt;=" &amp; D3)</f>
        <v>0</v>
      </c>
      <c r="F2" s="39">
        <f>MIN(Vertices[In-Degree])</f>
        <v>0</v>
      </c>
      <c r="G2" s="40">
        <f>COUNTIF(Vertices[In-Degree], "&gt;= " &amp; F2) - COUNTIF(Vertices[In-Degree], "&gt;=" &amp; F3)</f>
        <v>0</v>
      </c>
      <c r="H2" s="39">
        <f>MIN(Vertices[Out-Degree])</f>
        <v>0</v>
      </c>
      <c r="I2" s="40">
        <f>COUNTIF(Vertices[Out-Degree], "&gt;= " &amp; H2) - COUNTIF(Vertices[Out-Degree], "&gt;=" &amp; H3)</f>
        <v>0</v>
      </c>
      <c r="J2" s="39">
        <f>MIN(Vertices[Betweenness Centrality])</f>
        <v>0</v>
      </c>
      <c r="K2" s="40">
        <f>COUNTIF(Vertices[Betweenness Centrality], "&gt;= " &amp; J2) - COUNTIF(Vertices[Betweenness Centrality], "&gt;=" &amp; J3)</f>
        <v>0</v>
      </c>
      <c r="L2" s="39">
        <f>MIN(Vertices[Closeness Centrality])</f>
        <v>0</v>
      </c>
      <c r="M2" s="40">
        <f>COUNTIF(Vertices[Closeness Centrality], "&gt;= " &amp; L2) - COUNTIF(Vertices[Closeness Centrality], "&gt;=" &amp; L3)</f>
        <v>0</v>
      </c>
      <c r="N2" s="39">
        <f>MIN(Vertices[Eigenvector Centrality])</f>
        <v>0</v>
      </c>
      <c r="O2" s="40">
        <f>COUNTIF(Vertices[Eigenvector Centrality], "&gt;= " &amp; N2) - COUNTIF(Vertices[Eigenvector Centrality], "&gt;=" &amp; N3)</f>
        <v>0</v>
      </c>
      <c r="P2" s="39">
        <f>MIN(Vertices[PageRank])</f>
        <v>0</v>
      </c>
      <c r="Q2" s="40">
        <f>COUNTIF(Vertices[PageRank], "&gt;= " &amp; P2) - COUNTIF(Vertices[PageRank], "&gt;=" &amp; P3)</f>
        <v>0</v>
      </c>
      <c r="R2" s="39">
        <f>MIN(Vertices[Clustering Coefficient])</f>
        <v>0</v>
      </c>
      <c r="S2" s="45">
        <f>COUNTIF(Vertices[Clustering Coefficient], "&gt;= " &amp; R2) - COUNTIF(Vertices[Clustering Coefficient], "&gt;=" &amp; R3)</f>
        <v>0</v>
      </c>
      <c r="T2" s="39" t="e">
        <f ca="1">MIN(INDIRECT(DynamicFilterSourceColumnRange))</f>
        <v>#REF!</v>
      </c>
      <c r="U2" s="40" t="e">
        <f t="shared" ref="U2:U45" ca="1" si="0">COUNTIF(INDIRECT(DynamicFilterSourceColumnRange), "&gt;= " &amp; T2) - COUNTIF(INDIRECT(DynamicFilterSourceColumnRange), "&gt;=" &amp; T3)</f>
        <v>#REF!</v>
      </c>
      <c r="W2" t="s">
        <v>124</v>
      </c>
      <c r="X2">
        <f>ROWS(HistogramBins[Degree Bin]) - 1</f>
        <v>43</v>
      </c>
    </row>
    <row r="3" spans="1:24" x14ac:dyDescent="0.25">
      <c r="A3" s="36"/>
      <c r="B3" s="36"/>
      <c r="D3" s="34">
        <f t="shared" ref="D3:D44" si="1">D2+($D$45-$D$2)/BinDivisor</f>
        <v>0</v>
      </c>
      <c r="E3" s="3">
        <f>COUNTIF(Vertices[Degree], "&gt;= " &amp; D3) - COUNTIF(Vertices[Degree], "&gt;=" &amp; D4)</f>
        <v>0</v>
      </c>
      <c r="F3" s="41">
        <f t="shared" ref="F3:F44" si="2">F2+($F$45-$F$2)/BinDivisor</f>
        <v>0</v>
      </c>
      <c r="G3" s="42">
        <f>COUNTIF(Vertices[In-Degree], "&gt;= " &amp; F3) - COUNTIF(Vertices[In-Degree], "&gt;=" &amp; F4)</f>
        <v>0</v>
      </c>
      <c r="H3" s="41">
        <f t="shared" ref="H3:H44" si="3">H2+($H$45-$H$2)/BinDivisor</f>
        <v>0</v>
      </c>
      <c r="I3" s="42">
        <f>COUNTIF(Vertices[Out-Degree], "&gt;= " &amp; H3) - COUNTIF(Vertices[Out-Degree], "&gt;=" &amp; H4)</f>
        <v>0</v>
      </c>
      <c r="J3" s="41">
        <f t="shared" ref="J3:J44" si="4">J2+($J$45-$J$2)/BinDivisor</f>
        <v>0</v>
      </c>
      <c r="K3" s="42">
        <f>COUNTIF(Vertices[Betweenness Centrality], "&gt;= " &amp; J3) - COUNTIF(Vertices[Betweenness Centrality], "&gt;=" &amp; J4)</f>
        <v>0</v>
      </c>
      <c r="L3" s="41">
        <f t="shared" ref="L3:L44" si="5">L2+($L$45-$L$2)/BinDivisor</f>
        <v>0</v>
      </c>
      <c r="M3" s="42">
        <f>COUNTIF(Vertices[Closeness Centrality], "&gt;= " &amp; L3) - COUNTIF(Vertices[Closeness Centrality], "&gt;=" &amp; L4)</f>
        <v>0</v>
      </c>
      <c r="N3" s="41">
        <f t="shared" ref="N3:N44" si="6">N2+($N$45-$N$2)/BinDivisor</f>
        <v>0</v>
      </c>
      <c r="O3" s="42">
        <f>COUNTIF(Vertices[Eigenvector Centrality], "&gt;= " &amp; N3) - COUNTIF(Vertices[Eigenvector Centrality], "&gt;=" &amp; N4)</f>
        <v>0</v>
      </c>
      <c r="P3" s="41">
        <f t="shared" ref="P3:P44" si="7">P2+($P$45-$P$2)/BinDivisor</f>
        <v>0</v>
      </c>
      <c r="Q3" s="42">
        <f>COUNTIF(Vertices[PageRank], "&gt;= " &amp; P3) - COUNTIF(Vertices[PageRank], "&gt;=" &amp; P4)</f>
        <v>0</v>
      </c>
      <c r="R3" s="41">
        <f t="shared" ref="R3:R44" si="8">R2+($R$45-$R$2)/BinDivisor</f>
        <v>0</v>
      </c>
      <c r="S3" s="46">
        <f>COUNTIF(Vertices[Clustering Coefficient], "&gt;= " &amp; R3) - COUNTIF(Vertices[Clustering Coefficient], "&gt;=" &amp; R4)</f>
        <v>0</v>
      </c>
      <c r="T3" s="41" t="e">
        <f t="shared" ref="T3:T44" ca="1" si="9">T2+($T$45-$T$2)/BinDivisor</f>
        <v>#REF!</v>
      </c>
      <c r="U3" s="42" t="e">
        <f t="shared" ca="1" si="0"/>
        <v>#REF!</v>
      </c>
      <c r="W3" t="s">
        <v>125</v>
      </c>
      <c r="X3" t="s">
        <v>85</v>
      </c>
    </row>
    <row r="4" spans="1:24" x14ac:dyDescent="0.25">
      <c r="A4" s="36"/>
      <c r="B4" s="36"/>
      <c r="D4" s="34">
        <f t="shared" si="1"/>
        <v>0</v>
      </c>
      <c r="E4" s="3">
        <f>COUNTIF(Vertices[Degree], "&gt;= " &amp; D4) - COUNTIF(Vertices[Degree], "&gt;=" &amp; D5)</f>
        <v>0</v>
      </c>
      <c r="F4" s="39">
        <f t="shared" si="2"/>
        <v>0</v>
      </c>
      <c r="G4" s="40">
        <f>COUNTIF(Vertices[In-Degree], "&gt;= " &amp; F4) - COUNTIF(Vertices[In-Degree], "&gt;=" &amp; F5)</f>
        <v>0</v>
      </c>
      <c r="H4" s="39">
        <f t="shared" si="3"/>
        <v>0</v>
      </c>
      <c r="I4" s="40">
        <f>COUNTIF(Vertices[Out-Degree], "&gt;= " &amp; H4) - COUNTIF(Vertices[Out-Degree], "&gt;=" &amp; H5)</f>
        <v>0</v>
      </c>
      <c r="J4" s="39">
        <f t="shared" si="4"/>
        <v>0</v>
      </c>
      <c r="K4" s="40">
        <f>COUNTIF(Vertices[Betweenness Centrality], "&gt;= " &amp; J4) - COUNTIF(Vertices[Betweenness Centrality], "&gt;=" &amp; J5)</f>
        <v>0</v>
      </c>
      <c r="L4" s="39">
        <f t="shared" si="5"/>
        <v>0</v>
      </c>
      <c r="M4" s="40">
        <f>COUNTIF(Vertices[Closeness Centrality], "&gt;= " &amp; L4) - COUNTIF(Vertices[Closeness Centrality], "&gt;=" &amp; L5)</f>
        <v>0</v>
      </c>
      <c r="N4" s="39">
        <f t="shared" si="6"/>
        <v>0</v>
      </c>
      <c r="O4" s="40">
        <f>COUNTIF(Vertices[Eigenvector Centrality], "&gt;= " &amp; N4) - COUNTIF(Vertices[Eigenvector Centrality], "&gt;=" &amp; N5)</f>
        <v>0</v>
      </c>
      <c r="P4" s="39">
        <f t="shared" si="7"/>
        <v>0</v>
      </c>
      <c r="Q4" s="40">
        <f>COUNTIF(Vertices[PageRank], "&gt;= " &amp; P4) - COUNTIF(Vertices[PageRank], "&gt;=" &amp; P5)</f>
        <v>0</v>
      </c>
      <c r="R4" s="39">
        <f t="shared" si="8"/>
        <v>0</v>
      </c>
      <c r="S4" s="45">
        <f>COUNTIF(Vertices[Clustering Coefficient], "&gt;= " &amp; R4) - COUNTIF(Vertices[Clustering Coefficient], "&gt;=" &amp; R5)</f>
        <v>0</v>
      </c>
      <c r="T4" s="39" t="e">
        <f t="shared" ca="1" si="9"/>
        <v>#REF!</v>
      </c>
      <c r="U4" s="40" t="e">
        <f t="shared" ca="1" si="0"/>
        <v>#REF!</v>
      </c>
      <c r="W4" s="12" t="s">
        <v>126</v>
      </c>
      <c r="X4" s="12" t="s">
        <v>128</v>
      </c>
    </row>
    <row r="5" spans="1:24" x14ac:dyDescent="0.25">
      <c r="A5" s="36"/>
      <c r="B5" s="36"/>
      <c r="D5" s="34">
        <f t="shared" si="1"/>
        <v>0</v>
      </c>
      <c r="E5" s="3">
        <f>COUNTIF(Vertices[Degree], "&gt;= " &amp; D5) - COUNTIF(Vertices[Degree], "&gt;=" &amp; D6)</f>
        <v>0</v>
      </c>
      <c r="F5" s="41">
        <f t="shared" si="2"/>
        <v>0</v>
      </c>
      <c r="G5" s="42">
        <f>COUNTIF(Vertices[In-Degree], "&gt;= " &amp; F5) - COUNTIF(Vertices[In-Degree], "&gt;=" &amp; F6)</f>
        <v>0</v>
      </c>
      <c r="H5" s="41">
        <f t="shared" si="3"/>
        <v>0</v>
      </c>
      <c r="I5" s="42">
        <f>COUNTIF(Vertices[Out-Degree], "&gt;= " &amp; H5) - COUNTIF(Vertices[Out-Degree], "&gt;=" &amp; H6)</f>
        <v>0</v>
      </c>
      <c r="J5" s="41">
        <f t="shared" si="4"/>
        <v>0</v>
      </c>
      <c r="K5" s="42">
        <f>COUNTIF(Vertices[Betweenness Centrality], "&gt;= " &amp; J5) - COUNTIF(Vertices[Betweenness Centrality], "&gt;=" &amp; J6)</f>
        <v>0</v>
      </c>
      <c r="L5" s="41">
        <f t="shared" si="5"/>
        <v>0</v>
      </c>
      <c r="M5" s="42">
        <f>COUNTIF(Vertices[Closeness Centrality], "&gt;= " &amp; L5) - COUNTIF(Vertices[Closeness Centrality], "&gt;=" &amp; L6)</f>
        <v>0</v>
      </c>
      <c r="N5" s="41">
        <f t="shared" si="6"/>
        <v>0</v>
      </c>
      <c r="O5" s="42">
        <f>COUNTIF(Vertices[Eigenvector Centrality], "&gt;= " &amp; N5) - COUNTIF(Vertices[Eigenvector Centrality], "&gt;=" &amp; N6)</f>
        <v>0</v>
      </c>
      <c r="P5" s="41">
        <f t="shared" si="7"/>
        <v>0</v>
      </c>
      <c r="Q5" s="42">
        <f>COUNTIF(Vertices[PageRank], "&gt;= " &amp; P5) - COUNTIF(Vertices[PageRank], "&gt;=" &amp; P6)</f>
        <v>0</v>
      </c>
      <c r="R5" s="41">
        <f t="shared" si="8"/>
        <v>0</v>
      </c>
      <c r="S5" s="46">
        <f>COUNTIF(Vertices[Clustering Coefficient], "&gt;= " &amp; R5) - COUNTIF(Vertices[Clustering Coefficient], "&gt;=" &amp; R6)</f>
        <v>0</v>
      </c>
      <c r="T5" s="41" t="e">
        <f t="shared" ca="1" si="9"/>
        <v>#REF!</v>
      </c>
      <c r="U5" s="42" t="e">
        <f t="shared" ca="1" si="0"/>
        <v>#REF!</v>
      </c>
    </row>
    <row r="6" spans="1:24" x14ac:dyDescent="0.25">
      <c r="A6" s="36"/>
      <c r="B6" s="36"/>
      <c r="D6" s="34">
        <f t="shared" si="1"/>
        <v>0</v>
      </c>
      <c r="E6" s="3">
        <f>COUNTIF(Vertices[Degree], "&gt;= " &amp; D6) - COUNTIF(Vertices[Degree], "&gt;=" &amp; D7)</f>
        <v>0</v>
      </c>
      <c r="F6" s="39">
        <f t="shared" si="2"/>
        <v>0</v>
      </c>
      <c r="G6" s="40">
        <f>COUNTIF(Vertices[In-Degree], "&gt;= " &amp; F6) - COUNTIF(Vertices[In-Degree], "&gt;=" &amp; F7)</f>
        <v>0</v>
      </c>
      <c r="H6" s="39">
        <f t="shared" si="3"/>
        <v>0</v>
      </c>
      <c r="I6" s="40">
        <f>COUNTIF(Vertices[Out-Degree], "&gt;= " &amp; H6) - COUNTIF(Vertices[Out-Degree], "&gt;=" &amp; H7)</f>
        <v>0</v>
      </c>
      <c r="J6" s="39">
        <f t="shared" si="4"/>
        <v>0</v>
      </c>
      <c r="K6" s="40">
        <f>COUNTIF(Vertices[Betweenness Centrality], "&gt;= " &amp; J6) - COUNTIF(Vertices[Betweenness Centrality], "&gt;=" &amp; J7)</f>
        <v>0</v>
      </c>
      <c r="L6" s="39">
        <f t="shared" si="5"/>
        <v>0</v>
      </c>
      <c r="M6" s="40">
        <f>COUNTIF(Vertices[Closeness Centrality], "&gt;= " &amp; L6) - COUNTIF(Vertices[Closeness Centrality], "&gt;=" &amp; L7)</f>
        <v>0</v>
      </c>
      <c r="N6" s="39">
        <f t="shared" si="6"/>
        <v>0</v>
      </c>
      <c r="O6" s="40">
        <f>COUNTIF(Vertices[Eigenvector Centrality], "&gt;= " &amp; N6) - COUNTIF(Vertices[Eigenvector Centrality], "&gt;=" &amp; N7)</f>
        <v>0</v>
      </c>
      <c r="P6" s="39">
        <f t="shared" si="7"/>
        <v>0</v>
      </c>
      <c r="Q6" s="40">
        <f>COUNTIF(Vertices[PageRank], "&gt;= " &amp; P6) - COUNTIF(Vertices[PageRank], "&gt;=" &amp; P7)</f>
        <v>0</v>
      </c>
      <c r="R6" s="39">
        <f t="shared" si="8"/>
        <v>0</v>
      </c>
      <c r="S6" s="45">
        <f>COUNTIF(Vertices[Clustering Coefficient], "&gt;= " &amp; R6) - COUNTIF(Vertices[Clustering Coefficient], "&gt;=" &amp; R7)</f>
        <v>0</v>
      </c>
      <c r="T6" s="39" t="e">
        <f t="shared" ca="1" si="9"/>
        <v>#REF!</v>
      </c>
      <c r="U6" s="40" t="e">
        <f t="shared" ca="1" si="0"/>
        <v>#REF!</v>
      </c>
    </row>
    <row r="7" spans="1:24" x14ac:dyDescent="0.25">
      <c r="A7" s="36"/>
      <c r="B7" s="36"/>
      <c r="D7" s="34">
        <f t="shared" si="1"/>
        <v>0</v>
      </c>
      <c r="E7" s="3">
        <f>COUNTIF(Vertices[Degree], "&gt;= " &amp; D7) - COUNTIF(Vertices[Degree], "&gt;=" &amp; D8)</f>
        <v>0</v>
      </c>
      <c r="F7" s="41">
        <f t="shared" si="2"/>
        <v>0</v>
      </c>
      <c r="G7" s="42">
        <f>COUNTIF(Vertices[In-Degree], "&gt;= " &amp; F7) - COUNTIF(Vertices[In-Degree], "&gt;=" &amp; F8)</f>
        <v>0</v>
      </c>
      <c r="H7" s="41">
        <f t="shared" si="3"/>
        <v>0</v>
      </c>
      <c r="I7" s="42">
        <f>COUNTIF(Vertices[Out-Degree], "&gt;= " &amp; H7) - COUNTIF(Vertices[Out-Degree], "&gt;=" &amp; H8)</f>
        <v>0</v>
      </c>
      <c r="J7" s="41">
        <f t="shared" si="4"/>
        <v>0</v>
      </c>
      <c r="K7" s="42">
        <f>COUNTIF(Vertices[Betweenness Centrality], "&gt;= " &amp; J7) - COUNTIF(Vertices[Betweenness Centrality], "&gt;=" &amp; J8)</f>
        <v>0</v>
      </c>
      <c r="L7" s="41">
        <f t="shared" si="5"/>
        <v>0</v>
      </c>
      <c r="M7" s="42">
        <f>COUNTIF(Vertices[Closeness Centrality], "&gt;= " &amp; L7) - COUNTIF(Vertices[Closeness Centrality], "&gt;=" &amp; L8)</f>
        <v>0</v>
      </c>
      <c r="N7" s="41">
        <f t="shared" si="6"/>
        <v>0</v>
      </c>
      <c r="O7" s="42">
        <f>COUNTIF(Vertices[Eigenvector Centrality], "&gt;= " &amp; N7) - COUNTIF(Vertices[Eigenvector Centrality], "&gt;=" &amp; N8)</f>
        <v>0</v>
      </c>
      <c r="P7" s="41">
        <f t="shared" si="7"/>
        <v>0</v>
      </c>
      <c r="Q7" s="42">
        <f>COUNTIF(Vertices[PageRank], "&gt;= " &amp; P7) - COUNTIF(Vertices[PageRank], "&gt;=" &amp; P8)</f>
        <v>0</v>
      </c>
      <c r="R7" s="41">
        <f t="shared" si="8"/>
        <v>0</v>
      </c>
      <c r="S7" s="46">
        <f>COUNTIF(Vertices[Clustering Coefficient], "&gt;= " &amp; R7) - COUNTIF(Vertices[Clustering Coefficient], "&gt;=" &amp; R8)</f>
        <v>0</v>
      </c>
      <c r="T7" s="41" t="e">
        <f t="shared" ca="1" si="9"/>
        <v>#REF!</v>
      </c>
      <c r="U7" s="42" t="e">
        <f t="shared" ca="1" si="0"/>
        <v>#REF!</v>
      </c>
    </row>
    <row r="8" spans="1:24" x14ac:dyDescent="0.25">
      <c r="A8" s="36"/>
      <c r="B8" s="36"/>
      <c r="D8" s="34">
        <f t="shared" si="1"/>
        <v>0</v>
      </c>
      <c r="E8" s="3">
        <f>COUNTIF(Vertices[Degree], "&gt;= " &amp; D8) - COUNTIF(Vertices[Degree], "&gt;=" &amp; D9)</f>
        <v>0</v>
      </c>
      <c r="F8" s="39">
        <f t="shared" si="2"/>
        <v>0</v>
      </c>
      <c r="G8" s="40">
        <f>COUNTIF(Vertices[In-Degree], "&gt;= " &amp; F8) - COUNTIF(Vertices[In-Degree], "&gt;=" &amp; F9)</f>
        <v>0</v>
      </c>
      <c r="H8" s="39">
        <f t="shared" si="3"/>
        <v>0</v>
      </c>
      <c r="I8" s="40">
        <f>COUNTIF(Vertices[Out-Degree], "&gt;= " &amp; H8) - COUNTIF(Vertices[Out-Degree], "&gt;=" &amp; H9)</f>
        <v>0</v>
      </c>
      <c r="J8" s="39">
        <f t="shared" si="4"/>
        <v>0</v>
      </c>
      <c r="K8" s="40">
        <f>COUNTIF(Vertices[Betweenness Centrality], "&gt;= " &amp; J8) - COUNTIF(Vertices[Betweenness Centrality], "&gt;=" &amp; J9)</f>
        <v>0</v>
      </c>
      <c r="L8" s="39">
        <f t="shared" si="5"/>
        <v>0</v>
      </c>
      <c r="M8" s="40">
        <f>COUNTIF(Vertices[Closeness Centrality], "&gt;= " &amp; L8) - COUNTIF(Vertices[Closeness Centrality], "&gt;=" &amp; L9)</f>
        <v>0</v>
      </c>
      <c r="N8" s="39">
        <f t="shared" si="6"/>
        <v>0</v>
      </c>
      <c r="O8" s="40">
        <f>COUNTIF(Vertices[Eigenvector Centrality], "&gt;= " &amp; N8) - COUNTIF(Vertices[Eigenvector Centrality], "&gt;=" &amp; N9)</f>
        <v>0</v>
      </c>
      <c r="P8" s="39">
        <f t="shared" si="7"/>
        <v>0</v>
      </c>
      <c r="Q8" s="40">
        <f>COUNTIF(Vertices[PageRank], "&gt;= " &amp; P8) - COUNTIF(Vertices[PageRank], "&gt;=" &amp; P9)</f>
        <v>0</v>
      </c>
      <c r="R8" s="39">
        <f t="shared" si="8"/>
        <v>0</v>
      </c>
      <c r="S8" s="45">
        <f>COUNTIF(Vertices[Clustering Coefficient], "&gt;= " &amp; R8) - COUNTIF(Vertices[Clustering Coefficient], "&gt;=" &amp; R9)</f>
        <v>0</v>
      </c>
      <c r="T8" s="39" t="e">
        <f t="shared" ca="1" si="9"/>
        <v>#REF!</v>
      </c>
      <c r="U8" s="40" t="e">
        <f t="shared" ca="1" si="0"/>
        <v>#REF!</v>
      </c>
    </row>
    <row r="9" spans="1:24" x14ac:dyDescent="0.25">
      <c r="A9" s="36"/>
      <c r="B9" s="36"/>
      <c r="D9" s="34">
        <f t="shared" si="1"/>
        <v>0</v>
      </c>
      <c r="E9" s="3">
        <f>COUNTIF(Vertices[Degree], "&gt;= " &amp; D9) - COUNTIF(Vertices[Degree], "&gt;=" &amp; D10)</f>
        <v>0</v>
      </c>
      <c r="F9" s="41">
        <f t="shared" si="2"/>
        <v>0</v>
      </c>
      <c r="G9" s="42">
        <f>COUNTIF(Vertices[In-Degree], "&gt;= " &amp; F9) - COUNTIF(Vertices[In-Degree], "&gt;=" &amp; F10)</f>
        <v>0</v>
      </c>
      <c r="H9" s="41">
        <f t="shared" si="3"/>
        <v>0</v>
      </c>
      <c r="I9" s="42">
        <f>COUNTIF(Vertices[Out-Degree], "&gt;= " &amp; H9) - COUNTIF(Vertices[Out-Degree], "&gt;=" &amp; H10)</f>
        <v>0</v>
      </c>
      <c r="J9" s="41">
        <f t="shared" si="4"/>
        <v>0</v>
      </c>
      <c r="K9" s="42">
        <f>COUNTIF(Vertices[Betweenness Centrality], "&gt;= " &amp; J9) - COUNTIF(Vertices[Betweenness Centrality], "&gt;=" &amp; J10)</f>
        <v>0</v>
      </c>
      <c r="L9" s="41">
        <f t="shared" si="5"/>
        <v>0</v>
      </c>
      <c r="M9" s="42">
        <f>COUNTIF(Vertices[Closeness Centrality], "&gt;= " &amp; L9) - COUNTIF(Vertices[Closeness Centrality], "&gt;=" &amp; L10)</f>
        <v>0</v>
      </c>
      <c r="N9" s="41">
        <f t="shared" si="6"/>
        <v>0</v>
      </c>
      <c r="O9" s="42">
        <f>COUNTIF(Vertices[Eigenvector Centrality], "&gt;= " &amp; N9) - COUNTIF(Vertices[Eigenvector Centrality], "&gt;=" &amp; N10)</f>
        <v>0</v>
      </c>
      <c r="P9" s="41">
        <f t="shared" si="7"/>
        <v>0</v>
      </c>
      <c r="Q9" s="42">
        <f>COUNTIF(Vertices[PageRank], "&gt;= " &amp; P9) - COUNTIF(Vertices[PageRank], "&gt;=" &amp; P10)</f>
        <v>0</v>
      </c>
      <c r="R9" s="41">
        <f t="shared" si="8"/>
        <v>0</v>
      </c>
      <c r="S9" s="46">
        <f>COUNTIF(Vertices[Clustering Coefficient], "&gt;= " &amp; R9) - COUNTIF(Vertices[Clustering Coefficient], "&gt;=" &amp; R10)</f>
        <v>0</v>
      </c>
      <c r="T9" s="41" t="e">
        <f t="shared" ca="1" si="9"/>
        <v>#REF!</v>
      </c>
      <c r="U9" s="42" t="e">
        <f t="shared" ca="1" si="0"/>
        <v>#REF!</v>
      </c>
    </row>
    <row r="10" spans="1:24" x14ac:dyDescent="0.25">
      <c r="A10" s="36"/>
      <c r="B10" s="36"/>
      <c r="D10" s="34">
        <f t="shared" si="1"/>
        <v>0</v>
      </c>
      <c r="E10" s="3">
        <f>COUNTIF(Vertices[Degree], "&gt;= " &amp; D10) - COUNTIF(Vertices[Degree], "&gt;=" &amp; D11)</f>
        <v>0</v>
      </c>
      <c r="F10" s="39">
        <f t="shared" si="2"/>
        <v>0</v>
      </c>
      <c r="G10" s="40">
        <f>COUNTIF(Vertices[In-Degree], "&gt;= " &amp; F10) - COUNTIF(Vertices[In-Degree], "&gt;=" &amp; F11)</f>
        <v>0</v>
      </c>
      <c r="H10" s="39">
        <f t="shared" si="3"/>
        <v>0</v>
      </c>
      <c r="I10" s="40">
        <f>COUNTIF(Vertices[Out-Degree], "&gt;= " &amp; H10) - COUNTIF(Vertices[Out-Degree], "&gt;=" &amp; H11)</f>
        <v>0</v>
      </c>
      <c r="J10" s="39">
        <f t="shared" si="4"/>
        <v>0</v>
      </c>
      <c r="K10" s="40">
        <f>COUNTIF(Vertices[Betweenness Centrality], "&gt;= " &amp; J10) - COUNTIF(Vertices[Betweenness Centrality], "&gt;=" &amp; J11)</f>
        <v>0</v>
      </c>
      <c r="L10" s="39">
        <f t="shared" si="5"/>
        <v>0</v>
      </c>
      <c r="M10" s="40">
        <f>COUNTIF(Vertices[Closeness Centrality], "&gt;= " &amp; L10) - COUNTIF(Vertices[Closeness Centrality], "&gt;=" &amp; L11)</f>
        <v>0</v>
      </c>
      <c r="N10" s="39">
        <f t="shared" si="6"/>
        <v>0</v>
      </c>
      <c r="O10" s="40">
        <f>COUNTIF(Vertices[Eigenvector Centrality], "&gt;= " &amp; N10) - COUNTIF(Vertices[Eigenvector Centrality], "&gt;=" &amp; N11)</f>
        <v>0</v>
      </c>
      <c r="P10" s="39">
        <f t="shared" si="7"/>
        <v>0</v>
      </c>
      <c r="Q10" s="40">
        <f>COUNTIF(Vertices[PageRank], "&gt;= " &amp; P10) - COUNTIF(Vertices[PageRank], "&gt;=" &amp; P11)</f>
        <v>0</v>
      </c>
      <c r="R10" s="39">
        <f t="shared" si="8"/>
        <v>0</v>
      </c>
      <c r="S10" s="45">
        <f>COUNTIF(Vertices[Clustering Coefficient], "&gt;= " &amp; R10) - COUNTIF(Vertices[Clustering Coefficient], "&gt;=" &amp; R11)</f>
        <v>0</v>
      </c>
      <c r="T10" s="39" t="e">
        <f t="shared" ca="1" si="9"/>
        <v>#REF!</v>
      </c>
      <c r="U10" s="40" t="e">
        <f t="shared" ca="1" si="0"/>
        <v>#REF!</v>
      </c>
    </row>
    <row r="11" spans="1:24" x14ac:dyDescent="0.25">
      <c r="A11" s="36"/>
      <c r="B11" s="36"/>
      <c r="D11" s="34">
        <f t="shared" si="1"/>
        <v>0</v>
      </c>
      <c r="E11" s="3">
        <f>COUNTIF(Vertices[Degree], "&gt;= " &amp; D11) - COUNTIF(Vertices[Degree], "&gt;=" &amp; D12)</f>
        <v>0</v>
      </c>
      <c r="F11" s="41">
        <f t="shared" si="2"/>
        <v>0</v>
      </c>
      <c r="G11" s="42">
        <f>COUNTIF(Vertices[In-Degree], "&gt;= " &amp; F11) - COUNTIF(Vertices[In-Degree], "&gt;=" &amp; F12)</f>
        <v>0</v>
      </c>
      <c r="H11" s="41">
        <f t="shared" si="3"/>
        <v>0</v>
      </c>
      <c r="I11" s="42">
        <f>COUNTIF(Vertices[Out-Degree], "&gt;= " &amp; H11) - COUNTIF(Vertices[Out-Degree], "&gt;=" &amp; H12)</f>
        <v>0</v>
      </c>
      <c r="J11" s="41">
        <f t="shared" si="4"/>
        <v>0</v>
      </c>
      <c r="K11" s="42">
        <f>COUNTIF(Vertices[Betweenness Centrality], "&gt;= " &amp; J11) - COUNTIF(Vertices[Betweenness Centrality], "&gt;=" &amp; J12)</f>
        <v>0</v>
      </c>
      <c r="L11" s="41">
        <f t="shared" si="5"/>
        <v>0</v>
      </c>
      <c r="M11" s="42">
        <f>COUNTIF(Vertices[Closeness Centrality], "&gt;= " &amp; L11) - COUNTIF(Vertices[Closeness Centrality], "&gt;=" &amp; L12)</f>
        <v>0</v>
      </c>
      <c r="N11" s="41">
        <f t="shared" si="6"/>
        <v>0</v>
      </c>
      <c r="O11" s="42">
        <f>COUNTIF(Vertices[Eigenvector Centrality], "&gt;= " &amp; N11) - COUNTIF(Vertices[Eigenvector Centrality], "&gt;=" &amp; N12)</f>
        <v>0</v>
      </c>
      <c r="P11" s="41">
        <f t="shared" si="7"/>
        <v>0</v>
      </c>
      <c r="Q11" s="42">
        <f>COUNTIF(Vertices[PageRank], "&gt;= " &amp; P11) - COUNTIF(Vertices[PageRank], "&gt;=" &amp; P12)</f>
        <v>0</v>
      </c>
      <c r="R11" s="41">
        <f t="shared" si="8"/>
        <v>0</v>
      </c>
      <c r="S11" s="46">
        <f>COUNTIF(Vertices[Clustering Coefficient], "&gt;= " &amp; R11) - COUNTIF(Vertices[Clustering Coefficient], "&gt;=" &amp; R12)</f>
        <v>0</v>
      </c>
      <c r="T11" s="41" t="e">
        <f t="shared" ca="1" si="9"/>
        <v>#REF!</v>
      </c>
      <c r="U11" s="42" t="e">
        <f t="shared" ca="1" si="0"/>
        <v>#REF!</v>
      </c>
    </row>
    <row r="12" spans="1:24" x14ac:dyDescent="0.25">
      <c r="A12" s="36"/>
      <c r="B12" s="36"/>
      <c r="D12" s="34">
        <f t="shared" si="1"/>
        <v>0</v>
      </c>
      <c r="E12" s="3">
        <f>COUNTIF(Vertices[Degree], "&gt;= " &amp; D12) - COUNTIF(Vertices[Degree], "&gt;=" &amp; D13)</f>
        <v>0</v>
      </c>
      <c r="F12" s="39">
        <f t="shared" si="2"/>
        <v>0</v>
      </c>
      <c r="G12" s="40">
        <f>COUNTIF(Vertices[In-Degree], "&gt;= " &amp; F12) - COUNTIF(Vertices[In-Degree], "&gt;=" &amp; F13)</f>
        <v>0</v>
      </c>
      <c r="H12" s="39">
        <f t="shared" si="3"/>
        <v>0</v>
      </c>
      <c r="I12" s="40">
        <f>COUNTIF(Vertices[Out-Degree], "&gt;= " &amp; H12) - COUNTIF(Vertices[Out-Degree], "&gt;=" &amp; H13)</f>
        <v>0</v>
      </c>
      <c r="J12" s="39">
        <f t="shared" si="4"/>
        <v>0</v>
      </c>
      <c r="K12" s="40">
        <f>COUNTIF(Vertices[Betweenness Centrality], "&gt;= " &amp; J12) - COUNTIF(Vertices[Betweenness Centrality], "&gt;=" &amp; J13)</f>
        <v>0</v>
      </c>
      <c r="L12" s="39">
        <f t="shared" si="5"/>
        <v>0</v>
      </c>
      <c r="M12" s="40">
        <f>COUNTIF(Vertices[Closeness Centrality], "&gt;= " &amp; L12) - COUNTIF(Vertices[Closeness Centrality], "&gt;=" &amp; L13)</f>
        <v>0</v>
      </c>
      <c r="N12" s="39">
        <f t="shared" si="6"/>
        <v>0</v>
      </c>
      <c r="O12" s="40">
        <f>COUNTIF(Vertices[Eigenvector Centrality], "&gt;= " &amp; N12) - COUNTIF(Vertices[Eigenvector Centrality], "&gt;=" &amp; N13)</f>
        <v>0</v>
      </c>
      <c r="P12" s="39">
        <f t="shared" si="7"/>
        <v>0</v>
      </c>
      <c r="Q12" s="40">
        <f>COUNTIF(Vertices[PageRank], "&gt;= " &amp; P12) - COUNTIF(Vertices[PageRank], "&gt;=" &amp; P13)</f>
        <v>0</v>
      </c>
      <c r="R12" s="39">
        <f t="shared" si="8"/>
        <v>0</v>
      </c>
      <c r="S12" s="45">
        <f>COUNTIF(Vertices[Clustering Coefficient], "&gt;= " &amp; R12) - COUNTIF(Vertices[Clustering Coefficient], "&gt;=" &amp; R13)</f>
        <v>0</v>
      </c>
      <c r="T12" s="39" t="e">
        <f t="shared" ca="1" si="9"/>
        <v>#REF!</v>
      </c>
      <c r="U12" s="40" t="e">
        <f t="shared" ca="1" si="0"/>
        <v>#REF!</v>
      </c>
    </row>
    <row r="13" spans="1:24" x14ac:dyDescent="0.25">
      <c r="A13" s="36"/>
      <c r="B13" s="36"/>
      <c r="D13" s="34">
        <f t="shared" si="1"/>
        <v>0</v>
      </c>
      <c r="E13" s="3">
        <f>COUNTIF(Vertices[Degree], "&gt;= " &amp; D13) - COUNTIF(Vertices[Degree], "&gt;=" &amp; D14)</f>
        <v>0</v>
      </c>
      <c r="F13" s="41">
        <f t="shared" si="2"/>
        <v>0</v>
      </c>
      <c r="G13" s="42">
        <f>COUNTIF(Vertices[In-Degree], "&gt;= " &amp; F13) - COUNTIF(Vertices[In-Degree], "&gt;=" &amp; F14)</f>
        <v>0</v>
      </c>
      <c r="H13" s="41">
        <f t="shared" si="3"/>
        <v>0</v>
      </c>
      <c r="I13" s="42">
        <f>COUNTIF(Vertices[Out-Degree], "&gt;= " &amp; H13) - COUNTIF(Vertices[Out-Degree], "&gt;=" &amp; H14)</f>
        <v>0</v>
      </c>
      <c r="J13" s="41">
        <f t="shared" si="4"/>
        <v>0</v>
      </c>
      <c r="K13" s="42">
        <f>COUNTIF(Vertices[Betweenness Centrality], "&gt;= " &amp; J13) - COUNTIF(Vertices[Betweenness Centrality], "&gt;=" &amp; J14)</f>
        <v>0</v>
      </c>
      <c r="L13" s="41">
        <f t="shared" si="5"/>
        <v>0</v>
      </c>
      <c r="M13" s="42">
        <f>COUNTIF(Vertices[Closeness Centrality], "&gt;= " &amp; L13) - COUNTIF(Vertices[Closeness Centrality], "&gt;=" &amp; L14)</f>
        <v>0</v>
      </c>
      <c r="N13" s="41">
        <f t="shared" si="6"/>
        <v>0</v>
      </c>
      <c r="O13" s="42">
        <f>COUNTIF(Vertices[Eigenvector Centrality], "&gt;= " &amp; N13) - COUNTIF(Vertices[Eigenvector Centrality], "&gt;=" &amp; N14)</f>
        <v>0</v>
      </c>
      <c r="P13" s="41">
        <f t="shared" si="7"/>
        <v>0</v>
      </c>
      <c r="Q13" s="42">
        <f>COUNTIF(Vertices[PageRank], "&gt;= " &amp; P13) - COUNTIF(Vertices[PageRank], "&gt;=" &amp; P14)</f>
        <v>0</v>
      </c>
      <c r="R13" s="41">
        <f t="shared" si="8"/>
        <v>0</v>
      </c>
      <c r="S13" s="46">
        <f>COUNTIF(Vertices[Clustering Coefficient], "&gt;= " &amp; R13) - COUNTIF(Vertices[Clustering Coefficient], "&gt;=" &amp; R14)</f>
        <v>0</v>
      </c>
      <c r="T13" s="41" t="e">
        <f t="shared" ca="1" si="9"/>
        <v>#REF!</v>
      </c>
      <c r="U13" s="42" t="e">
        <f t="shared" ca="1" si="0"/>
        <v>#REF!</v>
      </c>
    </row>
    <row r="14" spans="1:24" x14ac:dyDescent="0.25">
      <c r="A14" s="36"/>
      <c r="B14" s="36"/>
      <c r="D14" s="34">
        <f t="shared" si="1"/>
        <v>0</v>
      </c>
      <c r="E14" s="3">
        <f>COUNTIF(Vertices[Degree], "&gt;= " &amp; D14) - COUNTIF(Vertices[Degree], "&gt;=" &amp; D15)</f>
        <v>0</v>
      </c>
      <c r="F14" s="39">
        <f t="shared" si="2"/>
        <v>0</v>
      </c>
      <c r="G14" s="40">
        <f>COUNTIF(Vertices[In-Degree], "&gt;= " &amp; F14) - COUNTIF(Vertices[In-Degree], "&gt;=" &amp; F15)</f>
        <v>0</v>
      </c>
      <c r="H14" s="39">
        <f t="shared" si="3"/>
        <v>0</v>
      </c>
      <c r="I14" s="40">
        <f>COUNTIF(Vertices[Out-Degree], "&gt;= " &amp; H14) - COUNTIF(Vertices[Out-Degree], "&gt;=" &amp; H15)</f>
        <v>0</v>
      </c>
      <c r="J14" s="39">
        <f t="shared" si="4"/>
        <v>0</v>
      </c>
      <c r="K14" s="40">
        <f>COUNTIF(Vertices[Betweenness Centrality], "&gt;= " &amp; J14) - COUNTIF(Vertices[Betweenness Centrality], "&gt;=" &amp; J15)</f>
        <v>0</v>
      </c>
      <c r="L14" s="39">
        <f t="shared" si="5"/>
        <v>0</v>
      </c>
      <c r="M14" s="40">
        <f>COUNTIF(Vertices[Closeness Centrality], "&gt;= " &amp; L14) - COUNTIF(Vertices[Closeness Centrality], "&gt;=" &amp; L15)</f>
        <v>0</v>
      </c>
      <c r="N14" s="39">
        <f t="shared" si="6"/>
        <v>0</v>
      </c>
      <c r="O14" s="40">
        <f>COUNTIF(Vertices[Eigenvector Centrality], "&gt;= " &amp; N14) - COUNTIF(Vertices[Eigenvector Centrality], "&gt;=" &amp; N15)</f>
        <v>0</v>
      </c>
      <c r="P14" s="39">
        <f t="shared" si="7"/>
        <v>0</v>
      </c>
      <c r="Q14" s="40">
        <f>COUNTIF(Vertices[PageRank], "&gt;= " &amp; P14) - COUNTIF(Vertices[PageRank], "&gt;=" &amp; P15)</f>
        <v>0</v>
      </c>
      <c r="R14" s="39">
        <f t="shared" si="8"/>
        <v>0</v>
      </c>
      <c r="S14" s="45">
        <f>COUNTIF(Vertices[Clustering Coefficient], "&gt;= " &amp; R14) - COUNTIF(Vertices[Clustering Coefficient], "&gt;=" &amp; R15)</f>
        <v>0</v>
      </c>
      <c r="T14" s="39" t="e">
        <f t="shared" ca="1" si="9"/>
        <v>#REF!</v>
      </c>
      <c r="U14" s="40" t="e">
        <f t="shared" ca="1" si="0"/>
        <v>#REF!</v>
      </c>
    </row>
    <row r="15" spans="1:24" x14ac:dyDescent="0.25">
      <c r="A15" s="36"/>
      <c r="B15" s="36"/>
      <c r="D15" s="34">
        <f t="shared" si="1"/>
        <v>0</v>
      </c>
      <c r="E15" s="3">
        <f>COUNTIF(Vertices[Degree], "&gt;= " &amp; D15) - COUNTIF(Vertices[Degree], "&gt;=" &amp; D16)</f>
        <v>0</v>
      </c>
      <c r="F15" s="41">
        <f t="shared" si="2"/>
        <v>0</v>
      </c>
      <c r="G15" s="42">
        <f>COUNTIF(Vertices[In-Degree], "&gt;= " &amp; F15) - COUNTIF(Vertices[In-Degree], "&gt;=" &amp; F16)</f>
        <v>0</v>
      </c>
      <c r="H15" s="41">
        <f t="shared" si="3"/>
        <v>0</v>
      </c>
      <c r="I15" s="42">
        <f>COUNTIF(Vertices[Out-Degree], "&gt;= " &amp; H15) - COUNTIF(Vertices[Out-Degree], "&gt;=" &amp; H16)</f>
        <v>0</v>
      </c>
      <c r="J15" s="41">
        <f t="shared" si="4"/>
        <v>0</v>
      </c>
      <c r="K15" s="42">
        <f>COUNTIF(Vertices[Betweenness Centrality], "&gt;= " &amp; J15) - COUNTIF(Vertices[Betweenness Centrality], "&gt;=" &amp; J16)</f>
        <v>0</v>
      </c>
      <c r="L15" s="41">
        <f t="shared" si="5"/>
        <v>0</v>
      </c>
      <c r="M15" s="42">
        <f>COUNTIF(Vertices[Closeness Centrality], "&gt;= " &amp; L15) - COUNTIF(Vertices[Closeness Centrality], "&gt;=" &amp; L16)</f>
        <v>0</v>
      </c>
      <c r="N15" s="41">
        <f t="shared" si="6"/>
        <v>0</v>
      </c>
      <c r="O15" s="42">
        <f>COUNTIF(Vertices[Eigenvector Centrality], "&gt;= " &amp; N15) - COUNTIF(Vertices[Eigenvector Centrality], "&gt;=" &amp; N16)</f>
        <v>0</v>
      </c>
      <c r="P15" s="41">
        <f t="shared" si="7"/>
        <v>0</v>
      </c>
      <c r="Q15" s="42">
        <f>COUNTIF(Vertices[PageRank], "&gt;= " &amp; P15) - COUNTIF(Vertices[PageRank], "&gt;=" &amp; P16)</f>
        <v>0</v>
      </c>
      <c r="R15" s="41">
        <f t="shared" si="8"/>
        <v>0</v>
      </c>
      <c r="S15" s="46">
        <f>COUNTIF(Vertices[Clustering Coefficient], "&gt;= " &amp; R15) - COUNTIF(Vertices[Clustering Coefficient], "&gt;=" &amp; R16)</f>
        <v>0</v>
      </c>
      <c r="T15" s="41" t="e">
        <f t="shared" ca="1" si="9"/>
        <v>#REF!</v>
      </c>
      <c r="U15" s="42" t="e">
        <f t="shared" ca="1" si="0"/>
        <v>#REF!</v>
      </c>
    </row>
    <row r="16" spans="1:24" x14ac:dyDescent="0.25">
      <c r="A16" s="36"/>
      <c r="B16" s="36"/>
      <c r="D16" s="34">
        <f t="shared" si="1"/>
        <v>0</v>
      </c>
      <c r="E16" s="3">
        <f>COUNTIF(Vertices[Degree], "&gt;= " &amp; D16) - COUNTIF(Vertices[Degree], "&gt;=" &amp; D17)</f>
        <v>0</v>
      </c>
      <c r="F16" s="39">
        <f t="shared" si="2"/>
        <v>0</v>
      </c>
      <c r="G16" s="40">
        <f>COUNTIF(Vertices[In-Degree], "&gt;= " &amp; F16) - COUNTIF(Vertices[In-Degree], "&gt;=" &amp; F17)</f>
        <v>0</v>
      </c>
      <c r="H16" s="39">
        <f t="shared" si="3"/>
        <v>0</v>
      </c>
      <c r="I16" s="40">
        <f>COUNTIF(Vertices[Out-Degree], "&gt;= " &amp; H16) - COUNTIF(Vertices[Out-Degree], "&gt;=" &amp; H17)</f>
        <v>0</v>
      </c>
      <c r="J16" s="39">
        <f t="shared" si="4"/>
        <v>0</v>
      </c>
      <c r="K16" s="40">
        <f>COUNTIF(Vertices[Betweenness Centrality], "&gt;= " &amp; J16) - COUNTIF(Vertices[Betweenness Centrality], "&gt;=" &amp; J17)</f>
        <v>0</v>
      </c>
      <c r="L16" s="39">
        <f t="shared" si="5"/>
        <v>0</v>
      </c>
      <c r="M16" s="40">
        <f>COUNTIF(Vertices[Closeness Centrality], "&gt;= " &amp; L16) - COUNTIF(Vertices[Closeness Centrality], "&gt;=" &amp; L17)</f>
        <v>0</v>
      </c>
      <c r="N16" s="39">
        <f t="shared" si="6"/>
        <v>0</v>
      </c>
      <c r="O16" s="40">
        <f>COUNTIF(Vertices[Eigenvector Centrality], "&gt;= " &amp; N16) - COUNTIF(Vertices[Eigenvector Centrality], "&gt;=" &amp; N17)</f>
        <v>0</v>
      </c>
      <c r="P16" s="39">
        <f t="shared" si="7"/>
        <v>0</v>
      </c>
      <c r="Q16" s="40">
        <f>COUNTIF(Vertices[PageRank], "&gt;= " &amp; P16) - COUNTIF(Vertices[PageRank], "&gt;=" &amp; P17)</f>
        <v>0</v>
      </c>
      <c r="R16" s="39">
        <f t="shared" si="8"/>
        <v>0</v>
      </c>
      <c r="S16" s="45">
        <f>COUNTIF(Vertices[Clustering Coefficient], "&gt;= " &amp; R16) - COUNTIF(Vertices[Clustering Coefficient], "&gt;=" &amp; R17)</f>
        <v>0</v>
      </c>
      <c r="T16" s="39" t="e">
        <f t="shared" ca="1" si="9"/>
        <v>#REF!</v>
      </c>
      <c r="U16" s="40" t="e">
        <f t="shared" ca="1" si="0"/>
        <v>#REF!</v>
      </c>
    </row>
    <row r="17" spans="1:21" x14ac:dyDescent="0.25">
      <c r="A17" s="36"/>
      <c r="B17" s="36"/>
      <c r="D17" s="34">
        <f t="shared" si="1"/>
        <v>0</v>
      </c>
      <c r="E17" s="3">
        <f>COUNTIF(Vertices[Degree], "&gt;= " &amp; D17) - COUNTIF(Vertices[Degree], "&gt;=" &amp; D18)</f>
        <v>0</v>
      </c>
      <c r="F17" s="41">
        <f t="shared" si="2"/>
        <v>0</v>
      </c>
      <c r="G17" s="42">
        <f>COUNTIF(Vertices[In-Degree], "&gt;= " &amp; F17) - COUNTIF(Vertices[In-Degree], "&gt;=" &amp; F18)</f>
        <v>0</v>
      </c>
      <c r="H17" s="41">
        <f t="shared" si="3"/>
        <v>0</v>
      </c>
      <c r="I17" s="42">
        <f>COUNTIF(Vertices[Out-Degree], "&gt;= " &amp; H17) - COUNTIF(Vertices[Out-Degree], "&gt;=" &amp; H18)</f>
        <v>0</v>
      </c>
      <c r="J17" s="41">
        <f t="shared" si="4"/>
        <v>0</v>
      </c>
      <c r="K17" s="42">
        <f>COUNTIF(Vertices[Betweenness Centrality], "&gt;= " &amp; J17) - COUNTIF(Vertices[Betweenness Centrality], "&gt;=" &amp; J18)</f>
        <v>0</v>
      </c>
      <c r="L17" s="41">
        <f t="shared" si="5"/>
        <v>0</v>
      </c>
      <c r="M17" s="42">
        <f>COUNTIF(Vertices[Closeness Centrality], "&gt;= " &amp; L17) - COUNTIF(Vertices[Closeness Centrality], "&gt;=" &amp; L18)</f>
        <v>0</v>
      </c>
      <c r="N17" s="41">
        <f t="shared" si="6"/>
        <v>0</v>
      </c>
      <c r="O17" s="42">
        <f>COUNTIF(Vertices[Eigenvector Centrality], "&gt;= " &amp; N17) - COUNTIF(Vertices[Eigenvector Centrality], "&gt;=" &amp; N18)</f>
        <v>0</v>
      </c>
      <c r="P17" s="41">
        <f t="shared" si="7"/>
        <v>0</v>
      </c>
      <c r="Q17" s="42">
        <f>COUNTIF(Vertices[PageRank], "&gt;= " &amp; P17) - COUNTIF(Vertices[PageRank], "&gt;=" &amp; P18)</f>
        <v>0</v>
      </c>
      <c r="R17" s="41">
        <f t="shared" si="8"/>
        <v>0</v>
      </c>
      <c r="S17" s="46">
        <f>COUNTIF(Vertices[Clustering Coefficient], "&gt;= " &amp; R17) - COUNTIF(Vertices[Clustering Coefficient], "&gt;=" &amp; R18)</f>
        <v>0</v>
      </c>
      <c r="T17" s="41" t="e">
        <f t="shared" ca="1" si="9"/>
        <v>#REF!</v>
      </c>
      <c r="U17" s="42" t="e">
        <f t="shared" ca="1" si="0"/>
        <v>#REF!</v>
      </c>
    </row>
    <row r="18" spans="1:21" x14ac:dyDescent="0.25">
      <c r="A18" s="36"/>
      <c r="B18" s="36"/>
      <c r="D18" s="34">
        <f t="shared" si="1"/>
        <v>0</v>
      </c>
      <c r="E18" s="3">
        <f>COUNTIF(Vertices[Degree], "&gt;= " &amp; D18) - COUNTIF(Vertices[Degree], "&gt;=" &amp; D19)</f>
        <v>0</v>
      </c>
      <c r="F18" s="39">
        <f t="shared" si="2"/>
        <v>0</v>
      </c>
      <c r="G18" s="40">
        <f>COUNTIF(Vertices[In-Degree], "&gt;= " &amp; F18) - COUNTIF(Vertices[In-Degree], "&gt;=" &amp; F19)</f>
        <v>0</v>
      </c>
      <c r="H18" s="39">
        <f t="shared" si="3"/>
        <v>0</v>
      </c>
      <c r="I18" s="40">
        <f>COUNTIF(Vertices[Out-Degree], "&gt;= " &amp; H18) - COUNTIF(Vertices[Out-Degree], "&gt;=" &amp; H19)</f>
        <v>0</v>
      </c>
      <c r="J18" s="39">
        <f t="shared" si="4"/>
        <v>0</v>
      </c>
      <c r="K18" s="40">
        <f>COUNTIF(Vertices[Betweenness Centrality], "&gt;= " &amp; J18) - COUNTIF(Vertices[Betweenness Centrality], "&gt;=" &amp; J19)</f>
        <v>0</v>
      </c>
      <c r="L18" s="39">
        <f t="shared" si="5"/>
        <v>0</v>
      </c>
      <c r="M18" s="40">
        <f>COUNTIF(Vertices[Closeness Centrality], "&gt;= " &amp; L18) - COUNTIF(Vertices[Closeness Centrality], "&gt;=" &amp; L19)</f>
        <v>0</v>
      </c>
      <c r="N18" s="39">
        <f t="shared" si="6"/>
        <v>0</v>
      </c>
      <c r="O18" s="40">
        <f>COUNTIF(Vertices[Eigenvector Centrality], "&gt;= " &amp; N18) - COUNTIF(Vertices[Eigenvector Centrality], "&gt;=" &amp; N19)</f>
        <v>0</v>
      </c>
      <c r="P18" s="39">
        <f t="shared" si="7"/>
        <v>0</v>
      </c>
      <c r="Q18" s="40">
        <f>COUNTIF(Vertices[PageRank], "&gt;= " &amp; P18) - COUNTIF(Vertices[PageRank], "&gt;=" &amp; P19)</f>
        <v>0</v>
      </c>
      <c r="R18" s="39">
        <f t="shared" si="8"/>
        <v>0</v>
      </c>
      <c r="S18" s="45">
        <f>COUNTIF(Vertices[Clustering Coefficient], "&gt;= " &amp; R18) - COUNTIF(Vertices[Clustering Coefficient], "&gt;=" &amp; R19)</f>
        <v>0</v>
      </c>
      <c r="T18" s="39" t="e">
        <f t="shared" ca="1" si="9"/>
        <v>#REF!</v>
      </c>
      <c r="U18" s="40" t="e">
        <f t="shared" ca="1" si="0"/>
        <v>#REF!</v>
      </c>
    </row>
    <row r="19" spans="1:21" x14ac:dyDescent="0.25">
      <c r="A19" s="36"/>
      <c r="B19" s="36"/>
      <c r="D19" s="34">
        <f t="shared" si="1"/>
        <v>0</v>
      </c>
      <c r="E19" s="3">
        <f>COUNTIF(Vertices[Degree], "&gt;= " &amp; D19) - COUNTIF(Vertices[Degree], "&gt;=" &amp; D20)</f>
        <v>0</v>
      </c>
      <c r="F19" s="41">
        <f t="shared" si="2"/>
        <v>0</v>
      </c>
      <c r="G19" s="42">
        <f>COUNTIF(Vertices[In-Degree], "&gt;= " &amp; F19) - COUNTIF(Vertices[In-Degree], "&gt;=" &amp; F20)</f>
        <v>0</v>
      </c>
      <c r="H19" s="41">
        <f t="shared" si="3"/>
        <v>0</v>
      </c>
      <c r="I19" s="42">
        <f>COUNTIF(Vertices[Out-Degree], "&gt;= " &amp; H19) - COUNTIF(Vertices[Out-Degree], "&gt;=" &amp; H20)</f>
        <v>0</v>
      </c>
      <c r="J19" s="41">
        <f t="shared" si="4"/>
        <v>0</v>
      </c>
      <c r="K19" s="42">
        <f>COUNTIF(Vertices[Betweenness Centrality], "&gt;= " &amp; J19) - COUNTIF(Vertices[Betweenness Centrality], "&gt;=" &amp; J20)</f>
        <v>0</v>
      </c>
      <c r="L19" s="41">
        <f t="shared" si="5"/>
        <v>0</v>
      </c>
      <c r="M19" s="42">
        <f>COUNTIF(Vertices[Closeness Centrality], "&gt;= " &amp; L19) - COUNTIF(Vertices[Closeness Centrality], "&gt;=" &amp; L20)</f>
        <v>0</v>
      </c>
      <c r="N19" s="41">
        <f t="shared" si="6"/>
        <v>0</v>
      </c>
      <c r="O19" s="42">
        <f>COUNTIF(Vertices[Eigenvector Centrality], "&gt;= " &amp; N19) - COUNTIF(Vertices[Eigenvector Centrality], "&gt;=" &amp; N20)</f>
        <v>0</v>
      </c>
      <c r="P19" s="41">
        <f t="shared" si="7"/>
        <v>0</v>
      </c>
      <c r="Q19" s="42">
        <f>COUNTIF(Vertices[PageRank], "&gt;= " &amp; P19) - COUNTIF(Vertices[PageRank], "&gt;=" &amp; P20)</f>
        <v>0</v>
      </c>
      <c r="R19" s="41">
        <f t="shared" si="8"/>
        <v>0</v>
      </c>
      <c r="S19" s="46">
        <f>COUNTIF(Vertices[Clustering Coefficient], "&gt;= " &amp; R19) - COUNTIF(Vertices[Clustering Coefficient], "&gt;=" &amp; R20)</f>
        <v>0</v>
      </c>
      <c r="T19" s="41" t="e">
        <f t="shared" ca="1" si="9"/>
        <v>#REF!</v>
      </c>
      <c r="U19" s="42" t="e">
        <f t="shared" ca="1" si="0"/>
        <v>#REF!</v>
      </c>
    </row>
    <row r="20" spans="1:21" x14ac:dyDescent="0.25">
      <c r="A20" s="36"/>
      <c r="B20" s="36"/>
      <c r="D20" s="34">
        <f t="shared" si="1"/>
        <v>0</v>
      </c>
      <c r="E20" s="3">
        <f>COUNTIF(Vertices[Degree], "&gt;= " &amp; D20) - COUNTIF(Vertices[Degree], "&gt;=" &amp; D21)</f>
        <v>0</v>
      </c>
      <c r="F20" s="39">
        <f t="shared" si="2"/>
        <v>0</v>
      </c>
      <c r="G20" s="40">
        <f>COUNTIF(Vertices[In-Degree], "&gt;= " &amp; F20) - COUNTIF(Vertices[In-Degree], "&gt;=" &amp; F21)</f>
        <v>0</v>
      </c>
      <c r="H20" s="39">
        <f t="shared" si="3"/>
        <v>0</v>
      </c>
      <c r="I20" s="40">
        <f>COUNTIF(Vertices[Out-Degree], "&gt;= " &amp; H20) - COUNTIF(Vertices[Out-Degree], "&gt;=" &amp; H21)</f>
        <v>0</v>
      </c>
      <c r="J20" s="39">
        <f t="shared" si="4"/>
        <v>0</v>
      </c>
      <c r="K20" s="40">
        <f>COUNTIF(Vertices[Betweenness Centrality], "&gt;= " &amp; J20) - COUNTIF(Vertices[Betweenness Centrality], "&gt;=" &amp; J21)</f>
        <v>0</v>
      </c>
      <c r="L20" s="39">
        <f t="shared" si="5"/>
        <v>0</v>
      </c>
      <c r="M20" s="40">
        <f>COUNTIF(Vertices[Closeness Centrality], "&gt;= " &amp; L20) - COUNTIF(Vertices[Closeness Centrality], "&gt;=" &amp; L21)</f>
        <v>0</v>
      </c>
      <c r="N20" s="39">
        <f t="shared" si="6"/>
        <v>0</v>
      </c>
      <c r="O20" s="40">
        <f>COUNTIF(Vertices[Eigenvector Centrality], "&gt;= " &amp; N20) - COUNTIF(Vertices[Eigenvector Centrality], "&gt;=" &amp; N21)</f>
        <v>0</v>
      </c>
      <c r="P20" s="39">
        <f t="shared" si="7"/>
        <v>0</v>
      </c>
      <c r="Q20" s="40">
        <f>COUNTIF(Vertices[PageRank], "&gt;= " &amp; P20) - COUNTIF(Vertices[PageRank], "&gt;=" &amp; P21)</f>
        <v>0</v>
      </c>
      <c r="R20" s="39">
        <f t="shared" si="8"/>
        <v>0</v>
      </c>
      <c r="S20" s="45">
        <f>COUNTIF(Vertices[Clustering Coefficient], "&gt;= " &amp; R20) - COUNTIF(Vertices[Clustering Coefficient], "&gt;=" &amp; R21)</f>
        <v>0</v>
      </c>
      <c r="T20" s="39" t="e">
        <f t="shared" ca="1" si="9"/>
        <v>#REF!</v>
      </c>
      <c r="U20" s="40" t="e">
        <f t="shared" ca="1" si="0"/>
        <v>#REF!</v>
      </c>
    </row>
    <row r="21" spans="1:21" x14ac:dyDescent="0.25">
      <c r="A21" s="36"/>
      <c r="B21" s="36"/>
      <c r="D21" s="34">
        <f t="shared" si="1"/>
        <v>0</v>
      </c>
      <c r="E21" s="3">
        <f>COUNTIF(Vertices[Degree], "&gt;= " &amp; D21) - COUNTIF(Vertices[Degree], "&gt;=" &amp; D22)</f>
        <v>0</v>
      </c>
      <c r="F21" s="41">
        <f t="shared" si="2"/>
        <v>0</v>
      </c>
      <c r="G21" s="42">
        <f>COUNTIF(Vertices[In-Degree], "&gt;= " &amp; F21) - COUNTIF(Vertices[In-Degree], "&gt;=" &amp; F22)</f>
        <v>0</v>
      </c>
      <c r="H21" s="41">
        <f t="shared" si="3"/>
        <v>0</v>
      </c>
      <c r="I21" s="42">
        <f>COUNTIF(Vertices[Out-Degree], "&gt;= " &amp; H21) - COUNTIF(Vertices[Out-Degree], "&gt;=" &amp; H22)</f>
        <v>0</v>
      </c>
      <c r="J21" s="41">
        <f t="shared" si="4"/>
        <v>0</v>
      </c>
      <c r="K21" s="42">
        <f>COUNTIF(Vertices[Betweenness Centrality], "&gt;= " &amp; J21) - COUNTIF(Vertices[Betweenness Centrality], "&gt;=" &amp; J22)</f>
        <v>0</v>
      </c>
      <c r="L21" s="41">
        <f t="shared" si="5"/>
        <v>0</v>
      </c>
      <c r="M21" s="42">
        <f>COUNTIF(Vertices[Closeness Centrality], "&gt;= " &amp; L21) - COUNTIF(Vertices[Closeness Centrality], "&gt;=" &amp; L22)</f>
        <v>0</v>
      </c>
      <c r="N21" s="41">
        <f t="shared" si="6"/>
        <v>0</v>
      </c>
      <c r="O21" s="42">
        <f>COUNTIF(Vertices[Eigenvector Centrality], "&gt;= " &amp; N21) - COUNTIF(Vertices[Eigenvector Centrality], "&gt;=" &amp; N22)</f>
        <v>0</v>
      </c>
      <c r="P21" s="41">
        <f t="shared" si="7"/>
        <v>0</v>
      </c>
      <c r="Q21" s="42">
        <f>COUNTIF(Vertices[PageRank], "&gt;= " &amp; P21) - COUNTIF(Vertices[PageRank], "&gt;=" &amp; P22)</f>
        <v>0</v>
      </c>
      <c r="R21" s="41">
        <f t="shared" si="8"/>
        <v>0</v>
      </c>
      <c r="S21" s="46">
        <f>COUNTIF(Vertices[Clustering Coefficient], "&gt;= " &amp; R21) - COUNTIF(Vertices[Clustering Coefficient], "&gt;=" &amp; R22)</f>
        <v>0</v>
      </c>
      <c r="T21" s="41" t="e">
        <f t="shared" ca="1" si="9"/>
        <v>#REF!</v>
      </c>
      <c r="U21" s="42" t="e">
        <f t="shared" ca="1" si="0"/>
        <v>#REF!</v>
      </c>
    </row>
    <row r="22" spans="1:21" x14ac:dyDescent="0.25">
      <c r="A22" s="36"/>
      <c r="B22" s="36"/>
      <c r="D22" s="34">
        <f t="shared" si="1"/>
        <v>0</v>
      </c>
      <c r="E22" s="3">
        <f>COUNTIF(Vertices[Degree], "&gt;= " &amp; D22) - COUNTIF(Vertices[Degree], "&gt;=" &amp; D23)</f>
        <v>0</v>
      </c>
      <c r="F22" s="39">
        <f t="shared" si="2"/>
        <v>0</v>
      </c>
      <c r="G22" s="40">
        <f>COUNTIF(Vertices[In-Degree], "&gt;= " &amp; F22) - COUNTIF(Vertices[In-Degree], "&gt;=" &amp; F23)</f>
        <v>0</v>
      </c>
      <c r="H22" s="39">
        <f t="shared" si="3"/>
        <v>0</v>
      </c>
      <c r="I22" s="40">
        <f>COUNTIF(Vertices[Out-Degree], "&gt;= " &amp; H22) - COUNTIF(Vertices[Out-Degree], "&gt;=" &amp; H23)</f>
        <v>0</v>
      </c>
      <c r="J22" s="39">
        <f t="shared" si="4"/>
        <v>0</v>
      </c>
      <c r="K22" s="40">
        <f>COUNTIF(Vertices[Betweenness Centrality], "&gt;= " &amp; J22) - COUNTIF(Vertices[Betweenness Centrality], "&gt;=" &amp; J23)</f>
        <v>0</v>
      </c>
      <c r="L22" s="39">
        <f t="shared" si="5"/>
        <v>0</v>
      </c>
      <c r="M22" s="40">
        <f>COUNTIF(Vertices[Closeness Centrality], "&gt;= " &amp; L22) - COUNTIF(Vertices[Closeness Centrality], "&gt;=" &amp; L23)</f>
        <v>0</v>
      </c>
      <c r="N22" s="39">
        <f t="shared" si="6"/>
        <v>0</v>
      </c>
      <c r="O22" s="40">
        <f>COUNTIF(Vertices[Eigenvector Centrality], "&gt;= " &amp; N22) - COUNTIF(Vertices[Eigenvector Centrality], "&gt;=" &amp; N23)</f>
        <v>0</v>
      </c>
      <c r="P22" s="39">
        <f t="shared" si="7"/>
        <v>0</v>
      </c>
      <c r="Q22" s="40">
        <f>COUNTIF(Vertices[PageRank], "&gt;= " &amp; P22) - COUNTIF(Vertices[PageRank], "&gt;=" &amp; P23)</f>
        <v>0</v>
      </c>
      <c r="R22" s="39">
        <f t="shared" si="8"/>
        <v>0</v>
      </c>
      <c r="S22" s="45">
        <f>COUNTIF(Vertices[Clustering Coefficient], "&gt;= " &amp; R22) - COUNTIF(Vertices[Clustering Coefficient], "&gt;=" &amp; R23)</f>
        <v>0</v>
      </c>
      <c r="T22" s="39" t="e">
        <f t="shared" ca="1" si="9"/>
        <v>#REF!</v>
      </c>
      <c r="U22" s="40" t="e">
        <f t="shared" ca="1" si="0"/>
        <v>#REF!</v>
      </c>
    </row>
    <row r="23" spans="1:21" x14ac:dyDescent="0.25">
      <c r="A23" s="36"/>
      <c r="B23" s="36"/>
      <c r="D23" s="34">
        <f t="shared" si="1"/>
        <v>0</v>
      </c>
      <c r="E23" s="3">
        <f>COUNTIF(Vertices[Degree], "&gt;= " &amp; D23) - COUNTIF(Vertices[Degree], "&gt;=" &amp; D24)</f>
        <v>0</v>
      </c>
      <c r="F23" s="41">
        <f t="shared" si="2"/>
        <v>0</v>
      </c>
      <c r="G23" s="42">
        <f>COUNTIF(Vertices[In-Degree], "&gt;= " &amp; F23) - COUNTIF(Vertices[In-Degree], "&gt;=" &amp; F24)</f>
        <v>0</v>
      </c>
      <c r="H23" s="41">
        <f t="shared" si="3"/>
        <v>0</v>
      </c>
      <c r="I23" s="42">
        <f>COUNTIF(Vertices[Out-Degree], "&gt;= " &amp; H23) - COUNTIF(Vertices[Out-Degree], "&gt;=" &amp; H24)</f>
        <v>0</v>
      </c>
      <c r="J23" s="41">
        <f t="shared" si="4"/>
        <v>0</v>
      </c>
      <c r="K23" s="42">
        <f>COUNTIF(Vertices[Betweenness Centrality], "&gt;= " &amp; J23) - COUNTIF(Vertices[Betweenness Centrality], "&gt;=" &amp; J24)</f>
        <v>0</v>
      </c>
      <c r="L23" s="41">
        <f t="shared" si="5"/>
        <v>0</v>
      </c>
      <c r="M23" s="42">
        <f>COUNTIF(Vertices[Closeness Centrality], "&gt;= " &amp; L23) - COUNTIF(Vertices[Closeness Centrality], "&gt;=" &amp; L24)</f>
        <v>0</v>
      </c>
      <c r="N23" s="41">
        <f t="shared" si="6"/>
        <v>0</v>
      </c>
      <c r="O23" s="42">
        <f>COUNTIF(Vertices[Eigenvector Centrality], "&gt;= " &amp; N23) - COUNTIF(Vertices[Eigenvector Centrality], "&gt;=" &amp; N24)</f>
        <v>0</v>
      </c>
      <c r="P23" s="41">
        <f t="shared" si="7"/>
        <v>0</v>
      </c>
      <c r="Q23" s="42">
        <f>COUNTIF(Vertices[PageRank], "&gt;= " &amp; P23) - COUNTIF(Vertices[PageRank], "&gt;=" &amp; P24)</f>
        <v>0</v>
      </c>
      <c r="R23" s="41">
        <f t="shared" si="8"/>
        <v>0</v>
      </c>
      <c r="S23" s="46">
        <f>COUNTIF(Vertices[Clustering Coefficient], "&gt;= " &amp; R23) - COUNTIF(Vertices[Clustering Coefficient], "&gt;=" &amp; R24)</f>
        <v>0</v>
      </c>
      <c r="T23" s="41" t="e">
        <f t="shared" ca="1" si="9"/>
        <v>#REF!</v>
      </c>
      <c r="U23" s="42" t="e">
        <f t="shared" ca="1" si="0"/>
        <v>#REF!</v>
      </c>
    </row>
    <row r="24" spans="1:21" x14ac:dyDescent="0.25">
      <c r="A24" s="36"/>
      <c r="B24" s="36"/>
      <c r="D24" s="34">
        <f t="shared" si="1"/>
        <v>0</v>
      </c>
      <c r="E24" s="3">
        <f>COUNTIF(Vertices[Degree], "&gt;= " &amp; D24) - COUNTIF(Vertices[Degree], "&gt;=" &amp; D25)</f>
        <v>0</v>
      </c>
      <c r="F24" s="39">
        <f t="shared" si="2"/>
        <v>0</v>
      </c>
      <c r="G24" s="40">
        <f>COUNTIF(Vertices[In-Degree], "&gt;= " &amp; F24) - COUNTIF(Vertices[In-Degree], "&gt;=" &amp; F25)</f>
        <v>0</v>
      </c>
      <c r="H24" s="39">
        <f t="shared" si="3"/>
        <v>0</v>
      </c>
      <c r="I24" s="40">
        <f>COUNTIF(Vertices[Out-Degree], "&gt;= " &amp; H24) - COUNTIF(Vertices[Out-Degree], "&gt;=" &amp; H25)</f>
        <v>0</v>
      </c>
      <c r="J24" s="39">
        <f t="shared" si="4"/>
        <v>0</v>
      </c>
      <c r="K24" s="40">
        <f>COUNTIF(Vertices[Betweenness Centrality], "&gt;= " &amp; J24) - COUNTIF(Vertices[Betweenness Centrality], "&gt;=" &amp; J25)</f>
        <v>0</v>
      </c>
      <c r="L24" s="39">
        <f t="shared" si="5"/>
        <v>0</v>
      </c>
      <c r="M24" s="40">
        <f>COUNTIF(Vertices[Closeness Centrality], "&gt;= " &amp; L24) - COUNTIF(Vertices[Closeness Centrality], "&gt;=" &amp; L25)</f>
        <v>0</v>
      </c>
      <c r="N24" s="39">
        <f t="shared" si="6"/>
        <v>0</v>
      </c>
      <c r="O24" s="40">
        <f>COUNTIF(Vertices[Eigenvector Centrality], "&gt;= " &amp; N24) - COUNTIF(Vertices[Eigenvector Centrality], "&gt;=" &amp; N25)</f>
        <v>0</v>
      </c>
      <c r="P24" s="39">
        <f t="shared" si="7"/>
        <v>0</v>
      </c>
      <c r="Q24" s="40">
        <f>COUNTIF(Vertices[PageRank], "&gt;= " &amp; P24) - COUNTIF(Vertices[PageRank], "&gt;=" &amp; P25)</f>
        <v>0</v>
      </c>
      <c r="R24" s="39">
        <f t="shared" si="8"/>
        <v>0</v>
      </c>
      <c r="S24" s="45">
        <f>COUNTIF(Vertices[Clustering Coefficient], "&gt;= " &amp; R24) - COUNTIF(Vertices[Clustering Coefficient], "&gt;=" &amp; R25)</f>
        <v>0</v>
      </c>
      <c r="T24" s="39" t="e">
        <f t="shared" ca="1" si="9"/>
        <v>#REF!</v>
      </c>
      <c r="U24" s="40" t="e">
        <f t="shared" ca="1" si="0"/>
        <v>#REF!</v>
      </c>
    </row>
    <row r="25" spans="1:21" x14ac:dyDescent="0.25">
      <c r="A25" s="36"/>
      <c r="B25" s="36"/>
      <c r="D25" s="34">
        <f t="shared" si="1"/>
        <v>0</v>
      </c>
      <c r="E25" s="3">
        <f>COUNTIF(Vertices[Degree], "&gt;= " &amp; D25) - COUNTIF(Vertices[Degree], "&gt;=" &amp; D26)</f>
        <v>0</v>
      </c>
      <c r="F25" s="41">
        <f t="shared" si="2"/>
        <v>0</v>
      </c>
      <c r="G25" s="42">
        <f>COUNTIF(Vertices[In-Degree], "&gt;= " &amp; F25) - COUNTIF(Vertices[In-Degree], "&gt;=" &amp; F26)</f>
        <v>0</v>
      </c>
      <c r="H25" s="41">
        <f t="shared" si="3"/>
        <v>0</v>
      </c>
      <c r="I25" s="42">
        <f>COUNTIF(Vertices[Out-Degree], "&gt;= " &amp; H25) - COUNTIF(Vertices[Out-Degree], "&gt;=" &amp; H26)</f>
        <v>0</v>
      </c>
      <c r="J25" s="41">
        <f t="shared" si="4"/>
        <v>0</v>
      </c>
      <c r="K25" s="42">
        <f>COUNTIF(Vertices[Betweenness Centrality], "&gt;= " &amp; J25) - COUNTIF(Vertices[Betweenness Centrality], "&gt;=" &amp; J26)</f>
        <v>0</v>
      </c>
      <c r="L25" s="41">
        <f t="shared" si="5"/>
        <v>0</v>
      </c>
      <c r="M25" s="42">
        <f>COUNTIF(Vertices[Closeness Centrality], "&gt;= " &amp; L25) - COUNTIF(Vertices[Closeness Centrality], "&gt;=" &amp; L26)</f>
        <v>0</v>
      </c>
      <c r="N25" s="41">
        <f t="shared" si="6"/>
        <v>0</v>
      </c>
      <c r="O25" s="42">
        <f>COUNTIF(Vertices[Eigenvector Centrality], "&gt;= " &amp; N25) - COUNTIF(Vertices[Eigenvector Centrality], "&gt;=" &amp; N26)</f>
        <v>0</v>
      </c>
      <c r="P25" s="41">
        <f t="shared" si="7"/>
        <v>0</v>
      </c>
      <c r="Q25" s="42">
        <f>COUNTIF(Vertices[PageRank], "&gt;= " &amp; P25) - COUNTIF(Vertices[PageRank], "&gt;=" &amp; P26)</f>
        <v>0</v>
      </c>
      <c r="R25" s="41">
        <f t="shared" si="8"/>
        <v>0</v>
      </c>
      <c r="S25" s="46">
        <f>COUNTIF(Vertices[Clustering Coefficient], "&gt;= " &amp; R25) - COUNTIF(Vertices[Clustering Coefficient], "&gt;=" &amp; R26)</f>
        <v>0</v>
      </c>
      <c r="T25" s="41" t="e">
        <f t="shared" ca="1" si="9"/>
        <v>#REF!</v>
      </c>
      <c r="U25" s="42" t="e">
        <f t="shared" ca="1" si="0"/>
        <v>#REF!</v>
      </c>
    </row>
    <row r="26" spans="1:21" x14ac:dyDescent="0.25">
      <c r="A26" s="36"/>
      <c r="B26" s="36"/>
      <c r="D26" s="34">
        <f t="shared" si="1"/>
        <v>0</v>
      </c>
      <c r="E26" s="3">
        <f>COUNTIF(Vertices[Degree], "&gt;= " &amp; D26) - COUNTIF(Vertices[Degree], "&gt;=" &amp; D27)</f>
        <v>0</v>
      </c>
      <c r="F26" s="39">
        <f t="shared" si="2"/>
        <v>0</v>
      </c>
      <c r="G26" s="40">
        <f>COUNTIF(Vertices[In-Degree], "&gt;= " &amp; F26) - COUNTIF(Vertices[In-Degree], "&gt;=" &amp; F27)</f>
        <v>0</v>
      </c>
      <c r="H26" s="39">
        <f t="shared" si="3"/>
        <v>0</v>
      </c>
      <c r="I26" s="40">
        <f>COUNTIF(Vertices[Out-Degree], "&gt;= " &amp; H26) - COUNTIF(Vertices[Out-Degree], "&gt;=" &amp; H27)</f>
        <v>0</v>
      </c>
      <c r="J26" s="39">
        <f t="shared" si="4"/>
        <v>0</v>
      </c>
      <c r="K26" s="40">
        <f>COUNTIF(Vertices[Betweenness Centrality], "&gt;= " &amp; J26) - COUNTIF(Vertices[Betweenness Centrality], "&gt;=" &amp; J27)</f>
        <v>0</v>
      </c>
      <c r="L26" s="39">
        <f t="shared" si="5"/>
        <v>0</v>
      </c>
      <c r="M26" s="40">
        <f>COUNTIF(Vertices[Closeness Centrality], "&gt;= " &amp; L26) - COUNTIF(Vertices[Closeness Centrality], "&gt;=" &amp; L27)</f>
        <v>0</v>
      </c>
      <c r="N26" s="39">
        <f t="shared" si="6"/>
        <v>0</v>
      </c>
      <c r="O26" s="40">
        <f>COUNTIF(Vertices[Eigenvector Centrality], "&gt;= " &amp; N26) - COUNTIF(Vertices[Eigenvector Centrality], "&gt;=" &amp; N27)</f>
        <v>0</v>
      </c>
      <c r="P26" s="39">
        <f t="shared" si="7"/>
        <v>0</v>
      </c>
      <c r="Q26" s="40">
        <f>COUNTIF(Vertices[PageRank], "&gt;= " &amp; P26) - COUNTIF(Vertices[PageRank], "&gt;=" &amp; P27)</f>
        <v>0</v>
      </c>
      <c r="R26" s="39">
        <f t="shared" si="8"/>
        <v>0</v>
      </c>
      <c r="S26" s="45">
        <f>COUNTIF(Vertices[Clustering Coefficient], "&gt;= " &amp; R26) - COUNTIF(Vertices[Clustering Coefficient], "&gt;=" &amp; R27)</f>
        <v>0</v>
      </c>
      <c r="T26" s="39" t="e">
        <f t="shared" ca="1" si="9"/>
        <v>#REF!</v>
      </c>
      <c r="U26" s="40" t="e">
        <f t="shared" ca="1" si="0"/>
        <v>#REF!</v>
      </c>
    </row>
    <row r="27" spans="1:21" x14ac:dyDescent="0.25">
      <c r="D27" s="34">
        <f t="shared" si="1"/>
        <v>0</v>
      </c>
      <c r="E27" s="3">
        <f>COUNTIF(Vertices[Degree], "&gt;= " &amp; D27) - COUNTIF(Vertices[Degree], "&gt;=" &amp; D28)</f>
        <v>0</v>
      </c>
      <c r="F27" s="41">
        <f t="shared" si="2"/>
        <v>0</v>
      </c>
      <c r="G27" s="42">
        <f>COUNTIF(Vertices[In-Degree], "&gt;= " &amp; F27) - COUNTIF(Vertices[In-Degree], "&gt;=" &amp; F28)</f>
        <v>0</v>
      </c>
      <c r="H27" s="41">
        <f t="shared" si="3"/>
        <v>0</v>
      </c>
      <c r="I27" s="42">
        <f>COUNTIF(Vertices[Out-Degree], "&gt;= " &amp; H27) - COUNTIF(Vertices[Out-Degree], "&gt;=" &amp; H28)</f>
        <v>0</v>
      </c>
      <c r="J27" s="41">
        <f t="shared" si="4"/>
        <v>0</v>
      </c>
      <c r="K27" s="42">
        <f>COUNTIF(Vertices[Betweenness Centrality], "&gt;= " &amp; J27) - COUNTIF(Vertices[Betweenness Centrality], "&gt;=" &amp; J28)</f>
        <v>0</v>
      </c>
      <c r="L27" s="41">
        <f t="shared" si="5"/>
        <v>0</v>
      </c>
      <c r="M27" s="42">
        <f>COUNTIF(Vertices[Closeness Centrality], "&gt;= " &amp; L27) - COUNTIF(Vertices[Closeness Centrality], "&gt;=" &amp; L28)</f>
        <v>0</v>
      </c>
      <c r="N27" s="41">
        <f t="shared" si="6"/>
        <v>0</v>
      </c>
      <c r="O27" s="42">
        <f>COUNTIF(Vertices[Eigenvector Centrality], "&gt;= " &amp; N27) - COUNTIF(Vertices[Eigenvector Centrality], "&gt;=" &amp; N28)</f>
        <v>0</v>
      </c>
      <c r="P27" s="41">
        <f t="shared" si="7"/>
        <v>0</v>
      </c>
      <c r="Q27" s="42">
        <f>COUNTIF(Vertices[PageRank], "&gt;= " &amp; P27) - COUNTIF(Vertices[PageRank], "&gt;=" &amp; P28)</f>
        <v>0</v>
      </c>
      <c r="R27" s="41">
        <f t="shared" si="8"/>
        <v>0</v>
      </c>
      <c r="S27" s="46">
        <f>COUNTIF(Vertices[Clustering Coefficient], "&gt;= " &amp; R27) - COUNTIF(Vertices[Clustering Coefficient], "&gt;=" &amp; R28)</f>
        <v>0</v>
      </c>
      <c r="T27" s="41" t="e">
        <f t="shared" ca="1" si="9"/>
        <v>#REF!</v>
      </c>
      <c r="U27" s="42" t="e">
        <f t="shared" ca="1" si="0"/>
        <v>#REF!</v>
      </c>
    </row>
    <row r="28" spans="1:21" x14ac:dyDescent="0.25">
      <c r="D28" s="34">
        <f t="shared" si="1"/>
        <v>0</v>
      </c>
      <c r="E28" s="3">
        <f>COUNTIF(Vertices[Degree], "&gt;= " &amp; D28) - COUNTIF(Vertices[Degree], "&gt;=" &amp; D29)</f>
        <v>0</v>
      </c>
      <c r="F28" s="39">
        <f t="shared" si="2"/>
        <v>0</v>
      </c>
      <c r="G28" s="40">
        <f>COUNTIF(Vertices[In-Degree], "&gt;= " &amp; F28) - COUNTIF(Vertices[In-Degree], "&gt;=" &amp; F29)</f>
        <v>0</v>
      </c>
      <c r="H28" s="39">
        <f t="shared" si="3"/>
        <v>0</v>
      </c>
      <c r="I28" s="40">
        <f>COUNTIF(Vertices[Out-Degree], "&gt;= " &amp; H28) - COUNTIF(Vertices[Out-Degree], "&gt;=" &amp; H29)</f>
        <v>0</v>
      </c>
      <c r="J28" s="39">
        <f t="shared" si="4"/>
        <v>0</v>
      </c>
      <c r="K28" s="40">
        <f>COUNTIF(Vertices[Betweenness Centrality], "&gt;= " &amp; J28) - COUNTIF(Vertices[Betweenness Centrality], "&gt;=" &amp; J29)</f>
        <v>0</v>
      </c>
      <c r="L28" s="39">
        <f t="shared" si="5"/>
        <v>0</v>
      </c>
      <c r="M28" s="40">
        <f>COUNTIF(Vertices[Closeness Centrality], "&gt;= " &amp; L28) - COUNTIF(Vertices[Closeness Centrality], "&gt;=" &amp; L29)</f>
        <v>0</v>
      </c>
      <c r="N28" s="39">
        <f t="shared" si="6"/>
        <v>0</v>
      </c>
      <c r="O28" s="40">
        <f>COUNTIF(Vertices[Eigenvector Centrality], "&gt;= " &amp; N28) - COUNTIF(Vertices[Eigenvector Centrality], "&gt;=" &amp; N29)</f>
        <v>0</v>
      </c>
      <c r="P28" s="39">
        <f t="shared" si="7"/>
        <v>0</v>
      </c>
      <c r="Q28" s="40">
        <f>COUNTIF(Vertices[PageRank], "&gt;= " &amp; P28) - COUNTIF(Vertices[PageRank], "&gt;=" &amp; P29)</f>
        <v>0</v>
      </c>
      <c r="R28" s="39">
        <f t="shared" si="8"/>
        <v>0</v>
      </c>
      <c r="S28" s="45">
        <f>COUNTIF(Vertices[Clustering Coefficient], "&gt;= " &amp; R28) - COUNTIF(Vertices[Clustering Coefficient], "&gt;=" &amp; R29)</f>
        <v>0</v>
      </c>
      <c r="T28" s="39" t="e">
        <f t="shared" ca="1" si="9"/>
        <v>#REF!</v>
      </c>
      <c r="U28" s="40" t="e">
        <f t="shared" ca="1" si="0"/>
        <v>#REF!</v>
      </c>
    </row>
    <row r="29" spans="1:21" x14ac:dyDescent="0.25">
      <c r="A29" t="s">
        <v>163</v>
      </c>
      <c r="B29" t="s">
        <v>17</v>
      </c>
      <c r="D29" s="34">
        <f t="shared" si="1"/>
        <v>0</v>
      </c>
      <c r="E29" s="3">
        <f>COUNTIF(Vertices[Degree], "&gt;= " &amp; D29) - COUNTIF(Vertices[Degree], "&gt;=" &amp; D30)</f>
        <v>0</v>
      </c>
      <c r="F29" s="41">
        <f t="shared" si="2"/>
        <v>0</v>
      </c>
      <c r="G29" s="42">
        <f>COUNTIF(Vertices[In-Degree], "&gt;= " &amp; F29) - COUNTIF(Vertices[In-Degree], "&gt;=" &amp; F30)</f>
        <v>0</v>
      </c>
      <c r="H29" s="41">
        <f t="shared" si="3"/>
        <v>0</v>
      </c>
      <c r="I29" s="42">
        <f>COUNTIF(Vertices[Out-Degree], "&gt;= " &amp; H29) - COUNTIF(Vertices[Out-Degree], "&gt;=" &amp; H30)</f>
        <v>0</v>
      </c>
      <c r="J29" s="41">
        <f t="shared" si="4"/>
        <v>0</v>
      </c>
      <c r="K29" s="42">
        <f>COUNTIF(Vertices[Betweenness Centrality], "&gt;= " &amp; J29) - COUNTIF(Vertices[Betweenness Centrality], "&gt;=" &amp; J30)</f>
        <v>0</v>
      </c>
      <c r="L29" s="41">
        <f t="shared" si="5"/>
        <v>0</v>
      </c>
      <c r="M29" s="42">
        <f>COUNTIF(Vertices[Closeness Centrality], "&gt;= " &amp; L29) - COUNTIF(Vertices[Closeness Centrality], "&gt;=" &amp; L30)</f>
        <v>0</v>
      </c>
      <c r="N29" s="41">
        <f t="shared" si="6"/>
        <v>0</v>
      </c>
      <c r="O29" s="42">
        <f>COUNTIF(Vertices[Eigenvector Centrality], "&gt;= " &amp; N29) - COUNTIF(Vertices[Eigenvector Centrality], "&gt;=" &amp; N30)</f>
        <v>0</v>
      </c>
      <c r="P29" s="41">
        <f t="shared" si="7"/>
        <v>0</v>
      </c>
      <c r="Q29" s="42">
        <f>COUNTIF(Vertices[PageRank], "&gt;= " &amp; P29) - COUNTIF(Vertices[PageRank], "&gt;=" &amp; P30)</f>
        <v>0</v>
      </c>
      <c r="R29" s="41">
        <f t="shared" si="8"/>
        <v>0</v>
      </c>
      <c r="S29" s="46">
        <f>COUNTIF(Vertices[Clustering Coefficient], "&gt;= " &amp; R29) - COUNTIF(Vertices[Clustering Coefficient], "&gt;=" &amp; R30)</f>
        <v>0</v>
      </c>
      <c r="T29" s="41" t="e">
        <f t="shared" ca="1" si="9"/>
        <v>#REF!</v>
      </c>
      <c r="U29" s="42" t="e">
        <f t="shared" ca="1" si="0"/>
        <v>#REF!</v>
      </c>
    </row>
    <row r="30" spans="1:21" x14ac:dyDescent="0.25">
      <c r="A30" s="35"/>
      <c r="B30" s="35"/>
      <c r="D30" s="34">
        <f t="shared" si="1"/>
        <v>0</v>
      </c>
      <c r="E30" s="3">
        <f>COUNTIF(Vertices[Degree], "&gt;= " &amp; D30) - COUNTIF(Vertices[Degree], "&gt;=" &amp; D31)</f>
        <v>0</v>
      </c>
      <c r="F30" s="39">
        <f t="shared" si="2"/>
        <v>0</v>
      </c>
      <c r="G30" s="40">
        <f>COUNTIF(Vertices[In-Degree], "&gt;= " &amp; F30) - COUNTIF(Vertices[In-Degree], "&gt;=" &amp; F31)</f>
        <v>0</v>
      </c>
      <c r="H30" s="39">
        <f t="shared" si="3"/>
        <v>0</v>
      </c>
      <c r="I30" s="40">
        <f>COUNTIF(Vertices[Out-Degree], "&gt;= " &amp; H30) - COUNTIF(Vertices[Out-Degree], "&gt;=" &amp; H31)</f>
        <v>0</v>
      </c>
      <c r="J30" s="39">
        <f t="shared" si="4"/>
        <v>0</v>
      </c>
      <c r="K30" s="40">
        <f>COUNTIF(Vertices[Betweenness Centrality], "&gt;= " &amp; J30) - COUNTIF(Vertices[Betweenness Centrality], "&gt;=" &amp; J31)</f>
        <v>0</v>
      </c>
      <c r="L30" s="39">
        <f t="shared" si="5"/>
        <v>0</v>
      </c>
      <c r="M30" s="40">
        <f>COUNTIF(Vertices[Closeness Centrality], "&gt;= " &amp; L30) - COUNTIF(Vertices[Closeness Centrality], "&gt;=" &amp; L31)</f>
        <v>0</v>
      </c>
      <c r="N30" s="39">
        <f t="shared" si="6"/>
        <v>0</v>
      </c>
      <c r="O30" s="40">
        <f>COUNTIF(Vertices[Eigenvector Centrality], "&gt;= " &amp; N30) - COUNTIF(Vertices[Eigenvector Centrality], "&gt;=" &amp; N31)</f>
        <v>0</v>
      </c>
      <c r="P30" s="39">
        <f t="shared" si="7"/>
        <v>0</v>
      </c>
      <c r="Q30" s="40">
        <f>COUNTIF(Vertices[PageRank], "&gt;= " &amp; P30) - COUNTIF(Vertices[PageRank], "&gt;=" &amp; P31)</f>
        <v>0</v>
      </c>
      <c r="R30" s="39">
        <f t="shared" si="8"/>
        <v>0</v>
      </c>
      <c r="S30" s="45">
        <f>COUNTIF(Vertices[Clustering Coefficient], "&gt;= " &amp; R30) - COUNTIF(Vertices[Clustering Coefficient], "&gt;=" &amp; R31)</f>
        <v>0</v>
      </c>
      <c r="T30" s="39" t="e">
        <f t="shared" ca="1" si="9"/>
        <v>#REF!</v>
      </c>
      <c r="U30" s="40" t="e">
        <f t="shared" ca="1" si="0"/>
        <v>#REF!</v>
      </c>
    </row>
    <row r="31" spans="1:21" x14ac:dyDescent="0.25">
      <c r="A31" s="35"/>
      <c r="B31" s="35"/>
      <c r="D31" s="34">
        <f t="shared" si="1"/>
        <v>0</v>
      </c>
      <c r="E31" s="3">
        <f>COUNTIF(Vertices[Degree], "&gt;= " &amp; D31) - COUNTIF(Vertices[Degree], "&gt;=" &amp; D32)</f>
        <v>0</v>
      </c>
      <c r="F31" s="41">
        <f t="shared" si="2"/>
        <v>0</v>
      </c>
      <c r="G31" s="42">
        <f>COUNTIF(Vertices[In-Degree], "&gt;= " &amp; F31) - COUNTIF(Vertices[In-Degree], "&gt;=" &amp; F32)</f>
        <v>0</v>
      </c>
      <c r="H31" s="41">
        <f t="shared" si="3"/>
        <v>0</v>
      </c>
      <c r="I31" s="42">
        <f>COUNTIF(Vertices[Out-Degree], "&gt;= " &amp; H31) - COUNTIF(Vertices[Out-Degree], "&gt;=" &amp; H32)</f>
        <v>0</v>
      </c>
      <c r="J31" s="41">
        <f t="shared" si="4"/>
        <v>0</v>
      </c>
      <c r="K31" s="42">
        <f>COUNTIF(Vertices[Betweenness Centrality], "&gt;= " &amp; J31) - COUNTIF(Vertices[Betweenness Centrality], "&gt;=" &amp; J32)</f>
        <v>0</v>
      </c>
      <c r="L31" s="41">
        <f t="shared" si="5"/>
        <v>0</v>
      </c>
      <c r="M31" s="42">
        <f>COUNTIF(Vertices[Closeness Centrality], "&gt;= " &amp; L31) - COUNTIF(Vertices[Closeness Centrality], "&gt;=" &amp; L32)</f>
        <v>0</v>
      </c>
      <c r="N31" s="41">
        <f t="shared" si="6"/>
        <v>0</v>
      </c>
      <c r="O31" s="42">
        <f>COUNTIF(Vertices[Eigenvector Centrality], "&gt;= " &amp; N31) - COUNTIF(Vertices[Eigenvector Centrality], "&gt;=" &amp; N32)</f>
        <v>0</v>
      </c>
      <c r="P31" s="41">
        <f t="shared" si="7"/>
        <v>0</v>
      </c>
      <c r="Q31" s="42">
        <f>COUNTIF(Vertices[PageRank], "&gt;= " &amp; P31) - COUNTIF(Vertices[PageRank], "&gt;=" &amp; P32)</f>
        <v>0</v>
      </c>
      <c r="R31" s="41">
        <f t="shared" si="8"/>
        <v>0</v>
      </c>
      <c r="S31" s="46">
        <f>COUNTIF(Vertices[Clustering Coefficient], "&gt;= " &amp; R31) - COUNTIF(Vertices[Clustering Coefficient], "&gt;=" &amp; R32)</f>
        <v>0</v>
      </c>
      <c r="T31" s="41" t="e">
        <f t="shared" ca="1" si="9"/>
        <v>#REF!</v>
      </c>
      <c r="U31" s="42" t="e">
        <f t="shared" ca="1" si="0"/>
        <v>#REF!</v>
      </c>
    </row>
    <row r="32" spans="1:21" x14ac:dyDescent="0.25">
      <c r="A32" s="35"/>
      <c r="B32" s="35"/>
      <c r="D32" s="34">
        <f t="shared" si="1"/>
        <v>0</v>
      </c>
      <c r="E32" s="3">
        <f>COUNTIF(Vertices[Degree], "&gt;= " &amp; D32) - COUNTIF(Vertices[Degree], "&gt;=" &amp; D33)</f>
        <v>0</v>
      </c>
      <c r="F32" s="39">
        <f t="shared" si="2"/>
        <v>0</v>
      </c>
      <c r="G32" s="40">
        <f>COUNTIF(Vertices[In-Degree], "&gt;= " &amp; F32) - COUNTIF(Vertices[In-Degree], "&gt;=" &amp; F33)</f>
        <v>0</v>
      </c>
      <c r="H32" s="39">
        <f t="shared" si="3"/>
        <v>0</v>
      </c>
      <c r="I32" s="40">
        <f>COUNTIF(Vertices[Out-Degree], "&gt;= " &amp; H32) - COUNTIF(Vertices[Out-Degree], "&gt;=" &amp; H33)</f>
        <v>0</v>
      </c>
      <c r="J32" s="39">
        <f t="shared" si="4"/>
        <v>0</v>
      </c>
      <c r="K32" s="40">
        <f>COUNTIF(Vertices[Betweenness Centrality], "&gt;= " &amp; J32) - COUNTIF(Vertices[Betweenness Centrality], "&gt;=" &amp; J33)</f>
        <v>0</v>
      </c>
      <c r="L32" s="39">
        <f t="shared" si="5"/>
        <v>0</v>
      </c>
      <c r="M32" s="40">
        <f>COUNTIF(Vertices[Closeness Centrality], "&gt;= " &amp; L32) - COUNTIF(Vertices[Closeness Centrality], "&gt;=" &amp; L33)</f>
        <v>0</v>
      </c>
      <c r="N32" s="39">
        <f t="shared" si="6"/>
        <v>0</v>
      </c>
      <c r="O32" s="40">
        <f>COUNTIF(Vertices[Eigenvector Centrality], "&gt;= " &amp; N32) - COUNTIF(Vertices[Eigenvector Centrality], "&gt;=" &amp; N33)</f>
        <v>0</v>
      </c>
      <c r="P32" s="39">
        <f t="shared" si="7"/>
        <v>0</v>
      </c>
      <c r="Q32" s="40">
        <f>COUNTIF(Vertices[PageRank], "&gt;= " &amp; P32) - COUNTIF(Vertices[PageRank], "&gt;=" &amp; P33)</f>
        <v>0</v>
      </c>
      <c r="R32" s="39">
        <f t="shared" si="8"/>
        <v>0</v>
      </c>
      <c r="S32" s="45">
        <f>COUNTIF(Vertices[Clustering Coefficient], "&gt;= " &amp; R32) - COUNTIF(Vertices[Clustering Coefficient], "&gt;=" &amp; R33)</f>
        <v>0</v>
      </c>
      <c r="T32" s="39" t="e">
        <f t="shared" ca="1" si="9"/>
        <v>#REF!</v>
      </c>
      <c r="U32" s="40" t="e">
        <f t="shared" ca="1" si="0"/>
        <v>#REF!</v>
      </c>
    </row>
    <row r="33" spans="1:21" x14ac:dyDescent="0.25">
      <c r="D33" s="34">
        <f t="shared" si="1"/>
        <v>0</v>
      </c>
      <c r="E33" s="3">
        <f>COUNTIF(Vertices[Degree], "&gt;= " &amp; D33) - COUNTIF(Vertices[Degree], "&gt;=" &amp; D34)</f>
        <v>0</v>
      </c>
      <c r="F33" s="41">
        <f t="shared" si="2"/>
        <v>0</v>
      </c>
      <c r="G33" s="42">
        <f>COUNTIF(Vertices[In-Degree], "&gt;= " &amp; F33) - COUNTIF(Vertices[In-Degree], "&gt;=" &amp; F34)</f>
        <v>0</v>
      </c>
      <c r="H33" s="41">
        <f t="shared" si="3"/>
        <v>0</v>
      </c>
      <c r="I33" s="42">
        <f>COUNTIF(Vertices[Out-Degree], "&gt;= " &amp; H33) - COUNTIF(Vertices[Out-Degree], "&gt;=" &amp; H34)</f>
        <v>0</v>
      </c>
      <c r="J33" s="41">
        <f t="shared" si="4"/>
        <v>0</v>
      </c>
      <c r="K33" s="42">
        <f>COUNTIF(Vertices[Betweenness Centrality], "&gt;= " &amp; J33) - COUNTIF(Vertices[Betweenness Centrality], "&gt;=" &amp; J34)</f>
        <v>0</v>
      </c>
      <c r="L33" s="41">
        <f t="shared" si="5"/>
        <v>0</v>
      </c>
      <c r="M33" s="42">
        <f>COUNTIF(Vertices[Closeness Centrality], "&gt;= " &amp; L33) - COUNTIF(Vertices[Closeness Centrality], "&gt;=" &amp; L34)</f>
        <v>0</v>
      </c>
      <c r="N33" s="41">
        <f t="shared" si="6"/>
        <v>0</v>
      </c>
      <c r="O33" s="42">
        <f>COUNTIF(Vertices[Eigenvector Centrality], "&gt;= " &amp; N33) - COUNTIF(Vertices[Eigenvector Centrality], "&gt;=" &amp; N34)</f>
        <v>0</v>
      </c>
      <c r="P33" s="41">
        <f t="shared" si="7"/>
        <v>0</v>
      </c>
      <c r="Q33" s="42">
        <f>COUNTIF(Vertices[PageRank], "&gt;= " &amp; P33) - COUNTIF(Vertices[PageRank], "&gt;=" &amp; P34)</f>
        <v>0</v>
      </c>
      <c r="R33" s="41">
        <f t="shared" si="8"/>
        <v>0</v>
      </c>
      <c r="S33" s="46">
        <f>COUNTIF(Vertices[Clustering Coefficient], "&gt;= " &amp; R33) - COUNTIF(Vertices[Clustering Coefficient], "&gt;=" &amp; R34)</f>
        <v>0</v>
      </c>
      <c r="T33" s="41" t="e">
        <f t="shared" ca="1" si="9"/>
        <v>#REF!</v>
      </c>
      <c r="U33" s="42" t="e">
        <f t="shared" ca="1" si="0"/>
        <v>#REF!</v>
      </c>
    </row>
    <row r="34" spans="1:21" x14ac:dyDescent="0.25">
      <c r="D34" s="34">
        <f t="shared" si="1"/>
        <v>0</v>
      </c>
      <c r="E34" s="3">
        <f>COUNTIF(Vertices[Degree], "&gt;= " &amp; D34) - COUNTIF(Vertices[Degree], "&gt;=" &amp; D35)</f>
        <v>0</v>
      </c>
      <c r="F34" s="39">
        <f t="shared" si="2"/>
        <v>0</v>
      </c>
      <c r="G34" s="40">
        <f>COUNTIF(Vertices[In-Degree], "&gt;= " &amp; F34) - COUNTIF(Vertices[In-Degree], "&gt;=" &amp; F35)</f>
        <v>0</v>
      </c>
      <c r="H34" s="39">
        <f t="shared" si="3"/>
        <v>0</v>
      </c>
      <c r="I34" s="40">
        <f>COUNTIF(Vertices[Out-Degree], "&gt;= " &amp; H34) - COUNTIF(Vertices[Out-Degree], "&gt;=" &amp; H35)</f>
        <v>0</v>
      </c>
      <c r="J34" s="39">
        <f t="shared" si="4"/>
        <v>0</v>
      </c>
      <c r="K34" s="40">
        <f>COUNTIF(Vertices[Betweenness Centrality], "&gt;= " &amp; J34) - COUNTIF(Vertices[Betweenness Centrality], "&gt;=" &amp; J35)</f>
        <v>0</v>
      </c>
      <c r="L34" s="39">
        <f t="shared" si="5"/>
        <v>0</v>
      </c>
      <c r="M34" s="40">
        <f>COUNTIF(Vertices[Closeness Centrality], "&gt;= " &amp; L34) - COUNTIF(Vertices[Closeness Centrality], "&gt;=" &amp; L35)</f>
        <v>0</v>
      </c>
      <c r="N34" s="39">
        <f t="shared" si="6"/>
        <v>0</v>
      </c>
      <c r="O34" s="40">
        <f>COUNTIF(Vertices[Eigenvector Centrality], "&gt;= " &amp; N34) - COUNTIF(Vertices[Eigenvector Centrality], "&gt;=" &amp; N35)</f>
        <v>0</v>
      </c>
      <c r="P34" s="39">
        <f t="shared" si="7"/>
        <v>0</v>
      </c>
      <c r="Q34" s="40">
        <f>COUNTIF(Vertices[PageRank], "&gt;= " &amp; P34) - COUNTIF(Vertices[PageRank], "&gt;=" &amp; P35)</f>
        <v>0</v>
      </c>
      <c r="R34" s="39">
        <f t="shared" si="8"/>
        <v>0</v>
      </c>
      <c r="S34" s="45">
        <f>COUNTIF(Vertices[Clustering Coefficient], "&gt;= " &amp; R34) - COUNTIF(Vertices[Clustering Coefficient], "&gt;=" &amp; R35)</f>
        <v>0</v>
      </c>
      <c r="T34" s="39" t="e">
        <f t="shared" ca="1" si="9"/>
        <v>#REF!</v>
      </c>
      <c r="U34" s="40" t="e">
        <f t="shared" ca="1" si="0"/>
        <v>#REF!</v>
      </c>
    </row>
    <row r="35" spans="1:21" x14ac:dyDescent="0.25">
      <c r="D35" s="34">
        <f t="shared" si="1"/>
        <v>0</v>
      </c>
      <c r="E35" s="3">
        <f>COUNTIF(Vertices[Degree], "&gt;= " &amp; D35) - COUNTIF(Vertices[Degree], "&gt;=" &amp; D36)</f>
        <v>0</v>
      </c>
      <c r="F35" s="41">
        <f t="shared" si="2"/>
        <v>0</v>
      </c>
      <c r="G35" s="42">
        <f>COUNTIF(Vertices[In-Degree], "&gt;= " &amp; F35) - COUNTIF(Vertices[In-Degree], "&gt;=" &amp; F36)</f>
        <v>0</v>
      </c>
      <c r="H35" s="41">
        <f t="shared" si="3"/>
        <v>0</v>
      </c>
      <c r="I35" s="42">
        <f>COUNTIF(Vertices[Out-Degree], "&gt;= " &amp; H35) - COUNTIF(Vertices[Out-Degree], "&gt;=" &amp; H36)</f>
        <v>0</v>
      </c>
      <c r="J35" s="41">
        <f t="shared" si="4"/>
        <v>0</v>
      </c>
      <c r="K35" s="42">
        <f>COUNTIF(Vertices[Betweenness Centrality], "&gt;= " &amp; J35) - COUNTIF(Vertices[Betweenness Centrality], "&gt;=" &amp; J36)</f>
        <v>0</v>
      </c>
      <c r="L35" s="41">
        <f t="shared" si="5"/>
        <v>0</v>
      </c>
      <c r="M35" s="42">
        <f>COUNTIF(Vertices[Closeness Centrality], "&gt;= " &amp; L35) - COUNTIF(Vertices[Closeness Centrality], "&gt;=" &amp; L36)</f>
        <v>0</v>
      </c>
      <c r="N35" s="41">
        <f t="shared" si="6"/>
        <v>0</v>
      </c>
      <c r="O35" s="42">
        <f>COUNTIF(Vertices[Eigenvector Centrality], "&gt;= " &amp; N35) - COUNTIF(Vertices[Eigenvector Centrality], "&gt;=" &amp; N36)</f>
        <v>0</v>
      </c>
      <c r="P35" s="41">
        <f t="shared" si="7"/>
        <v>0</v>
      </c>
      <c r="Q35" s="42">
        <f>COUNTIF(Vertices[PageRank], "&gt;= " &amp; P35) - COUNTIF(Vertices[PageRank], "&gt;=" &amp; P36)</f>
        <v>0</v>
      </c>
      <c r="R35" s="41">
        <f t="shared" si="8"/>
        <v>0</v>
      </c>
      <c r="S35" s="46">
        <f>COUNTIF(Vertices[Clustering Coefficient], "&gt;= " &amp; R35) - COUNTIF(Vertices[Clustering Coefficient], "&gt;=" &amp; R36)</f>
        <v>0</v>
      </c>
      <c r="T35" s="41" t="e">
        <f t="shared" ca="1" si="9"/>
        <v>#REF!</v>
      </c>
      <c r="U35" s="42" t="e">
        <f t="shared" ca="1" si="0"/>
        <v>#REF!</v>
      </c>
    </row>
    <row r="36" spans="1:21" x14ac:dyDescent="0.25">
      <c r="D36" s="34">
        <f t="shared" si="1"/>
        <v>0</v>
      </c>
      <c r="E36" s="3">
        <f>COUNTIF(Vertices[Degree], "&gt;= " &amp; D36) - COUNTIF(Vertices[Degree], "&gt;=" &amp; D37)</f>
        <v>0</v>
      </c>
      <c r="F36" s="39">
        <f t="shared" si="2"/>
        <v>0</v>
      </c>
      <c r="G36" s="40">
        <f>COUNTIF(Vertices[In-Degree], "&gt;= " &amp; F36) - COUNTIF(Vertices[In-Degree], "&gt;=" &amp; F37)</f>
        <v>0</v>
      </c>
      <c r="H36" s="39">
        <f t="shared" si="3"/>
        <v>0</v>
      </c>
      <c r="I36" s="40">
        <f>COUNTIF(Vertices[Out-Degree], "&gt;= " &amp; H36) - COUNTIF(Vertices[Out-Degree], "&gt;=" &amp; H37)</f>
        <v>0</v>
      </c>
      <c r="J36" s="39">
        <f t="shared" si="4"/>
        <v>0</v>
      </c>
      <c r="K36" s="40">
        <f>COUNTIF(Vertices[Betweenness Centrality], "&gt;= " &amp; J36) - COUNTIF(Vertices[Betweenness Centrality], "&gt;=" &amp; J37)</f>
        <v>0</v>
      </c>
      <c r="L36" s="39">
        <f t="shared" si="5"/>
        <v>0</v>
      </c>
      <c r="M36" s="40">
        <f>COUNTIF(Vertices[Closeness Centrality], "&gt;= " &amp; L36) - COUNTIF(Vertices[Closeness Centrality], "&gt;=" &amp; L37)</f>
        <v>0</v>
      </c>
      <c r="N36" s="39">
        <f t="shared" si="6"/>
        <v>0</v>
      </c>
      <c r="O36" s="40">
        <f>COUNTIF(Vertices[Eigenvector Centrality], "&gt;= " &amp; N36) - COUNTIF(Vertices[Eigenvector Centrality], "&gt;=" &amp; N37)</f>
        <v>0</v>
      </c>
      <c r="P36" s="39">
        <f t="shared" si="7"/>
        <v>0</v>
      </c>
      <c r="Q36" s="40">
        <f>COUNTIF(Vertices[PageRank], "&gt;= " &amp; P36) - COUNTIF(Vertices[PageRank], "&gt;=" &amp; P37)</f>
        <v>0</v>
      </c>
      <c r="R36" s="39">
        <f t="shared" si="8"/>
        <v>0</v>
      </c>
      <c r="S36" s="45">
        <f>COUNTIF(Vertices[Clustering Coefficient], "&gt;= " &amp; R36) - COUNTIF(Vertices[Clustering Coefficient], "&gt;=" &amp; R37)</f>
        <v>0</v>
      </c>
      <c r="T36" s="39" t="e">
        <f t="shared" ca="1" si="9"/>
        <v>#REF!</v>
      </c>
      <c r="U36" s="40" t="e">
        <f t="shared" ca="1" si="0"/>
        <v>#REF!</v>
      </c>
    </row>
    <row r="37" spans="1:21" x14ac:dyDescent="0.25">
      <c r="D37" s="34">
        <f t="shared" si="1"/>
        <v>0</v>
      </c>
      <c r="E37" s="3">
        <f>COUNTIF(Vertices[Degree], "&gt;= " &amp; D37) - COUNTIF(Vertices[Degree], "&gt;=" &amp; D38)</f>
        <v>0</v>
      </c>
      <c r="F37" s="41">
        <f t="shared" si="2"/>
        <v>0</v>
      </c>
      <c r="G37" s="42">
        <f>COUNTIF(Vertices[In-Degree], "&gt;= " &amp; F37) - COUNTIF(Vertices[In-Degree], "&gt;=" &amp; F38)</f>
        <v>0</v>
      </c>
      <c r="H37" s="41">
        <f t="shared" si="3"/>
        <v>0</v>
      </c>
      <c r="I37" s="42">
        <f>COUNTIF(Vertices[Out-Degree], "&gt;= " &amp; H37) - COUNTIF(Vertices[Out-Degree], "&gt;=" &amp; H38)</f>
        <v>0</v>
      </c>
      <c r="J37" s="41">
        <f t="shared" si="4"/>
        <v>0</v>
      </c>
      <c r="K37" s="42">
        <f>COUNTIF(Vertices[Betweenness Centrality], "&gt;= " &amp; J37) - COUNTIF(Vertices[Betweenness Centrality], "&gt;=" &amp; J38)</f>
        <v>0</v>
      </c>
      <c r="L37" s="41">
        <f t="shared" si="5"/>
        <v>0</v>
      </c>
      <c r="M37" s="42">
        <f>COUNTIF(Vertices[Closeness Centrality], "&gt;= " &amp; L37) - COUNTIF(Vertices[Closeness Centrality], "&gt;=" &amp; L38)</f>
        <v>0</v>
      </c>
      <c r="N37" s="41">
        <f t="shared" si="6"/>
        <v>0</v>
      </c>
      <c r="O37" s="42">
        <f>COUNTIF(Vertices[Eigenvector Centrality], "&gt;= " &amp; N37) - COUNTIF(Vertices[Eigenvector Centrality], "&gt;=" &amp; N38)</f>
        <v>0</v>
      </c>
      <c r="P37" s="41">
        <f t="shared" si="7"/>
        <v>0</v>
      </c>
      <c r="Q37" s="42">
        <f>COUNTIF(Vertices[PageRank], "&gt;= " &amp; P37) - COUNTIF(Vertices[PageRank], "&gt;=" &amp; P38)</f>
        <v>0</v>
      </c>
      <c r="R37" s="41">
        <f t="shared" si="8"/>
        <v>0</v>
      </c>
      <c r="S37" s="46">
        <f>COUNTIF(Vertices[Clustering Coefficient], "&gt;= " &amp; R37) - COUNTIF(Vertices[Clustering Coefficient], "&gt;=" &amp; R38)</f>
        <v>0</v>
      </c>
      <c r="T37" s="41" t="e">
        <f t="shared" ca="1" si="9"/>
        <v>#REF!</v>
      </c>
      <c r="U37" s="42" t="e">
        <f t="shared" ca="1" si="0"/>
        <v>#REF!</v>
      </c>
    </row>
    <row r="38" spans="1:21" x14ac:dyDescent="0.25">
      <c r="D38" s="34">
        <f t="shared" si="1"/>
        <v>0</v>
      </c>
      <c r="E38" s="3">
        <f>COUNTIF(Vertices[Degree], "&gt;= " &amp; D38) - COUNTIF(Vertices[Degree], "&gt;=" &amp; D39)</f>
        <v>0</v>
      </c>
      <c r="F38" s="39">
        <f t="shared" si="2"/>
        <v>0</v>
      </c>
      <c r="G38" s="40">
        <f>COUNTIF(Vertices[In-Degree], "&gt;= " &amp; F38) - COUNTIF(Vertices[In-Degree], "&gt;=" &amp; F39)</f>
        <v>0</v>
      </c>
      <c r="H38" s="39">
        <f t="shared" si="3"/>
        <v>0</v>
      </c>
      <c r="I38" s="40">
        <f>COUNTIF(Vertices[Out-Degree], "&gt;= " &amp; H38) - COUNTIF(Vertices[Out-Degree], "&gt;=" &amp; H39)</f>
        <v>0</v>
      </c>
      <c r="J38" s="39">
        <f t="shared" si="4"/>
        <v>0</v>
      </c>
      <c r="K38" s="40">
        <f>COUNTIF(Vertices[Betweenness Centrality], "&gt;= " &amp; J38) - COUNTIF(Vertices[Betweenness Centrality], "&gt;=" &amp; J39)</f>
        <v>0</v>
      </c>
      <c r="L38" s="39">
        <f t="shared" si="5"/>
        <v>0</v>
      </c>
      <c r="M38" s="40">
        <f>COUNTIF(Vertices[Closeness Centrality], "&gt;= " &amp; L38) - COUNTIF(Vertices[Closeness Centrality], "&gt;=" &amp; L39)</f>
        <v>0</v>
      </c>
      <c r="N38" s="39">
        <f t="shared" si="6"/>
        <v>0</v>
      </c>
      <c r="O38" s="40">
        <f>COUNTIF(Vertices[Eigenvector Centrality], "&gt;= " &amp; N38) - COUNTIF(Vertices[Eigenvector Centrality], "&gt;=" &amp; N39)</f>
        <v>0</v>
      </c>
      <c r="P38" s="39">
        <f t="shared" si="7"/>
        <v>0</v>
      </c>
      <c r="Q38" s="40">
        <f>COUNTIF(Vertices[PageRank], "&gt;= " &amp; P38) - COUNTIF(Vertices[PageRank], "&gt;=" &amp; P39)</f>
        <v>0</v>
      </c>
      <c r="R38" s="39">
        <f t="shared" si="8"/>
        <v>0</v>
      </c>
      <c r="S38" s="45">
        <f>COUNTIF(Vertices[Clustering Coefficient], "&gt;= " &amp; R38) - COUNTIF(Vertices[Clustering Coefficient], "&gt;=" &amp; R39)</f>
        <v>0</v>
      </c>
      <c r="T38" s="39" t="e">
        <f t="shared" ca="1" si="9"/>
        <v>#REF!</v>
      </c>
      <c r="U38" s="40" t="e">
        <f t="shared" ca="1" si="0"/>
        <v>#REF!</v>
      </c>
    </row>
    <row r="39" spans="1:21" x14ac:dyDescent="0.25">
      <c r="D39" s="34">
        <f t="shared" si="1"/>
        <v>0</v>
      </c>
      <c r="E39" s="3">
        <f>COUNTIF(Vertices[Degree], "&gt;= " &amp; D39) - COUNTIF(Vertices[Degree], "&gt;=" &amp; D40)</f>
        <v>0</v>
      </c>
      <c r="F39" s="41">
        <f t="shared" si="2"/>
        <v>0</v>
      </c>
      <c r="G39" s="42">
        <f>COUNTIF(Vertices[In-Degree], "&gt;= " &amp; F39) - COUNTIF(Vertices[In-Degree], "&gt;=" &amp; F40)</f>
        <v>0</v>
      </c>
      <c r="H39" s="41">
        <f t="shared" si="3"/>
        <v>0</v>
      </c>
      <c r="I39" s="42">
        <f>COUNTIF(Vertices[Out-Degree], "&gt;= " &amp; H39) - COUNTIF(Vertices[Out-Degree], "&gt;=" &amp; H40)</f>
        <v>0</v>
      </c>
      <c r="J39" s="41">
        <f t="shared" si="4"/>
        <v>0</v>
      </c>
      <c r="K39" s="42">
        <f>COUNTIF(Vertices[Betweenness Centrality], "&gt;= " &amp; J39) - COUNTIF(Vertices[Betweenness Centrality], "&gt;=" &amp; J40)</f>
        <v>0</v>
      </c>
      <c r="L39" s="41">
        <f t="shared" si="5"/>
        <v>0</v>
      </c>
      <c r="M39" s="42">
        <f>COUNTIF(Vertices[Closeness Centrality], "&gt;= " &amp; L39) - COUNTIF(Vertices[Closeness Centrality], "&gt;=" &amp; L40)</f>
        <v>0</v>
      </c>
      <c r="N39" s="41">
        <f t="shared" si="6"/>
        <v>0</v>
      </c>
      <c r="O39" s="42">
        <f>COUNTIF(Vertices[Eigenvector Centrality], "&gt;= " &amp; N39) - COUNTIF(Vertices[Eigenvector Centrality], "&gt;=" &amp; N40)</f>
        <v>0</v>
      </c>
      <c r="P39" s="41">
        <f t="shared" si="7"/>
        <v>0</v>
      </c>
      <c r="Q39" s="42">
        <f>COUNTIF(Vertices[PageRank], "&gt;= " &amp; P39) - COUNTIF(Vertices[PageRank], "&gt;=" &amp; P40)</f>
        <v>0</v>
      </c>
      <c r="R39" s="41">
        <f t="shared" si="8"/>
        <v>0</v>
      </c>
      <c r="S39" s="46">
        <f>COUNTIF(Vertices[Clustering Coefficient], "&gt;= " &amp; R39) - COUNTIF(Vertices[Clustering Coefficient], "&gt;=" &amp; R40)</f>
        <v>0</v>
      </c>
      <c r="T39" s="41" t="e">
        <f t="shared" ca="1" si="9"/>
        <v>#REF!</v>
      </c>
      <c r="U39" s="42" t="e">
        <f t="shared" ca="1" si="0"/>
        <v>#REF!</v>
      </c>
    </row>
    <row r="40" spans="1:21" x14ac:dyDescent="0.25">
      <c r="D40" s="34">
        <f t="shared" si="1"/>
        <v>0</v>
      </c>
      <c r="E40" s="3">
        <f>COUNTIF(Vertices[Degree], "&gt;= " &amp; D40) - COUNTIF(Vertices[Degree], "&gt;=" &amp; D41)</f>
        <v>0</v>
      </c>
      <c r="F40" s="39">
        <f t="shared" si="2"/>
        <v>0</v>
      </c>
      <c r="G40" s="40">
        <f>COUNTIF(Vertices[In-Degree], "&gt;= " &amp; F40) - COUNTIF(Vertices[In-Degree], "&gt;=" &amp; F41)</f>
        <v>0</v>
      </c>
      <c r="H40" s="39">
        <f t="shared" si="3"/>
        <v>0</v>
      </c>
      <c r="I40" s="40">
        <f>COUNTIF(Vertices[Out-Degree], "&gt;= " &amp; H40) - COUNTIF(Vertices[Out-Degree], "&gt;=" &amp; H41)</f>
        <v>0</v>
      </c>
      <c r="J40" s="39">
        <f t="shared" si="4"/>
        <v>0</v>
      </c>
      <c r="K40" s="40">
        <f>COUNTIF(Vertices[Betweenness Centrality], "&gt;= " &amp; J40) - COUNTIF(Vertices[Betweenness Centrality], "&gt;=" &amp; J41)</f>
        <v>0</v>
      </c>
      <c r="L40" s="39">
        <f t="shared" si="5"/>
        <v>0</v>
      </c>
      <c r="M40" s="40">
        <f>COUNTIF(Vertices[Closeness Centrality], "&gt;= " &amp; L40) - COUNTIF(Vertices[Closeness Centrality], "&gt;=" &amp; L41)</f>
        <v>0</v>
      </c>
      <c r="N40" s="39">
        <f t="shared" si="6"/>
        <v>0</v>
      </c>
      <c r="O40" s="40">
        <f>COUNTIF(Vertices[Eigenvector Centrality], "&gt;= " &amp; N40) - COUNTIF(Vertices[Eigenvector Centrality], "&gt;=" &amp; N41)</f>
        <v>0</v>
      </c>
      <c r="P40" s="39">
        <f t="shared" si="7"/>
        <v>0</v>
      </c>
      <c r="Q40" s="40">
        <f>COUNTIF(Vertices[PageRank], "&gt;= " &amp; P40) - COUNTIF(Vertices[PageRank], "&gt;=" &amp; P41)</f>
        <v>0</v>
      </c>
      <c r="R40" s="39">
        <f t="shared" si="8"/>
        <v>0</v>
      </c>
      <c r="S40" s="45">
        <f>COUNTIF(Vertices[Clustering Coefficient], "&gt;= " &amp; R40) - COUNTIF(Vertices[Clustering Coefficient], "&gt;=" &amp; R41)</f>
        <v>0</v>
      </c>
      <c r="T40" s="39" t="e">
        <f t="shared" ca="1" si="9"/>
        <v>#REF!</v>
      </c>
      <c r="U40" s="40" t="e">
        <f t="shared" ca="1" si="0"/>
        <v>#REF!</v>
      </c>
    </row>
    <row r="41" spans="1:21" x14ac:dyDescent="0.25">
      <c r="D41" s="34">
        <f t="shared" si="1"/>
        <v>0</v>
      </c>
      <c r="E41" s="3">
        <f>COUNTIF(Vertices[Degree], "&gt;= " &amp; D41) - COUNTIF(Vertices[Degree], "&gt;=" &amp; D42)</f>
        <v>0</v>
      </c>
      <c r="F41" s="41">
        <f t="shared" si="2"/>
        <v>0</v>
      </c>
      <c r="G41" s="42">
        <f>COUNTIF(Vertices[In-Degree], "&gt;= " &amp; F41) - COUNTIF(Vertices[In-Degree], "&gt;=" &amp; F42)</f>
        <v>0</v>
      </c>
      <c r="H41" s="41">
        <f t="shared" si="3"/>
        <v>0</v>
      </c>
      <c r="I41" s="42">
        <f>COUNTIF(Vertices[Out-Degree], "&gt;= " &amp; H41) - COUNTIF(Vertices[Out-Degree], "&gt;=" &amp; H42)</f>
        <v>0</v>
      </c>
      <c r="J41" s="41">
        <f t="shared" si="4"/>
        <v>0</v>
      </c>
      <c r="K41" s="42">
        <f>COUNTIF(Vertices[Betweenness Centrality], "&gt;= " &amp; J41) - COUNTIF(Vertices[Betweenness Centrality], "&gt;=" &amp; J42)</f>
        <v>0</v>
      </c>
      <c r="L41" s="41">
        <f t="shared" si="5"/>
        <v>0</v>
      </c>
      <c r="M41" s="42">
        <f>COUNTIF(Vertices[Closeness Centrality], "&gt;= " &amp; L41) - COUNTIF(Vertices[Closeness Centrality], "&gt;=" &amp; L42)</f>
        <v>0</v>
      </c>
      <c r="N41" s="41">
        <f t="shared" si="6"/>
        <v>0</v>
      </c>
      <c r="O41" s="42">
        <f>COUNTIF(Vertices[Eigenvector Centrality], "&gt;= " &amp; N41) - COUNTIF(Vertices[Eigenvector Centrality], "&gt;=" &amp; N42)</f>
        <v>0</v>
      </c>
      <c r="P41" s="41">
        <f t="shared" si="7"/>
        <v>0</v>
      </c>
      <c r="Q41" s="42">
        <f>COUNTIF(Vertices[PageRank], "&gt;= " &amp; P41) - COUNTIF(Vertices[PageRank], "&gt;=" &amp; P42)</f>
        <v>0</v>
      </c>
      <c r="R41" s="41">
        <f t="shared" si="8"/>
        <v>0</v>
      </c>
      <c r="S41" s="46">
        <f>COUNTIF(Vertices[Clustering Coefficient], "&gt;= " &amp; R41) - COUNTIF(Vertices[Clustering Coefficient], "&gt;=" &amp; R42)</f>
        <v>0</v>
      </c>
      <c r="T41" s="41" t="e">
        <f t="shared" ca="1" si="9"/>
        <v>#REF!</v>
      </c>
      <c r="U41" s="42" t="e">
        <f t="shared" ca="1" si="0"/>
        <v>#REF!</v>
      </c>
    </row>
    <row r="42" spans="1:21" x14ac:dyDescent="0.25">
      <c r="D42" s="34">
        <f t="shared" si="1"/>
        <v>0</v>
      </c>
      <c r="E42" s="3">
        <f>COUNTIF(Vertices[Degree], "&gt;= " &amp; D42) - COUNTIF(Vertices[Degree], "&gt;=" &amp; D43)</f>
        <v>0</v>
      </c>
      <c r="F42" s="39">
        <f t="shared" si="2"/>
        <v>0</v>
      </c>
      <c r="G42" s="40">
        <f>COUNTIF(Vertices[In-Degree], "&gt;= " &amp; F42) - COUNTIF(Vertices[In-Degree], "&gt;=" &amp; F43)</f>
        <v>0</v>
      </c>
      <c r="H42" s="39">
        <f t="shared" si="3"/>
        <v>0</v>
      </c>
      <c r="I42" s="40">
        <f>COUNTIF(Vertices[Out-Degree], "&gt;= " &amp; H42) - COUNTIF(Vertices[Out-Degree], "&gt;=" &amp; H43)</f>
        <v>0</v>
      </c>
      <c r="J42" s="39">
        <f t="shared" si="4"/>
        <v>0</v>
      </c>
      <c r="K42" s="40">
        <f>COUNTIF(Vertices[Betweenness Centrality], "&gt;= " &amp; J42) - COUNTIF(Vertices[Betweenness Centrality], "&gt;=" &amp; J43)</f>
        <v>0</v>
      </c>
      <c r="L42" s="39">
        <f t="shared" si="5"/>
        <v>0</v>
      </c>
      <c r="M42" s="40">
        <f>COUNTIF(Vertices[Closeness Centrality], "&gt;= " &amp; L42) - COUNTIF(Vertices[Closeness Centrality], "&gt;=" &amp; L43)</f>
        <v>0</v>
      </c>
      <c r="N42" s="39">
        <f t="shared" si="6"/>
        <v>0</v>
      </c>
      <c r="O42" s="40">
        <f>COUNTIF(Vertices[Eigenvector Centrality], "&gt;= " &amp; N42) - COUNTIF(Vertices[Eigenvector Centrality], "&gt;=" &amp; N43)</f>
        <v>0</v>
      </c>
      <c r="P42" s="39">
        <f t="shared" si="7"/>
        <v>0</v>
      </c>
      <c r="Q42" s="40">
        <f>COUNTIF(Vertices[PageRank], "&gt;= " &amp; P42) - COUNTIF(Vertices[PageRank], "&gt;=" &amp; P43)</f>
        <v>0</v>
      </c>
      <c r="R42" s="39">
        <f t="shared" si="8"/>
        <v>0</v>
      </c>
      <c r="S42" s="45">
        <f>COUNTIF(Vertices[Clustering Coefficient], "&gt;= " &amp; R42) - COUNTIF(Vertices[Clustering Coefficient], "&gt;=" &amp; R43)</f>
        <v>0</v>
      </c>
      <c r="T42" s="39" t="e">
        <f t="shared" ca="1" si="9"/>
        <v>#REF!</v>
      </c>
      <c r="U42" s="40" t="e">
        <f t="shared" ca="1" si="0"/>
        <v>#REF!</v>
      </c>
    </row>
    <row r="43" spans="1:21" x14ac:dyDescent="0.25">
      <c r="A43" s="35" t="s">
        <v>81</v>
      </c>
      <c r="B43" s="48" t="str">
        <f>IF(COUNT(Vertices[Degree])&gt;0, D2, NoMetricMessage)</f>
        <v>Not Available</v>
      </c>
      <c r="D43" s="34">
        <f t="shared" si="1"/>
        <v>0</v>
      </c>
      <c r="E43" s="3">
        <f>COUNTIF(Vertices[Degree], "&gt;= " &amp; D43) - COUNTIF(Vertices[Degree], "&gt;=" &amp; D44)</f>
        <v>0</v>
      </c>
      <c r="F43" s="41">
        <f t="shared" si="2"/>
        <v>0</v>
      </c>
      <c r="G43" s="42">
        <f>COUNTIF(Vertices[In-Degree], "&gt;= " &amp; F43) - COUNTIF(Vertices[In-Degree], "&gt;=" &amp; F44)</f>
        <v>0</v>
      </c>
      <c r="H43" s="41">
        <f t="shared" si="3"/>
        <v>0</v>
      </c>
      <c r="I43" s="42">
        <f>COUNTIF(Vertices[Out-Degree], "&gt;= " &amp; H43) - COUNTIF(Vertices[Out-Degree], "&gt;=" &amp; H44)</f>
        <v>0</v>
      </c>
      <c r="J43" s="41">
        <f t="shared" si="4"/>
        <v>0</v>
      </c>
      <c r="K43" s="42">
        <f>COUNTIF(Vertices[Betweenness Centrality], "&gt;= " &amp; J43) - COUNTIF(Vertices[Betweenness Centrality], "&gt;=" &amp; J44)</f>
        <v>0</v>
      </c>
      <c r="L43" s="41">
        <f t="shared" si="5"/>
        <v>0</v>
      </c>
      <c r="M43" s="42">
        <f>COUNTIF(Vertices[Closeness Centrality], "&gt;= " &amp; L43) - COUNTIF(Vertices[Closeness Centrality], "&gt;=" &amp; L44)</f>
        <v>0</v>
      </c>
      <c r="N43" s="41">
        <f t="shared" si="6"/>
        <v>0</v>
      </c>
      <c r="O43" s="42">
        <f>COUNTIF(Vertices[Eigenvector Centrality], "&gt;= " &amp; N43) - COUNTIF(Vertices[Eigenvector Centrality], "&gt;=" &amp; N44)</f>
        <v>0</v>
      </c>
      <c r="P43" s="41">
        <f t="shared" si="7"/>
        <v>0</v>
      </c>
      <c r="Q43" s="42">
        <f>COUNTIF(Vertices[PageRank], "&gt;= " &amp; P43) - COUNTIF(Vertices[PageRank], "&gt;=" &amp; P44)</f>
        <v>0</v>
      </c>
      <c r="R43" s="41">
        <f t="shared" si="8"/>
        <v>0</v>
      </c>
      <c r="S43" s="46">
        <f>COUNTIF(Vertices[Clustering Coefficient], "&gt;= " &amp; R43) - COUNTIF(Vertices[Clustering Coefficient], "&gt;=" &amp; R44)</f>
        <v>0</v>
      </c>
      <c r="T43" s="41" t="e">
        <f t="shared" ca="1" si="9"/>
        <v>#REF!</v>
      </c>
      <c r="U43" s="42" t="e">
        <f t="shared" ca="1" si="0"/>
        <v>#REF!</v>
      </c>
    </row>
    <row r="44" spans="1:21" x14ac:dyDescent="0.25">
      <c r="A44" s="35" t="s">
        <v>82</v>
      </c>
      <c r="B44" s="48" t="str">
        <f>IF(COUNT(Vertices[Degree])&gt;0, D45, NoMetricMessage)</f>
        <v>Not Available</v>
      </c>
      <c r="D44" s="34">
        <f t="shared" si="1"/>
        <v>0</v>
      </c>
      <c r="E44" s="3">
        <f>COUNTIF(Vertices[Degree], "&gt;= " &amp; D44) - COUNTIF(Vertices[Degree], "&gt;=" &amp; D45)</f>
        <v>0</v>
      </c>
      <c r="F44" s="39">
        <f t="shared" si="2"/>
        <v>0</v>
      </c>
      <c r="G44" s="40">
        <f>COUNTIF(Vertices[In-Degree], "&gt;= " &amp; F44) - COUNTIF(Vertices[In-Degree], "&gt;=" &amp; F45)</f>
        <v>0</v>
      </c>
      <c r="H44" s="39">
        <f t="shared" si="3"/>
        <v>0</v>
      </c>
      <c r="I44" s="40">
        <f>COUNTIF(Vertices[Out-Degree], "&gt;= " &amp; H44) - COUNTIF(Vertices[Out-Degree], "&gt;=" &amp; H45)</f>
        <v>0</v>
      </c>
      <c r="J44" s="39">
        <f t="shared" si="4"/>
        <v>0</v>
      </c>
      <c r="K44" s="40">
        <f>COUNTIF(Vertices[Betweenness Centrality], "&gt;= " &amp; J44) - COUNTIF(Vertices[Betweenness Centrality], "&gt;=" &amp; J45)</f>
        <v>0</v>
      </c>
      <c r="L44" s="39">
        <f t="shared" si="5"/>
        <v>0</v>
      </c>
      <c r="M44" s="40">
        <f>COUNTIF(Vertices[Closeness Centrality], "&gt;= " &amp; L44) - COUNTIF(Vertices[Closeness Centrality], "&gt;=" &amp; L45)</f>
        <v>0</v>
      </c>
      <c r="N44" s="39">
        <f t="shared" si="6"/>
        <v>0</v>
      </c>
      <c r="O44" s="40">
        <f>COUNTIF(Vertices[Eigenvector Centrality], "&gt;= " &amp; N44) - COUNTIF(Vertices[Eigenvector Centrality], "&gt;=" &amp; N45)</f>
        <v>0</v>
      </c>
      <c r="P44" s="39">
        <f t="shared" si="7"/>
        <v>0</v>
      </c>
      <c r="Q44" s="40">
        <f>COUNTIF(Vertices[PageRank], "&gt;= " &amp; P44) - COUNTIF(Vertices[PageRank], "&gt;=" &amp; P45)</f>
        <v>0</v>
      </c>
      <c r="R44" s="39">
        <f t="shared" si="8"/>
        <v>0</v>
      </c>
      <c r="S44" s="45">
        <f>COUNTIF(Vertices[Clustering Coefficient], "&gt;= " &amp; R44) - COUNTIF(Vertices[Clustering Coefficient], "&gt;=" &amp; R45)</f>
        <v>0</v>
      </c>
      <c r="T44" s="39" t="e">
        <f t="shared" ca="1" si="9"/>
        <v>#REF!</v>
      </c>
      <c r="U44" s="40" t="e">
        <f t="shared" ca="1" si="0"/>
        <v>#REF!</v>
      </c>
    </row>
    <row r="45" spans="1:21" x14ac:dyDescent="0.25">
      <c r="A45" s="35" t="s">
        <v>83</v>
      </c>
      <c r="B45" s="49" t="str">
        <f>IFERROR(AVERAGE(Vertices[Degree]),NoMetricMessage)</f>
        <v>Not Available</v>
      </c>
      <c r="D45" s="34">
        <f>MAX(Vertices[Degree])</f>
        <v>0</v>
      </c>
      <c r="E45" s="3">
        <f>COUNTIF(Vertices[Degree], "&gt;= " &amp; D45) - COUNTIF(Vertices[Degree], "&gt;=" &amp; D46)</f>
        <v>0</v>
      </c>
      <c r="F45" s="43">
        <f>MAX(Vertices[In-Degree])</f>
        <v>0</v>
      </c>
      <c r="G45" s="44">
        <f>COUNTIF(Vertices[In-Degree], "&gt;= " &amp; F45) - COUNTIF(Vertices[In-Degree], "&gt;=" &amp; F46)</f>
        <v>0</v>
      </c>
      <c r="H45" s="43">
        <f>MAX(Vertices[Out-Degree])</f>
        <v>0</v>
      </c>
      <c r="I45" s="44">
        <f>COUNTIF(Vertices[Out-Degree], "&gt;= " &amp; H45) - COUNTIF(Vertices[Out-Degree], "&gt;=" &amp; H46)</f>
        <v>0</v>
      </c>
      <c r="J45" s="43">
        <f>MAX(Vertices[Betweenness Centrality])</f>
        <v>0</v>
      </c>
      <c r="K45" s="44">
        <f>COUNTIF(Vertices[Betweenness Centrality], "&gt;= " &amp; J45) - COUNTIF(Vertices[Betweenness Centrality], "&gt;=" &amp; J46)</f>
        <v>0</v>
      </c>
      <c r="L45" s="43">
        <f>MAX(Vertices[Closeness Centrality])</f>
        <v>0</v>
      </c>
      <c r="M45" s="44">
        <f>COUNTIF(Vertices[Closeness Centrality], "&gt;= " &amp; L45) - COUNTIF(Vertices[Closeness Centrality], "&gt;=" &amp; L46)</f>
        <v>0</v>
      </c>
      <c r="N45" s="43">
        <f>MAX(Vertices[Eigenvector Centrality])</f>
        <v>0</v>
      </c>
      <c r="O45" s="44">
        <f>COUNTIF(Vertices[Eigenvector Centrality], "&gt;= " &amp; N45) - COUNTIF(Vertices[Eigenvector Centrality], "&gt;=" &amp; N46)</f>
        <v>0</v>
      </c>
      <c r="P45" s="43">
        <f>MAX(Vertices[PageRank])</f>
        <v>0</v>
      </c>
      <c r="Q45" s="44">
        <f>COUNTIF(Vertices[PageRank], "&gt;= " &amp; P45) - COUNTIF(Vertices[PageRank], "&gt;=" &amp; P46)</f>
        <v>0</v>
      </c>
      <c r="R45" s="43">
        <f>MAX(Vertices[Clustering Coefficient])</f>
        <v>0</v>
      </c>
      <c r="S45" s="47">
        <f>COUNTIF(Vertices[Clustering Coefficient], "&gt;= " &amp; R45) - COUNTIF(Vertices[Clustering Coefficient], "&gt;=" &amp; R46)</f>
        <v>0</v>
      </c>
      <c r="T45" s="43" t="e">
        <f ca="1">MAX(INDIRECT(DynamicFilterSourceColumnRange))</f>
        <v>#REF!</v>
      </c>
      <c r="U45" s="44" t="e">
        <f t="shared" ca="1" si="0"/>
        <v>#REF!</v>
      </c>
    </row>
    <row r="46" spans="1:21" x14ac:dyDescent="0.25">
      <c r="A46" s="35" t="s">
        <v>84</v>
      </c>
      <c r="B46" s="49" t="str">
        <f>IFERROR(MEDIAN(Vertices[Degree]),NoMetricMessage)</f>
        <v>Not Available</v>
      </c>
    </row>
    <row r="57" spans="1:2" x14ac:dyDescent="0.25">
      <c r="A57" s="35" t="s">
        <v>88</v>
      </c>
      <c r="B57" s="48" t="str">
        <f>IF(COUNT(Vertices[In-Degree])&gt;0, F2, NoMetricMessage)</f>
        <v>Not Available</v>
      </c>
    </row>
    <row r="58" spans="1:2" x14ac:dyDescent="0.25">
      <c r="A58" s="35" t="s">
        <v>89</v>
      </c>
      <c r="B58" s="48" t="str">
        <f>IF(COUNT(Vertices[In-Degree])&gt;0, F45, NoMetricMessage)</f>
        <v>Not Available</v>
      </c>
    </row>
    <row r="59" spans="1:2" x14ac:dyDescent="0.25">
      <c r="A59" s="35" t="s">
        <v>90</v>
      </c>
      <c r="B59" s="49" t="str">
        <f>IFERROR(AVERAGE(Vertices[In-Degree]),NoMetricMessage)</f>
        <v>Not Available</v>
      </c>
    </row>
    <row r="60" spans="1:2" x14ac:dyDescent="0.25">
      <c r="A60" s="35" t="s">
        <v>91</v>
      </c>
      <c r="B60" s="49" t="str">
        <f>IFERROR(MEDIAN(Vertices[In-Degree]),NoMetricMessage)</f>
        <v>Not Available</v>
      </c>
    </row>
    <row r="71" spans="1:2" x14ac:dyDescent="0.25">
      <c r="A71" s="35" t="s">
        <v>94</v>
      </c>
      <c r="B71" s="48" t="str">
        <f>IF(COUNT(Vertices[Out-Degree])&gt;0, H2, NoMetricMessage)</f>
        <v>Not Available</v>
      </c>
    </row>
    <row r="72" spans="1:2" x14ac:dyDescent="0.25">
      <c r="A72" s="35" t="s">
        <v>95</v>
      </c>
      <c r="B72" s="48" t="str">
        <f>IF(COUNT(Vertices[Out-Degree])&gt;0, H45, NoMetricMessage)</f>
        <v>Not Available</v>
      </c>
    </row>
    <row r="73" spans="1:2" x14ac:dyDescent="0.25">
      <c r="A73" s="35" t="s">
        <v>96</v>
      </c>
      <c r="B73" s="49" t="str">
        <f>IFERROR(AVERAGE(Vertices[Out-Degree]),NoMetricMessage)</f>
        <v>Not Available</v>
      </c>
    </row>
    <row r="74" spans="1:2" x14ac:dyDescent="0.25">
      <c r="A74" s="35" t="s">
        <v>97</v>
      </c>
      <c r="B74" s="49" t="str">
        <f>IFERROR(MEDIAN(Vertices[Out-Degree]),NoMetricMessage)</f>
        <v>Not Available</v>
      </c>
    </row>
    <row r="85" spans="1:2" x14ac:dyDescent="0.25">
      <c r="A85" s="35" t="s">
        <v>100</v>
      </c>
      <c r="B85" s="49" t="str">
        <f>IF(COUNT(Vertices[Betweenness Centrality])&gt;0, J2, NoMetricMessage)</f>
        <v>Not Available</v>
      </c>
    </row>
    <row r="86" spans="1:2" x14ac:dyDescent="0.25">
      <c r="A86" s="35" t="s">
        <v>101</v>
      </c>
      <c r="B86" s="49" t="str">
        <f>IF(COUNT(Vertices[Betweenness Centrality])&gt;0, J45, NoMetricMessage)</f>
        <v>Not Available</v>
      </c>
    </row>
    <row r="87" spans="1:2" x14ac:dyDescent="0.25">
      <c r="A87" s="35" t="s">
        <v>102</v>
      </c>
      <c r="B87" s="49" t="str">
        <f>IFERROR(AVERAGE(Vertices[Betweenness Centrality]),NoMetricMessage)</f>
        <v>Not Available</v>
      </c>
    </row>
    <row r="88" spans="1:2" x14ac:dyDescent="0.25">
      <c r="A88" s="35" t="s">
        <v>103</v>
      </c>
      <c r="B88" s="49" t="str">
        <f>IFERROR(MEDIAN(Vertices[Betweenness Centrality]),NoMetricMessage)</f>
        <v>Not Available</v>
      </c>
    </row>
    <row r="99" spans="1:2" x14ac:dyDescent="0.25">
      <c r="A99" s="35" t="s">
        <v>106</v>
      </c>
      <c r="B99" s="49" t="str">
        <f>IF(COUNT(Vertices[Closeness Centrality])&gt;0, L2, NoMetricMessage)</f>
        <v>Not Available</v>
      </c>
    </row>
    <row r="100" spans="1:2" x14ac:dyDescent="0.25">
      <c r="A100" s="35" t="s">
        <v>107</v>
      </c>
      <c r="B100" s="49" t="str">
        <f>IF(COUNT(Vertices[Closeness Centrality])&gt;0, L45, NoMetricMessage)</f>
        <v>Not Available</v>
      </c>
    </row>
    <row r="101" spans="1:2" x14ac:dyDescent="0.25">
      <c r="A101" s="35" t="s">
        <v>108</v>
      </c>
      <c r="B101" s="49" t="str">
        <f>IFERROR(AVERAGE(Vertices[Closeness Centrality]),NoMetricMessage)</f>
        <v>Not Available</v>
      </c>
    </row>
    <row r="102" spans="1:2" x14ac:dyDescent="0.25">
      <c r="A102" s="35" t="s">
        <v>109</v>
      </c>
      <c r="B102" s="49" t="str">
        <f>IFERROR(MEDIAN(Vertices[Closeness Centrality]),NoMetricMessage)</f>
        <v>Not Available</v>
      </c>
    </row>
    <row r="113" spans="1:2" x14ac:dyDescent="0.25">
      <c r="A113" s="35" t="s">
        <v>112</v>
      </c>
      <c r="B113" s="49" t="str">
        <f>IF(COUNT(Vertices[Eigenvector Centrality])&gt;0, N2, NoMetricMessage)</f>
        <v>Not Available</v>
      </c>
    </row>
    <row r="114" spans="1:2" x14ac:dyDescent="0.25">
      <c r="A114" s="35" t="s">
        <v>113</v>
      </c>
      <c r="B114" s="49" t="str">
        <f>IF(COUNT(Vertices[Eigenvector Centrality])&gt;0, N45, NoMetricMessage)</f>
        <v>Not Available</v>
      </c>
    </row>
    <row r="115" spans="1:2" x14ac:dyDescent="0.25">
      <c r="A115" s="35" t="s">
        <v>114</v>
      </c>
      <c r="B115" s="49" t="str">
        <f>IFERROR(AVERAGE(Vertices[Eigenvector Centrality]),NoMetricMessage)</f>
        <v>Not Available</v>
      </c>
    </row>
    <row r="116" spans="1:2" x14ac:dyDescent="0.25">
      <c r="A116" s="35" t="s">
        <v>115</v>
      </c>
      <c r="B116" s="49" t="str">
        <f>IFERROR(MEDIAN(Vertices[Eigenvector Centrality]),NoMetricMessage)</f>
        <v>Not Available</v>
      </c>
    </row>
    <row r="127" spans="1:2" x14ac:dyDescent="0.25">
      <c r="A127" s="35" t="s">
        <v>140</v>
      </c>
      <c r="B127" s="49" t="str">
        <f>IF(COUNT(Vertices[PageRank])&gt;0, P2, NoMetricMessage)</f>
        <v>Not Available</v>
      </c>
    </row>
    <row r="128" spans="1:2" x14ac:dyDescent="0.25">
      <c r="A128" s="35" t="s">
        <v>141</v>
      </c>
      <c r="B128" s="49" t="str">
        <f>IF(COUNT(Vertices[PageRank])&gt;0, P45, NoMetricMessage)</f>
        <v>Not Available</v>
      </c>
    </row>
    <row r="129" spans="1:2" x14ac:dyDescent="0.25">
      <c r="A129" s="35" t="s">
        <v>142</v>
      </c>
      <c r="B129" s="49" t="str">
        <f>IFERROR(AVERAGE(Vertices[PageRank]),NoMetricMessage)</f>
        <v>Not Available</v>
      </c>
    </row>
    <row r="130" spans="1:2" x14ac:dyDescent="0.25">
      <c r="A130" s="35" t="s">
        <v>143</v>
      </c>
      <c r="B130" s="49" t="str">
        <f>IFERROR(MEDIAN(Vertices[PageRank]),NoMetricMessage)</f>
        <v>Not Available</v>
      </c>
    </row>
    <row r="141" spans="1:2" x14ac:dyDescent="0.25">
      <c r="A141" s="35" t="s">
        <v>118</v>
      </c>
      <c r="B141" s="49" t="str">
        <f>IF(COUNT(Vertices[Clustering Coefficient])&gt;0, R2, NoMetricMessage)</f>
        <v>Not Available</v>
      </c>
    </row>
    <row r="142" spans="1:2" x14ac:dyDescent="0.25">
      <c r="A142" s="35" t="s">
        <v>119</v>
      </c>
      <c r="B142" s="49" t="str">
        <f>IF(COUNT(Vertices[Clustering Coefficient])&gt;0, R45, NoMetricMessage)</f>
        <v>Not Available</v>
      </c>
    </row>
    <row r="143" spans="1:2" x14ac:dyDescent="0.25">
      <c r="A143" s="35" t="s">
        <v>120</v>
      </c>
      <c r="B143" s="49" t="str">
        <f>IFERROR(AVERAGE(Vertices[Clustering Coefficient]),NoMetricMessage)</f>
        <v>Not Available</v>
      </c>
    </row>
    <row r="144" spans="1:2" x14ac:dyDescent="0.25">
      <c r="A144" s="35" t="s">
        <v>121</v>
      </c>
      <c r="B144" s="49" t="str">
        <f>IFERROR(MEDIAN(Vertices[Clustering Coefficient]),NoMetricMessage)</f>
        <v>Not Available</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R23"/>
  <sheetViews>
    <sheetView workbookViewId="0">
      <selection activeCell="A2" sqref="A2"/>
    </sheetView>
  </sheetViews>
  <sheetFormatPr defaultRowHeight="15" x14ac:dyDescent="0.25"/>
  <cols>
    <col min="1" max="1" width="10.42578125" style="1" bestFit="1" customWidth="1"/>
    <col min="2" max="2" width="12.42578125" style="1" bestFit="1" customWidth="1"/>
    <col min="3" max="3" width="22.85546875" bestFit="1" customWidth="1"/>
    <col min="4" max="4" width="16.85546875" bestFit="1" customWidth="1"/>
    <col min="5" max="6" width="16.85546875" customWidth="1"/>
    <col min="7" max="7" width="14.28515625" bestFit="1" customWidth="1"/>
    <col min="8" max="8" width="14.28515625" customWidth="1"/>
    <col min="10" max="10" width="39.140625" bestFit="1" customWidth="1"/>
    <col min="11" max="11" width="10.85546875" bestFit="1" customWidth="1"/>
    <col min="13" max="13" width="8.42578125" bestFit="1" customWidth="1"/>
    <col min="14" max="14" width="10" bestFit="1" customWidth="1"/>
    <col min="15" max="15" width="11.85546875" bestFit="1" customWidth="1"/>
    <col min="16" max="16" width="12.140625" bestFit="1" customWidth="1"/>
  </cols>
  <sheetData>
    <row r="1" spans="1:18" s="4" customFormat="1" ht="36" customHeight="1" x14ac:dyDescent="0.25">
      <c r="A1" s="5" t="s">
        <v>6</v>
      </c>
      <c r="B1" s="5" t="s">
        <v>131</v>
      </c>
      <c r="C1" s="4" t="s">
        <v>7</v>
      </c>
      <c r="D1" s="4" t="s">
        <v>9</v>
      </c>
      <c r="E1" s="4" t="s">
        <v>164</v>
      </c>
      <c r="F1" s="5" t="s">
        <v>169</v>
      </c>
      <c r="G1" s="4" t="s">
        <v>14</v>
      </c>
      <c r="H1" s="4" t="s">
        <v>67</v>
      </c>
      <c r="J1" s="4" t="s">
        <v>18</v>
      </c>
      <c r="K1" s="4" t="s">
        <v>17</v>
      </c>
      <c r="M1" s="4" t="s">
        <v>22</v>
      </c>
      <c r="N1" s="4" t="s">
        <v>23</v>
      </c>
      <c r="O1" s="4" t="s">
        <v>24</v>
      </c>
      <c r="P1" s="4" t="s">
        <v>25</v>
      </c>
    </row>
    <row r="2" spans="1:18" x14ac:dyDescent="0.25">
      <c r="A2" s="1" t="s">
        <v>51</v>
      </c>
      <c r="B2" s="1" t="s">
        <v>132</v>
      </c>
      <c r="C2" t="s">
        <v>54</v>
      </c>
      <c r="D2" t="s">
        <v>55</v>
      </c>
      <c r="E2" t="s">
        <v>55</v>
      </c>
      <c r="F2" s="1" t="s">
        <v>51</v>
      </c>
      <c r="G2" t="s">
        <v>65</v>
      </c>
      <c r="H2" t="s">
        <v>159</v>
      </c>
      <c r="J2" t="s">
        <v>19</v>
      </c>
      <c r="K2">
        <v>105</v>
      </c>
    </row>
    <row r="3" spans="1:18" x14ac:dyDescent="0.25">
      <c r="A3" s="1" t="s">
        <v>52</v>
      </c>
      <c r="B3" s="1" t="s">
        <v>133</v>
      </c>
      <c r="C3" t="s">
        <v>52</v>
      </c>
      <c r="D3" t="s">
        <v>56</v>
      </c>
      <c r="E3" t="s">
        <v>56</v>
      </c>
      <c r="F3" s="1" t="s">
        <v>52</v>
      </c>
      <c r="G3" t="s">
        <v>66</v>
      </c>
      <c r="H3" t="s">
        <v>68</v>
      </c>
      <c r="J3" t="s">
        <v>30</v>
      </c>
      <c r="K3" t="s">
        <v>183</v>
      </c>
    </row>
    <row r="4" spans="1:18" x14ac:dyDescent="0.25">
      <c r="A4" s="1" t="s">
        <v>53</v>
      </c>
      <c r="B4" s="1" t="s">
        <v>134</v>
      </c>
      <c r="C4" t="s">
        <v>53</v>
      </c>
      <c r="D4" t="s">
        <v>57</v>
      </c>
      <c r="E4" t="s">
        <v>57</v>
      </c>
      <c r="F4" s="1" t="s">
        <v>53</v>
      </c>
      <c r="G4">
        <v>0</v>
      </c>
      <c r="H4" t="s">
        <v>69</v>
      </c>
      <c r="J4" s="12" t="s">
        <v>78</v>
      </c>
      <c r="K4" s="12"/>
    </row>
    <row r="5" spans="1:18" ht="409.5" x14ac:dyDescent="0.25">
      <c r="A5">
        <v>1</v>
      </c>
      <c r="B5" s="1" t="s">
        <v>135</v>
      </c>
      <c r="C5" t="s">
        <v>51</v>
      </c>
      <c r="D5" t="s">
        <v>58</v>
      </c>
      <c r="E5" t="s">
        <v>58</v>
      </c>
      <c r="F5">
        <v>1</v>
      </c>
      <c r="G5">
        <v>1</v>
      </c>
      <c r="H5" t="s">
        <v>70</v>
      </c>
      <c r="J5" t="s">
        <v>172</v>
      </c>
      <c r="K5" s="13" t="s">
        <v>196</v>
      </c>
    </row>
    <row r="6" spans="1:18" x14ac:dyDescent="0.25">
      <c r="A6">
        <v>0</v>
      </c>
      <c r="B6" s="1" t="s">
        <v>136</v>
      </c>
      <c r="C6">
        <v>1</v>
      </c>
      <c r="D6" t="s">
        <v>59</v>
      </c>
      <c r="E6" t="s">
        <v>59</v>
      </c>
      <c r="F6">
        <v>0</v>
      </c>
      <c r="H6" t="s">
        <v>71</v>
      </c>
      <c r="J6" t="s">
        <v>173</v>
      </c>
      <c r="K6">
        <v>2</v>
      </c>
      <c r="R6" t="s">
        <v>129</v>
      </c>
    </row>
    <row r="7" spans="1:18" x14ac:dyDescent="0.25">
      <c r="A7">
        <v>2</v>
      </c>
      <c r="B7">
        <v>1</v>
      </c>
      <c r="C7">
        <v>0</v>
      </c>
      <c r="D7" t="s">
        <v>60</v>
      </c>
      <c r="E7" t="s">
        <v>60</v>
      </c>
      <c r="F7">
        <v>2</v>
      </c>
      <c r="H7" t="s">
        <v>72</v>
      </c>
      <c r="J7" t="s">
        <v>174</v>
      </c>
      <c r="K7" t="s">
        <v>184</v>
      </c>
    </row>
    <row r="8" spans="1:18" x14ac:dyDescent="0.25">
      <c r="A8"/>
      <c r="B8">
        <v>2</v>
      </c>
      <c r="C8">
        <v>2</v>
      </c>
      <c r="D8" t="s">
        <v>61</v>
      </c>
      <c r="E8" t="s">
        <v>61</v>
      </c>
      <c r="H8" t="s">
        <v>73</v>
      </c>
      <c r="J8" t="s">
        <v>192</v>
      </c>
      <c r="K8" t="s">
        <v>193</v>
      </c>
    </row>
    <row r="9" spans="1:18" ht="409.5" x14ac:dyDescent="0.25">
      <c r="A9"/>
      <c r="B9">
        <v>3</v>
      </c>
      <c r="C9">
        <v>4</v>
      </c>
      <c r="D9" t="s">
        <v>62</v>
      </c>
      <c r="E9" t="s">
        <v>62</v>
      </c>
      <c r="H9" t="s">
        <v>74</v>
      </c>
      <c r="J9" t="s">
        <v>194</v>
      </c>
      <c r="K9" s="13" t="s">
        <v>201</v>
      </c>
    </row>
    <row r="10" spans="1:18" x14ac:dyDescent="0.25">
      <c r="A10"/>
      <c r="B10">
        <v>4</v>
      </c>
      <c r="D10" t="s">
        <v>63</v>
      </c>
      <c r="E10" t="s">
        <v>63</v>
      </c>
      <c r="H10" t="s">
        <v>75</v>
      </c>
    </row>
    <row r="11" spans="1:18" x14ac:dyDescent="0.25">
      <c r="A11"/>
      <c r="B11">
        <v>5</v>
      </c>
      <c r="D11" t="s">
        <v>46</v>
      </c>
      <c r="E11">
        <v>1</v>
      </c>
      <c r="H11" t="s">
        <v>76</v>
      </c>
    </row>
    <row r="12" spans="1:18" x14ac:dyDescent="0.25">
      <c r="A12"/>
      <c r="B12"/>
      <c r="D12" t="s">
        <v>64</v>
      </c>
      <c r="E12">
        <v>2</v>
      </c>
      <c r="H12">
        <v>0</v>
      </c>
    </row>
    <row r="13" spans="1:18" x14ac:dyDescent="0.25">
      <c r="A13"/>
      <c r="B13"/>
      <c r="D13">
        <v>1</v>
      </c>
      <c r="E13">
        <v>3</v>
      </c>
      <c r="H13">
        <v>1</v>
      </c>
    </row>
    <row r="14" spans="1:18" x14ac:dyDescent="0.25">
      <c r="D14">
        <v>2</v>
      </c>
      <c r="E14">
        <v>4</v>
      </c>
      <c r="H14">
        <v>2</v>
      </c>
    </row>
    <row r="15" spans="1:18" x14ac:dyDescent="0.25">
      <c r="D15">
        <v>3</v>
      </c>
      <c r="E15">
        <v>5</v>
      </c>
      <c r="H15">
        <v>3</v>
      </c>
    </row>
    <row r="16" spans="1:18" x14ac:dyDescent="0.25">
      <c r="D16">
        <v>4</v>
      </c>
      <c r="E16">
        <v>6</v>
      </c>
      <c r="H16">
        <v>4</v>
      </c>
    </row>
    <row r="17" spans="4:8" x14ac:dyDescent="0.25">
      <c r="D17">
        <v>5</v>
      </c>
      <c r="E17">
        <v>7</v>
      </c>
      <c r="H17">
        <v>5</v>
      </c>
    </row>
    <row r="18" spans="4:8" x14ac:dyDescent="0.25">
      <c r="D18">
        <v>6</v>
      </c>
      <c r="E18">
        <v>8</v>
      </c>
      <c r="H18">
        <v>6</v>
      </c>
    </row>
    <row r="19" spans="4:8" x14ac:dyDescent="0.25">
      <c r="D19">
        <v>7</v>
      </c>
      <c r="E19">
        <v>9</v>
      </c>
      <c r="H19">
        <v>7</v>
      </c>
    </row>
    <row r="20" spans="4:8" x14ac:dyDescent="0.25">
      <c r="D20">
        <v>8</v>
      </c>
      <c r="H20">
        <v>8</v>
      </c>
    </row>
    <row r="21" spans="4:8" x14ac:dyDescent="0.25">
      <c r="D21">
        <v>9</v>
      </c>
      <c r="H21">
        <v>9</v>
      </c>
    </row>
    <row r="22" spans="4:8" x14ac:dyDescent="0.25">
      <c r="D22">
        <v>10</v>
      </c>
    </row>
    <row r="23" spans="4:8" x14ac:dyDescent="0.25">
      <c r="D23">
        <v>11</v>
      </c>
    </row>
  </sheetData>
  <dataConsolidate/>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BB5BC590-BC5D-4974-886B-55BE8ECC20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7</vt:i4>
      </vt:variant>
      <vt:variant>
        <vt:lpstr>Nazwane zakresy</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2008-01-30T00:41:58Z</dcterms:created>
  <dcterms:modified xsi:type="dcterms:W3CDTF">2020-06-14T09:58:59Z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Smrf.NodeXL.ExcelTemplate.vsto|aa51c0f3-62b4-4782-83a8-a15dcdd17698</vt:lpwstr>
  </property>
  <property fmtid="{D5CDD505-2E9C-101B-9397-08002B2CF9AE}" pid="3" name="_AssemblyName">
    <vt:lpwstr>4E3C66D5-58D4-491E-A7D4-64AF99AF6E8B</vt:lpwstr>
  </property>
  <property fmtid="{D5CDD505-2E9C-101B-9397-08002B2CF9AE}" pid="4" name="Solution ID">
    <vt:lpwstr>{15727DE6-F92D-4E46-ACB4-0E2C58B31A18}</vt:lpwstr>
  </property>
</Properties>
</file>