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proyectos\proveedoresPDO\assests\DocumentosProyectos\Documentacion\Trimestre4\"/>
    </mc:Choice>
  </mc:AlternateContent>
  <bookViews>
    <workbookView xWindow="0" yWindow="0" windowWidth="16393" windowHeight="5460" firstSheet="1" activeTab="4"/>
  </bookViews>
  <sheets>
    <sheet name="Impuestos" sheetId="6" state="hidden" r:id="rId1"/>
    <sheet name="Inversion" sheetId="1" r:id="rId2"/>
    <sheet name="Costos Variables" sheetId="3" r:id="rId3"/>
    <sheet name="Costos Fijos" sheetId="2" r:id="rId4"/>
    <sheet name="INGRESO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H5" i="5" s="1"/>
  <c r="K5" i="5" s="1"/>
  <c r="L5" i="5" l="1"/>
  <c r="M5" i="5"/>
  <c r="N5" i="5" s="1"/>
  <c r="F5" i="5"/>
  <c r="I5" i="5" s="1"/>
  <c r="G19" i="3" l="1"/>
  <c r="G20" i="3"/>
  <c r="G21" i="3"/>
  <c r="G18" i="3"/>
  <c r="J19" i="3"/>
  <c r="F19" i="3" s="1"/>
  <c r="J20" i="3"/>
  <c r="F20" i="3" s="1"/>
  <c r="J21" i="3"/>
  <c r="D21" i="3" s="1"/>
  <c r="E21" i="3" s="1"/>
  <c r="J18" i="3"/>
  <c r="F18" i="3" s="1"/>
  <c r="C19" i="3"/>
  <c r="C20" i="3"/>
  <c r="C21" i="3"/>
  <c r="C18" i="3"/>
  <c r="I7" i="3"/>
  <c r="D18" i="3" l="1"/>
  <c r="E18" i="3" s="1"/>
  <c r="K18" i="3"/>
  <c r="F21" i="3"/>
  <c r="K21" i="3" s="1"/>
  <c r="D20" i="3"/>
  <c r="D19" i="3"/>
  <c r="E20" i="3" l="1"/>
  <c r="K20" i="3" s="1"/>
  <c r="E19" i="3"/>
  <c r="K19" i="3" s="1"/>
  <c r="O18" i="3" s="1"/>
  <c r="F8" i="3" s="1"/>
  <c r="N8" i="3"/>
  <c r="G8" i="3" l="1"/>
  <c r="G12" i="3" s="1"/>
  <c r="G13" i="3" s="1"/>
  <c r="C15" i="6"/>
  <c r="C11" i="2" l="1"/>
  <c r="G11" i="2" s="1"/>
  <c r="E5" i="2"/>
  <c r="E6" i="2"/>
  <c r="E7" i="2"/>
  <c r="E6" i="1"/>
  <c r="E7" i="1"/>
  <c r="E8" i="1"/>
  <c r="E9" i="1"/>
  <c r="E10" i="1"/>
  <c r="E11" i="1"/>
  <c r="E12" i="1"/>
  <c r="C9" i="2" s="1"/>
  <c r="G9" i="2" s="1"/>
  <c r="E13" i="1"/>
  <c r="E5" i="1"/>
  <c r="C7" i="2" l="1"/>
  <c r="F7" i="2" s="1"/>
  <c r="G7" i="2" s="1"/>
  <c r="C6" i="2"/>
  <c r="F6" i="2" s="1"/>
  <c r="G6" i="2" s="1"/>
  <c r="C5" i="2"/>
  <c r="F5" i="2" s="1"/>
  <c r="G5" i="2" s="1"/>
  <c r="C10" i="2"/>
  <c r="G10" i="2" s="1"/>
  <c r="E14" i="1"/>
  <c r="C8" i="2" s="1"/>
  <c r="G8" i="2" s="1"/>
  <c r="G12" i="2" l="1"/>
</calcChain>
</file>

<file path=xl/sharedStrings.xml><?xml version="1.0" encoding="utf-8"?>
<sst xmlns="http://schemas.openxmlformats.org/spreadsheetml/2006/main" count="104" uniqueCount="89">
  <si>
    <t>Herramienta de elaboración del presupuesto</t>
  </si>
  <si>
    <t>Fecha:11/2020</t>
  </si>
  <si>
    <t>Inversion</t>
  </si>
  <si>
    <t>Nombre</t>
  </si>
  <si>
    <t>cantidad</t>
  </si>
  <si>
    <t>valor Unitario</t>
  </si>
  <si>
    <t>Valor Total</t>
  </si>
  <si>
    <t>Torre intel core i 7</t>
  </si>
  <si>
    <t>Total</t>
  </si>
  <si>
    <t>Teclado Ergonomico</t>
  </si>
  <si>
    <t>Mouse</t>
  </si>
  <si>
    <t>Silla Escritorio</t>
  </si>
  <si>
    <t>Escritorio</t>
  </si>
  <si>
    <t>Licencia W10 workstation</t>
  </si>
  <si>
    <t>Costos Fijos</t>
  </si>
  <si>
    <t>Valor inicial</t>
  </si>
  <si>
    <t>Valor Rescate</t>
  </si>
  <si>
    <t>Años vida util</t>
  </si>
  <si>
    <t>Depresiación</t>
  </si>
  <si>
    <t>Taza de depresiación</t>
  </si>
  <si>
    <t>Total final</t>
  </si>
  <si>
    <t>Inmobiliario</t>
  </si>
  <si>
    <t>Costos Variables</t>
  </si>
  <si>
    <t>Costo  Total</t>
  </si>
  <si>
    <t>Papeleria</t>
  </si>
  <si>
    <t>Mano de obra</t>
  </si>
  <si>
    <t>Internet y teléfono</t>
  </si>
  <si>
    <t>Hosting (0,5TB de espacio, 1GB RAM)</t>
  </si>
  <si>
    <t>Servidor Cloud (2TB Espacio,3 GB RAM)</t>
  </si>
  <si>
    <t>Antivirus Norton</t>
  </si>
  <si>
    <t>Imprevistos</t>
  </si>
  <si>
    <t>Concepto</t>
  </si>
  <si>
    <t>Analisis Financiero</t>
  </si>
  <si>
    <t>RN</t>
  </si>
  <si>
    <t>UB</t>
  </si>
  <si>
    <t>UN</t>
  </si>
  <si>
    <t>certificado constitucion de empresa</t>
  </si>
  <si>
    <t xml:space="preserve">Valor </t>
  </si>
  <si>
    <t>constitucion empresa</t>
  </si>
  <si>
    <t>impuesto por cuantia</t>
  </si>
  <si>
    <t>matricula persona natural o juridica</t>
  </si>
  <si>
    <t>formulario registro mercantil</t>
  </si>
  <si>
    <t>renovacion matricula mercantil</t>
  </si>
  <si>
    <t>libro acta y contable</t>
  </si>
  <si>
    <t>computador aux administrativo/contador(todo en uno)</t>
  </si>
  <si>
    <t>Personal de planta</t>
  </si>
  <si>
    <t>Salario</t>
  </si>
  <si>
    <t>Desarrollador</t>
  </si>
  <si>
    <t>Administrativo</t>
  </si>
  <si>
    <t>Abogado</t>
  </si>
  <si>
    <t>Contador</t>
  </si>
  <si>
    <t>Interes a la inversión</t>
  </si>
  <si>
    <t>Depresiación instalaciones(Oficina)</t>
  </si>
  <si>
    <t>Costo por mantenimiento</t>
  </si>
  <si>
    <t>Depresiación de Equipo Computo</t>
  </si>
  <si>
    <t>Depresiación de Muebles</t>
  </si>
  <si>
    <t>Interes al capital de trabajo</t>
  </si>
  <si>
    <t>Servicios públicos</t>
  </si>
  <si>
    <t>Cantidad</t>
  </si>
  <si>
    <t>valor inicial</t>
  </si>
  <si>
    <t>Costo por arrendamiento</t>
  </si>
  <si>
    <t>Prima</t>
  </si>
  <si>
    <t>cesantias</t>
  </si>
  <si>
    <t>intereses cesantias</t>
  </si>
  <si>
    <t>vacaciones</t>
  </si>
  <si>
    <t>Empleado 1</t>
  </si>
  <si>
    <t>Empleado 2</t>
  </si>
  <si>
    <t>Empleado 3</t>
  </si>
  <si>
    <t>Empleado 4</t>
  </si>
  <si>
    <t>Fecha ingreso</t>
  </si>
  <si>
    <t>Fecha Fin</t>
  </si>
  <si>
    <t>Aux transporte</t>
  </si>
  <si>
    <t>Obligaciones con empleados</t>
  </si>
  <si>
    <t>Días laborados</t>
  </si>
  <si>
    <t>Salario  Base</t>
  </si>
  <si>
    <t>Auxilio Transporte</t>
  </si>
  <si>
    <t>2 SMLV</t>
  </si>
  <si>
    <t>Sueldo Devengado</t>
  </si>
  <si>
    <t>Nómina</t>
  </si>
  <si>
    <t>valor unitario</t>
  </si>
  <si>
    <t>Ingresos</t>
  </si>
  <si>
    <t>venta de programa</t>
  </si>
  <si>
    <t>Cantidad anual</t>
  </si>
  <si>
    <t>Cantidad 5 años</t>
  </si>
  <si>
    <t>valor Anual</t>
  </si>
  <si>
    <t>valor 5 Años</t>
  </si>
  <si>
    <t>MBU %</t>
  </si>
  <si>
    <t>MUN %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</si>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</sst>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7" tint="-0.2499465926084170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6" fillId="0" borderId="0" applyFill="0" applyBorder="0" applyProtection="0">
      <alignment horizontal="center" vertical="center"/>
    </xf>
    <xf numFmtId="43" fontId="1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Border="1"/>
    <xf numFmtId="0" fontId="2" fillId="0" borderId="0" xfId="3" applyBorder="1" applyAlignment="1">
      <alignment vertical="center"/>
    </xf>
    <xf numFmtId="0" fontId="3" fillId="0" borderId="0" xfId="4" applyBorder="1" applyAlignment="1">
      <alignment vertical="center"/>
    </xf>
    <xf numFmtId="14" fontId="4" fillId="0" borderId="0" xfId="5" applyNumberFormat="1" applyBorder="1" applyAlignment="1">
      <alignment vertical="center"/>
    </xf>
    <xf numFmtId="44" fontId="0" fillId="0" borderId="4" xfId="1" applyFont="1" applyBorder="1"/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4" xfId="0" applyBorder="1" applyAlignment="1"/>
    <xf numFmtId="6" fontId="0" fillId="0" borderId="15" xfId="1" applyNumberFormat="1" applyFont="1" applyBorder="1"/>
    <xf numFmtId="0" fontId="5" fillId="0" borderId="4" xfId="0" applyFont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7" fillId="0" borderId="16" xfId="0" applyFont="1" applyBorder="1"/>
    <xf numFmtId="0" fontId="0" fillId="0" borderId="5" xfId="0" applyBorder="1" applyAlignment="1">
      <alignment wrapText="1"/>
    </xf>
    <xf numFmtId="0" fontId="0" fillId="0" borderId="16" xfId="0" applyBorder="1" applyAlignment="1">
      <alignment wrapText="1"/>
    </xf>
    <xf numFmtId="6" fontId="0" fillId="0" borderId="15" xfId="1" applyNumberFormat="1" applyFont="1" applyBorder="1" applyAlignment="1">
      <alignment vertical="center"/>
    </xf>
    <xf numFmtId="6" fontId="0" fillId="0" borderId="7" xfId="0" applyNumberFormat="1" applyBorder="1" applyAlignment="1"/>
    <xf numFmtId="164" fontId="0" fillId="0" borderId="2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5" fillId="0" borderId="18" xfId="0" applyFont="1" applyBorder="1" applyAlignment="1">
      <alignment horizontal="center" vertical="center" wrapText="1"/>
    </xf>
    <xf numFmtId="43" fontId="5" fillId="0" borderId="4" xfId="7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wrapText="1"/>
    </xf>
    <xf numFmtId="164" fontId="0" fillId="0" borderId="7" xfId="0" applyNumberFormat="1" applyFont="1" applyBorder="1" applyAlignment="1">
      <alignment vertical="center"/>
    </xf>
    <xf numFmtId="164" fontId="0" fillId="0" borderId="24" xfId="1" applyNumberFormat="1" applyFont="1" applyBorder="1" applyAlignment="1">
      <alignment vertical="center" wrapText="1"/>
    </xf>
    <xf numFmtId="6" fontId="5" fillId="0" borderId="7" xfId="1" applyNumberFormat="1" applyFont="1" applyBorder="1" applyAlignment="1">
      <alignment horizontal="right" wrapText="1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1" fontId="0" fillId="0" borderId="24" xfId="1" applyNumberFormat="1" applyFont="1" applyBorder="1" applyAlignment="1">
      <alignment horizontal="center" vertical="center" wrapText="1"/>
    </xf>
    <xf numFmtId="0" fontId="7" fillId="0" borderId="0" xfId="0" applyFont="1"/>
    <xf numFmtId="8" fontId="0" fillId="0" borderId="4" xfId="0" applyNumberFormat="1" applyBorder="1"/>
    <xf numFmtId="43" fontId="0" fillId="0" borderId="4" xfId="7" applyFont="1" applyBorder="1"/>
    <xf numFmtId="164" fontId="0" fillId="0" borderId="4" xfId="0" applyNumberFormat="1" applyBorder="1"/>
    <xf numFmtId="0" fontId="5" fillId="2" borderId="0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1" fontId="0" fillId="0" borderId="18" xfId="1" applyNumberFormat="1" applyFont="1" applyBorder="1" applyAlignment="1">
      <alignment horizontal="center" vertical="center" wrapText="1"/>
    </xf>
    <xf numFmtId="44" fontId="0" fillId="0" borderId="4" xfId="1" applyFont="1" applyBorder="1" applyAlignment="1">
      <alignment vertical="center"/>
    </xf>
    <xf numFmtId="44" fontId="0" fillId="0" borderId="24" xfId="1" applyFont="1" applyBorder="1" applyAlignment="1">
      <alignment vertical="center"/>
    </xf>
    <xf numFmtId="164" fontId="0" fillId="0" borderId="4" xfId="1" applyNumberFormat="1" applyFont="1" applyBorder="1" applyAlignment="1">
      <alignment horizontal="center" vertical="center"/>
    </xf>
    <xf numFmtId="0" fontId="0" fillId="0" borderId="4" xfId="0" applyBorder="1"/>
    <xf numFmtId="44" fontId="0" fillId="0" borderId="23" xfId="1" applyFont="1" applyBorder="1"/>
    <xf numFmtId="44" fontId="0" fillId="0" borderId="27" xfId="1" applyFont="1" applyBorder="1"/>
    <xf numFmtId="44" fontId="0" fillId="0" borderId="18" xfId="1" applyFont="1" applyBorder="1" applyAlignment="1">
      <alignment vertical="center"/>
    </xf>
    <xf numFmtId="44" fontId="0" fillId="0" borderId="25" xfId="1" applyFont="1" applyBorder="1"/>
    <xf numFmtId="44" fontId="0" fillId="0" borderId="26" xfId="1" applyFont="1" applyBorder="1" applyAlignment="1">
      <alignment vertical="center"/>
    </xf>
    <xf numFmtId="0" fontId="0" fillId="0" borderId="22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6" xfId="0" applyBorder="1"/>
    <xf numFmtId="9" fontId="0" fillId="0" borderId="23" xfId="2" applyNumberFormat="1" applyFont="1" applyBorder="1" applyAlignment="1">
      <alignment horizontal="center"/>
    </xf>
    <xf numFmtId="9" fontId="0" fillId="0" borderId="25" xfId="2" applyNumberFormat="1" applyFont="1" applyBorder="1" applyAlignment="1">
      <alignment horizontal="center"/>
    </xf>
    <xf numFmtId="9" fontId="0" fillId="0" borderId="26" xfId="2" applyFont="1" applyBorder="1" applyAlignment="1">
      <alignment horizontal="center"/>
    </xf>
    <xf numFmtId="9" fontId="0" fillId="0" borderId="26" xfId="0" applyNumberFormat="1" applyBorder="1" applyAlignment="1">
      <alignment horizontal="center"/>
    </xf>
    <xf numFmtId="0" fontId="0" fillId="0" borderId="22" xfId="0" applyBorder="1"/>
    <xf numFmtId="0" fontId="0" fillId="0" borderId="28" xfId="0" applyBorder="1"/>
    <xf numFmtId="0" fontId="0" fillId="0" borderId="29" xfId="0" applyBorder="1"/>
    <xf numFmtId="44" fontId="0" fillId="0" borderId="25" xfId="1" applyNumberFormat="1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4" xfId="0" applyFont="1" applyBorder="1" applyAlignment="1"/>
    <xf numFmtId="0" fontId="5" fillId="0" borderId="0" xfId="0" applyFont="1" applyBorder="1" applyAlignment="1"/>
    <xf numFmtId="164" fontId="0" fillId="0" borderId="4" xfId="0" applyNumberFormat="1" applyFont="1" applyBorder="1" applyAlignment="1">
      <alignment vertical="center"/>
    </xf>
    <xf numFmtId="164" fontId="0" fillId="0" borderId="21" xfId="0" applyNumberFormat="1" applyBorder="1"/>
    <xf numFmtId="0" fontId="0" fillId="0" borderId="0" xfId="0" applyBorder="1" applyAlignment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18" xfId="0" applyNumberFormat="1" applyBorder="1"/>
    <xf numFmtId="0" fontId="0" fillId="0" borderId="23" xfId="0" applyBorder="1" applyAlignment="1">
      <alignment horizontal="center" vertical="center"/>
    </xf>
    <xf numFmtId="0" fontId="9" fillId="0" borderId="0" xfId="0" applyFont="1"/>
    <xf numFmtId="164" fontId="9" fillId="0" borderId="30" xfId="0" applyNumberFormat="1" applyFont="1" applyBorder="1"/>
    <xf numFmtId="0" fontId="9" fillId="3" borderId="30" xfId="0" applyFont="1" applyFill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165" fontId="0" fillId="0" borderId="7" xfId="0" applyNumberFormat="1" applyFon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44" fontId="0" fillId="0" borderId="23" xfId="1" applyNumberFormat="1" applyFont="1" applyBorder="1" applyAlignment="1">
      <alignment horizontal="right" vertical="center"/>
    </xf>
    <xf numFmtId="44" fontId="0" fillId="0" borderId="32" xfId="1" applyNumberFormat="1" applyFont="1" applyBorder="1" applyAlignment="1">
      <alignment horizontal="right" vertical="center"/>
    </xf>
    <xf numFmtId="44" fontId="0" fillId="0" borderId="4" xfId="1" applyNumberFormat="1" applyFont="1" applyBorder="1" applyAlignment="1">
      <alignment horizontal="right" vertical="center"/>
    </xf>
    <xf numFmtId="44" fontId="0" fillId="0" borderId="25" xfId="1" applyNumberFormat="1" applyFont="1" applyBorder="1"/>
    <xf numFmtId="44" fontId="0" fillId="0" borderId="26" xfId="1" applyNumberFormat="1" applyFont="1" applyBorder="1"/>
    <xf numFmtId="0" fontId="0" fillId="0" borderId="0" xfId="0" applyFont="1"/>
    <xf numFmtId="14" fontId="0" fillId="0" borderId="4" xfId="0" applyNumberFormat="1" applyBorder="1" applyAlignment="1">
      <alignment horizontal="center" vertical="center"/>
    </xf>
    <xf numFmtId="164" fontId="0" fillId="0" borderId="23" xfId="0" applyNumberFormat="1" applyFont="1" applyBorder="1" applyAlignment="1">
      <alignment horizontal="center"/>
    </xf>
    <xf numFmtId="164" fontId="0" fillId="0" borderId="0" xfId="0" applyNumberFormat="1" applyBorder="1" applyAlignment="1"/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4" fontId="4" fillId="0" borderId="11" xfId="5" applyNumberFormat="1" applyFill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4" fontId="4" fillId="2" borderId="6" xfId="5" applyNumberFormat="1" applyFill="1" applyBorder="1" applyAlignment="1">
      <alignment vertical="center"/>
    </xf>
    <xf numFmtId="14" fontId="4" fillId="2" borderId="9" xfId="5" applyNumberFormat="1" applyFill="1" applyBorder="1" applyAlignment="1">
      <alignment vertical="center"/>
    </xf>
    <xf numFmtId="14" fontId="4" fillId="2" borderId="7" xfId="5" applyNumberFormat="1" applyFill="1" applyBorder="1" applyAlignment="1">
      <alignment vertical="center"/>
    </xf>
    <xf numFmtId="0" fontId="2" fillId="0" borderId="6" xfId="3" applyBorder="1" applyAlignment="1">
      <alignment horizontal="center" vertical="center"/>
    </xf>
    <xf numFmtId="0" fontId="2" fillId="0" borderId="7" xfId="3" applyBorder="1" applyAlignment="1">
      <alignment horizontal="center" vertical="center"/>
    </xf>
    <xf numFmtId="0" fontId="3" fillId="0" borderId="6" xfId="4" applyBorder="1" applyAlignment="1">
      <alignment horizontal="center" vertical="center" wrapText="1"/>
    </xf>
    <xf numFmtId="0" fontId="3" fillId="0" borderId="7" xfId="4" applyBorder="1" applyAlignment="1">
      <alignment horizontal="center" vertical="center" wrapText="1"/>
    </xf>
    <xf numFmtId="14" fontId="4" fillId="0" borderId="6" xfId="5" applyNumberFormat="1" applyBorder="1" applyAlignment="1">
      <alignment horizontal="center" vertical="center"/>
    </xf>
    <xf numFmtId="14" fontId="4" fillId="0" borderId="7" xfId="5" applyNumberForma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3" fillId="0" borderId="6" xfId="4" applyBorder="1" applyAlignment="1">
      <alignment horizontal="center" vertical="center"/>
    </xf>
    <xf numFmtId="0" fontId="3" fillId="0" borderId="9" xfId="4" applyBorder="1" applyAlignment="1">
      <alignment horizontal="center" vertical="center"/>
    </xf>
    <xf numFmtId="0" fontId="3" fillId="0" borderId="7" xfId="4" applyBorder="1" applyAlignment="1">
      <alignment horizontal="center" vertical="center"/>
    </xf>
    <xf numFmtId="14" fontId="4" fillId="0" borderId="9" xfId="5" applyNumberForma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5" fillId="2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3" fillId="0" borderId="10" xfId="4" applyBorder="1" applyAlignment="1">
      <alignment horizontal="center" vertical="center"/>
    </xf>
    <xf numFmtId="0" fontId="3" fillId="0" borderId="11" xfId="4" applyBorder="1" applyAlignment="1">
      <alignment horizontal="center" vertical="center"/>
    </xf>
    <xf numFmtId="0" fontId="3" fillId="0" borderId="12" xfId="4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4" fontId="4" fillId="2" borderId="6" xfId="5" applyNumberFormat="1" applyFill="1" applyBorder="1" applyAlignment="1">
      <alignment horizontal="center" vertical="center"/>
    </xf>
    <xf numFmtId="14" fontId="4" fillId="2" borderId="9" xfId="5" applyNumberFormat="1" applyFill="1" applyBorder="1" applyAlignment="1">
      <alignment horizontal="center" vertical="center"/>
    </xf>
    <xf numFmtId="14" fontId="4" fillId="2" borderId="7" xfId="5" applyNumberForma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 indent="1"/>
    </xf>
    <xf numFmtId="0" fontId="0" fillId="0" borderId="9" xfId="0" applyFont="1" applyBorder="1" applyAlignment="1">
      <alignment horizontal="left" vertical="center" indent="1"/>
    </xf>
    <xf numFmtId="0" fontId="0" fillId="0" borderId="7" xfId="0" applyFont="1" applyBorder="1" applyAlignment="1">
      <alignment horizontal="left" vertical="center" indent="1"/>
    </xf>
  </cellXfs>
  <cellStyles count="8">
    <cellStyle name="Encabezado 1" xfId="3" builtinId="16"/>
    <cellStyle name="Millares" xfId="7" builtinId="3"/>
    <cellStyle name="Moneda" xfId="1" builtinId="4"/>
    <cellStyle name="Normal" xfId="0" builtinId="0"/>
    <cellStyle name="Porcentaje" xfId="2" builtinId="5"/>
    <cellStyle name="Texto oculto 1" xfId="6"/>
    <cellStyle name="Título 2" xfId="4" builtinId="17"/>
    <cellStyle name="Título 3" xfId="5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213360</xdr:colOff>
      <xdr:row>1</xdr:row>
      <xdr:rowOff>68580</xdr:rowOff>
    </xdr:from>
    <xdr:to>
      <xdr:col>2</xdr:col>
      <xdr:colOff>731786</xdr:colOff>
      <xdr:row>1</xdr:row>
      <xdr:rowOff>796356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B4B842-F26B-46D7-891E-348E0812B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" y="259080"/>
          <a:ext cx="1905266" cy="727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topLeftCell="A4" workbookViewId="0">
      <selection activeCell="D14" sqref="D14"/>
    </sheetView>
  </sheetViews>
  <sheetFormatPr baseColWidth="10" defaultRowHeight="14.4" x14ac:dyDescent="0.3"/>
  <cols>
    <col min="2" max="2" width="20.296875" customWidth="1"/>
  </cols>
  <sheetData>
    <row r="1" spans="2:3" ht="15" thickBot="1" x14ac:dyDescent="0.35"/>
    <row r="2" spans="2:3" ht="70.150000000000006" customHeight="1" thickBot="1" x14ac:dyDescent="0.35">
      <c r="B2" s="108"/>
      <c r="C2" s="109"/>
    </row>
    <row r="3" spans="2:3" ht="63.65" customHeight="1" thickBot="1" x14ac:dyDescent="0.35">
      <c r="B3" s="110" t="s">
        <v>0</v>
      </c>
      <c r="C3" s="111"/>
    </row>
    <row r="4" spans="2:3" ht="15" thickBot="1" x14ac:dyDescent="0.35">
      <c r="B4" s="112" t="s">
        <v>1</v>
      </c>
      <c r="C4" s="113"/>
    </row>
    <row r="5" spans="2:3" ht="15" thickBot="1" x14ac:dyDescent="0.35">
      <c r="B5" s="6" t="s">
        <v>31</v>
      </c>
      <c r="C5" s="7" t="s">
        <v>37</v>
      </c>
    </row>
    <row r="6" spans="2:3" ht="32" customHeight="1" x14ac:dyDescent="0.3">
      <c r="B6" s="11" t="s">
        <v>36</v>
      </c>
      <c r="C6" s="15">
        <v>5200</v>
      </c>
    </row>
    <row r="7" spans="2:3" x14ac:dyDescent="0.3">
      <c r="B7" s="13" t="s">
        <v>38</v>
      </c>
      <c r="C7" s="15">
        <v>39000</v>
      </c>
    </row>
    <row r="8" spans="2:3" x14ac:dyDescent="0.3">
      <c r="B8" s="13" t="s">
        <v>39</v>
      </c>
      <c r="C8" s="15">
        <v>6300</v>
      </c>
    </row>
    <row r="9" spans="2:3" x14ac:dyDescent="0.3">
      <c r="B9" s="13" t="s">
        <v>39</v>
      </c>
      <c r="C9" s="15">
        <v>14700</v>
      </c>
    </row>
    <row r="10" spans="2:3" ht="28.8" x14ac:dyDescent="0.3">
      <c r="B10" s="13" t="s">
        <v>40</v>
      </c>
      <c r="C10" s="15">
        <v>95000</v>
      </c>
    </row>
    <row r="11" spans="2:3" ht="28.8" x14ac:dyDescent="0.3">
      <c r="B11" s="13" t="s">
        <v>41</v>
      </c>
      <c r="C11" s="15">
        <v>5200</v>
      </c>
    </row>
    <row r="12" spans="2:3" x14ac:dyDescent="0.3">
      <c r="B12" s="13" t="s">
        <v>43</v>
      </c>
      <c r="C12" s="15">
        <v>31550</v>
      </c>
    </row>
    <row r="13" spans="2:3" ht="28.8" x14ac:dyDescent="0.3">
      <c r="B13" s="14" t="s">
        <v>42</v>
      </c>
      <c r="C13" s="15">
        <v>130000</v>
      </c>
    </row>
    <row r="14" spans="2:3" ht="15" thickBot="1" x14ac:dyDescent="0.35">
      <c r="B14" s="12"/>
      <c r="C14" s="9"/>
    </row>
    <row r="15" spans="2:3" ht="15" thickBot="1" x14ac:dyDescent="0.35">
      <c r="B15" s="8" t="s">
        <v>20</v>
      </c>
      <c r="C15" s="16">
        <f>SUM(C6:C14)</f>
        <v>326950</v>
      </c>
    </row>
  </sheetData>
  <mergeCells count="3">
    <mergeCell ref="B2:C2"/>
    <mergeCell ref="B3:C3"/>
    <mergeCell ref="B4:C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showGridLines="0" workbookViewId="0">
      <selection activeCell="B6" sqref="B6"/>
    </sheetView>
  </sheetViews>
  <sheetFormatPr baseColWidth="10" defaultRowHeight="14.4" x14ac:dyDescent="0.3"/>
  <cols>
    <col min="2" max="2" width="28.09765625" customWidth="1"/>
    <col min="4" max="4" width="14.296875" bestFit="1" customWidth="1"/>
    <col min="5" max="5" width="16.3984375" bestFit="1" customWidth="1"/>
    <col min="6" max="11" width="11.59765625" style="1"/>
  </cols>
  <sheetData>
    <row r="1" spans="2:11" ht="15" thickBot="1" x14ac:dyDescent="0.35"/>
    <row r="2" spans="2:11" ht="17.850000000000001" thickBot="1" x14ac:dyDescent="0.35">
      <c r="B2" s="116" t="s">
        <v>0</v>
      </c>
      <c r="C2" s="117"/>
      <c r="D2" s="117"/>
      <c r="E2" s="118"/>
    </row>
    <row r="3" spans="2:11" ht="20.2" thickBot="1" x14ac:dyDescent="0.35">
      <c r="B3" s="112" t="s">
        <v>1</v>
      </c>
      <c r="C3" s="113"/>
      <c r="D3" s="119" t="s">
        <v>2</v>
      </c>
      <c r="E3" s="113"/>
      <c r="F3" s="2"/>
      <c r="G3" s="2"/>
      <c r="H3" s="2"/>
      <c r="I3" s="2"/>
      <c r="J3" s="2"/>
      <c r="K3" s="2"/>
    </row>
    <row r="4" spans="2:11" ht="17.850000000000001" thickBot="1" x14ac:dyDescent="0.35">
      <c r="B4" s="50" t="s">
        <v>3</v>
      </c>
      <c r="C4" s="38" t="s">
        <v>4</v>
      </c>
      <c r="D4" s="38" t="s">
        <v>5</v>
      </c>
      <c r="E4" s="38" t="s">
        <v>6</v>
      </c>
      <c r="F4" s="3"/>
      <c r="G4" s="3"/>
      <c r="H4" s="3"/>
      <c r="I4" s="3"/>
      <c r="J4" s="3"/>
      <c r="K4" s="3"/>
    </row>
    <row r="5" spans="2:11" x14ac:dyDescent="0.3">
      <c r="B5" s="44" t="s">
        <v>7</v>
      </c>
      <c r="C5" s="47">
        <v>1</v>
      </c>
      <c r="D5" s="39">
        <v>980000</v>
      </c>
      <c r="E5" s="39">
        <f>PRODUCT(C5,D5)</f>
        <v>980000</v>
      </c>
      <c r="F5" s="4"/>
      <c r="G5" s="4"/>
      <c r="H5" s="4"/>
      <c r="I5" s="4"/>
      <c r="J5" s="4"/>
      <c r="K5" s="4"/>
    </row>
    <row r="6" spans="2:11" x14ac:dyDescent="0.3">
      <c r="B6" s="45" t="s">
        <v>88</v>
      </c>
      <c r="C6" s="48">
        <v>1</v>
      </c>
      <c r="D6" s="42">
        <v>260000</v>
      </c>
      <c r="E6" s="40">
        <f t="shared" ref="E6:E13" si="0">PRODUCT(C6,D6)</f>
        <v>260000</v>
      </c>
    </row>
    <row r="7" spans="2:11" x14ac:dyDescent="0.3">
      <c r="B7" s="45" t="s">
        <v>9</v>
      </c>
      <c r="C7" s="48">
        <v>1</v>
      </c>
      <c r="D7" s="42">
        <v>70000</v>
      </c>
      <c r="E7" s="40">
        <f t="shared" si="0"/>
        <v>70000</v>
      </c>
    </row>
    <row r="8" spans="2:11" x14ac:dyDescent="0.3">
      <c r="B8" s="45" t="s">
        <v>10</v>
      </c>
      <c r="C8" s="48">
        <v>1</v>
      </c>
      <c r="D8" s="42">
        <v>40000</v>
      </c>
      <c r="E8" s="40">
        <f t="shared" si="0"/>
        <v>40000</v>
      </c>
    </row>
    <row r="9" spans="2:11" x14ac:dyDescent="0.3">
      <c r="B9" s="45" t="s">
        <v>11</v>
      </c>
      <c r="C9" s="48">
        <v>3</v>
      </c>
      <c r="D9" s="42">
        <v>300000</v>
      </c>
      <c r="E9" s="40">
        <f t="shared" si="0"/>
        <v>900000</v>
      </c>
    </row>
    <row r="10" spans="2:11" x14ac:dyDescent="0.3">
      <c r="B10" s="45" t="s">
        <v>12</v>
      </c>
      <c r="C10" s="48">
        <v>3</v>
      </c>
      <c r="D10" s="42">
        <v>230000</v>
      </c>
      <c r="E10" s="40">
        <f t="shared" si="0"/>
        <v>690000</v>
      </c>
    </row>
    <row r="11" spans="2:11" x14ac:dyDescent="0.3">
      <c r="B11" s="45" t="s">
        <v>13</v>
      </c>
      <c r="C11" s="48">
        <v>3</v>
      </c>
      <c r="D11" s="42">
        <v>569956</v>
      </c>
      <c r="E11" s="40">
        <f t="shared" si="0"/>
        <v>1709868</v>
      </c>
    </row>
    <row r="12" spans="2:11" x14ac:dyDescent="0.3">
      <c r="B12" s="45" t="s">
        <v>21</v>
      </c>
      <c r="C12" s="48">
        <v>35</v>
      </c>
      <c r="D12" s="42">
        <v>60000</v>
      </c>
      <c r="E12" s="40">
        <f t="shared" si="0"/>
        <v>2100000</v>
      </c>
    </row>
    <row r="13" spans="2:11" ht="43.8" thickBot="1" x14ac:dyDescent="0.35">
      <c r="B13" s="46" t="s">
        <v>44</v>
      </c>
      <c r="C13" s="49">
        <v>3</v>
      </c>
      <c r="D13" s="43">
        <v>3900000</v>
      </c>
      <c r="E13" s="41">
        <f t="shared" si="0"/>
        <v>11700000</v>
      </c>
    </row>
    <row r="14" spans="2:11" ht="15" thickBot="1" x14ac:dyDescent="0.35">
      <c r="B14" s="114" t="s">
        <v>8</v>
      </c>
      <c r="C14" s="115"/>
      <c r="D14" s="115"/>
      <c r="E14" s="5">
        <f>SUM(E5:E13)</f>
        <v>18449868</v>
      </c>
    </row>
    <row r="15" spans="2:11" x14ac:dyDescent="0.3">
      <c r="B15" s="1"/>
      <c r="C15" s="1"/>
      <c r="D15" s="1"/>
      <c r="E15" s="1"/>
    </row>
    <row r="16" spans="2:11" x14ac:dyDescent="0.3">
      <c r="B16" s="1"/>
      <c r="C16" s="1"/>
      <c r="D16" s="1"/>
      <c r="E16" s="1"/>
    </row>
    <row r="17" spans="2:5" x14ac:dyDescent="0.3">
      <c r="B17" s="1"/>
      <c r="C17" s="1"/>
      <c r="D17" s="1"/>
      <c r="E17" s="1"/>
    </row>
    <row r="18" spans="2:5" x14ac:dyDescent="0.3">
      <c r="B18" s="1"/>
      <c r="C18" s="1"/>
      <c r="D18" s="1"/>
      <c r="E18" s="1"/>
    </row>
    <row r="19" spans="2:5" x14ac:dyDescent="0.3">
      <c r="B19" s="1"/>
      <c r="C19" s="1"/>
      <c r="D19" s="1"/>
      <c r="E19" s="1"/>
    </row>
    <row r="20" spans="2:5" x14ac:dyDescent="0.3">
      <c r="B20" s="1"/>
      <c r="C20" s="1"/>
      <c r="D20" s="1"/>
      <c r="E20" s="1"/>
    </row>
    <row r="21" spans="2:5" x14ac:dyDescent="0.3">
      <c r="B21" s="1"/>
      <c r="C21" s="1"/>
      <c r="D21" s="1"/>
      <c r="E21" s="1"/>
    </row>
    <row r="22" spans="2:5" x14ac:dyDescent="0.3">
      <c r="B22" s="1"/>
      <c r="C22" s="1"/>
      <c r="D22" s="1"/>
      <c r="E22" s="1"/>
    </row>
    <row r="23" spans="2:5" x14ac:dyDescent="0.3">
      <c r="B23" s="1"/>
      <c r="C23" s="1"/>
      <c r="D23" s="1"/>
      <c r="E23" s="1"/>
    </row>
    <row r="24" spans="2:5" x14ac:dyDescent="0.3">
      <c r="B24" s="1"/>
      <c r="C24" s="1"/>
      <c r="D24" s="1"/>
      <c r="E24" s="1"/>
    </row>
    <row r="25" spans="2:5" x14ac:dyDescent="0.3">
      <c r="B25" s="1"/>
      <c r="C25" s="1"/>
      <c r="D25" s="1"/>
      <c r="E25" s="1"/>
    </row>
    <row r="26" spans="2:5" x14ac:dyDescent="0.3">
      <c r="B26" s="1"/>
      <c r="C26" s="1"/>
      <c r="D26" s="1"/>
      <c r="E26" s="1"/>
    </row>
    <row r="27" spans="2:5" x14ac:dyDescent="0.3">
      <c r="B27" s="1"/>
      <c r="C27" s="1"/>
      <c r="D27" s="1"/>
      <c r="E27" s="1"/>
    </row>
    <row r="28" spans="2:5" x14ac:dyDescent="0.3">
      <c r="B28" s="1"/>
      <c r="C28" s="1"/>
      <c r="D28" s="1"/>
      <c r="E28" s="1"/>
    </row>
    <row r="29" spans="2:5" x14ac:dyDescent="0.3">
      <c r="B29" s="1"/>
      <c r="C29" s="1"/>
      <c r="D29" s="1"/>
      <c r="E29" s="1"/>
    </row>
    <row r="30" spans="2:5" x14ac:dyDescent="0.3">
      <c r="B30" s="1"/>
      <c r="C30" s="1"/>
      <c r="D30" s="1"/>
      <c r="E30" s="1"/>
    </row>
    <row r="31" spans="2:5" x14ac:dyDescent="0.3">
      <c r="B31" s="1"/>
      <c r="C31" s="1"/>
      <c r="D31" s="1"/>
      <c r="E31" s="1"/>
    </row>
    <row r="32" spans="2:5" x14ac:dyDescent="0.3">
      <c r="B32" s="1"/>
      <c r="C32" s="1"/>
      <c r="D32" s="1"/>
      <c r="E32" s="1"/>
    </row>
    <row r="33" spans="2:5" x14ac:dyDescent="0.3">
      <c r="B33" s="1"/>
      <c r="C33" s="1"/>
      <c r="D33" s="1"/>
      <c r="E33" s="1"/>
    </row>
    <row r="34" spans="2:5" x14ac:dyDescent="0.3">
      <c r="B34" s="1"/>
      <c r="C34" s="1"/>
      <c r="D34" s="1"/>
      <c r="E34" s="1"/>
    </row>
    <row r="35" spans="2:5" x14ac:dyDescent="0.3">
      <c r="B35" s="1"/>
      <c r="C35" s="1"/>
      <c r="D35" s="1"/>
      <c r="E35" s="1"/>
    </row>
    <row r="36" spans="2:5" x14ac:dyDescent="0.3">
      <c r="B36" s="1"/>
      <c r="C36" s="1"/>
      <c r="D36" s="1"/>
      <c r="E36" s="1"/>
    </row>
    <row r="37" spans="2:5" x14ac:dyDescent="0.3">
      <c r="B37" s="1"/>
      <c r="C37" s="1"/>
      <c r="D37" s="1"/>
      <c r="E37" s="1"/>
    </row>
    <row r="38" spans="2:5" x14ac:dyDescent="0.3">
      <c r="B38" s="1"/>
      <c r="C38" s="1"/>
      <c r="D38" s="1"/>
      <c r="E38" s="1"/>
    </row>
    <row r="39" spans="2:5" x14ac:dyDescent="0.3">
      <c r="B39" s="1"/>
      <c r="C39" s="1"/>
      <c r="D39" s="1"/>
      <c r="E39" s="1"/>
    </row>
    <row r="40" spans="2:5" x14ac:dyDescent="0.3">
      <c r="B40" s="1"/>
      <c r="C40" s="1"/>
      <c r="D40" s="1"/>
      <c r="E40" s="1"/>
    </row>
    <row r="41" spans="2:5" x14ac:dyDescent="0.3">
      <c r="B41" s="1"/>
      <c r="C41" s="1"/>
      <c r="D41" s="1"/>
      <c r="E41" s="1"/>
    </row>
    <row r="42" spans="2:5" x14ac:dyDescent="0.3">
      <c r="B42" s="1"/>
      <c r="C42" s="1"/>
      <c r="D42" s="1"/>
      <c r="E42" s="1"/>
    </row>
    <row r="43" spans="2:5" x14ac:dyDescent="0.3">
      <c r="B43" s="1"/>
      <c r="C43" s="1"/>
      <c r="D43" s="1"/>
      <c r="E43" s="1"/>
    </row>
  </sheetData>
  <mergeCells count="4">
    <mergeCell ref="B14:D14"/>
    <mergeCell ref="B2:E2"/>
    <mergeCell ref="B3:C3"/>
    <mergeCell ref="D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showGridLines="0" zoomScale="85" zoomScaleNormal="85" workbookViewId="0">
      <selection activeCell="C18" sqref="C18"/>
    </sheetView>
  </sheetViews>
  <sheetFormatPr baseColWidth="10" defaultRowHeight="14.4" x14ac:dyDescent="0.3"/>
  <cols>
    <col min="2" max="2" width="14.59765625" bestFit="1" customWidth="1"/>
    <col min="3" max="3" width="15.296875" bestFit="1" customWidth="1"/>
    <col min="4" max="4" width="14.69921875" bestFit="1" customWidth="1"/>
    <col min="5" max="5" width="19.296875" style="1" bestFit="1" customWidth="1"/>
    <col min="6" max="6" width="16.3984375" style="1" bestFit="1" customWidth="1"/>
    <col min="7" max="7" width="16.8984375" bestFit="1" customWidth="1"/>
    <col min="8" max="8" width="14.69921875" bestFit="1" customWidth="1"/>
    <col min="9" max="9" width="14.8984375" customWidth="1"/>
    <col min="10" max="10" width="15.296875" bestFit="1" customWidth="1"/>
    <col min="11" max="11" width="16.69921875" customWidth="1"/>
    <col min="12" max="12" width="16.69921875" bestFit="1" customWidth="1"/>
    <col min="13" max="13" width="11.69921875" bestFit="1" customWidth="1"/>
    <col min="14" max="14" width="16.3984375" bestFit="1" customWidth="1"/>
    <col min="15" max="15" width="15.69921875" bestFit="1" customWidth="1"/>
  </cols>
  <sheetData>
    <row r="1" spans="2:14" ht="15" thickBot="1" x14ac:dyDescent="0.35">
      <c r="G1" s="76"/>
    </row>
    <row r="2" spans="2:14" ht="29.4" thickBot="1" x14ac:dyDescent="0.35">
      <c r="B2" s="116" t="s">
        <v>0</v>
      </c>
      <c r="C2" s="117"/>
      <c r="D2" s="117"/>
      <c r="E2" s="117"/>
      <c r="F2" s="117"/>
      <c r="G2" s="118"/>
      <c r="I2" s="89" t="s">
        <v>74</v>
      </c>
      <c r="J2" s="88" t="s">
        <v>75</v>
      </c>
      <c r="L2" s="84" t="s">
        <v>45</v>
      </c>
      <c r="M2" s="85" t="s">
        <v>4</v>
      </c>
      <c r="N2" s="62" t="s">
        <v>46</v>
      </c>
    </row>
    <row r="3" spans="2:14" ht="15" thickBot="1" x14ac:dyDescent="0.35">
      <c r="B3" s="112" t="s">
        <v>1</v>
      </c>
      <c r="C3" s="119"/>
      <c r="D3" s="119"/>
      <c r="E3" s="113"/>
      <c r="F3" s="112" t="s">
        <v>22</v>
      </c>
      <c r="G3" s="113"/>
      <c r="I3" s="68">
        <v>908526</v>
      </c>
      <c r="J3" s="68">
        <v>106454</v>
      </c>
      <c r="L3" s="63" t="s">
        <v>47</v>
      </c>
      <c r="M3" s="64">
        <v>1</v>
      </c>
      <c r="N3" s="17">
        <v>2800000</v>
      </c>
    </row>
    <row r="4" spans="2:14" ht="15" thickBot="1" x14ac:dyDescent="0.35">
      <c r="B4" s="126" t="s">
        <v>3</v>
      </c>
      <c r="C4" s="127"/>
      <c r="D4" s="128"/>
      <c r="E4" s="32" t="s">
        <v>58</v>
      </c>
      <c r="F4" s="33" t="s">
        <v>59</v>
      </c>
      <c r="G4" s="21" t="s">
        <v>23</v>
      </c>
      <c r="L4" s="63" t="s">
        <v>48</v>
      </c>
      <c r="M4" s="64">
        <v>1</v>
      </c>
      <c r="N4" s="99">
        <v>2300000</v>
      </c>
    </row>
    <row r="5" spans="2:14" ht="15" thickBot="1" x14ac:dyDescent="0.35">
      <c r="B5" s="129" t="s">
        <v>57</v>
      </c>
      <c r="C5" s="130"/>
      <c r="D5" s="130"/>
      <c r="E5" s="25"/>
      <c r="F5" s="35"/>
      <c r="G5" s="22">
        <v>180000</v>
      </c>
      <c r="L5" s="63" t="s">
        <v>49</v>
      </c>
      <c r="M5" s="64">
        <v>1</v>
      </c>
      <c r="N5" s="17">
        <v>2600000</v>
      </c>
    </row>
    <row r="6" spans="2:14" ht="15" thickBot="1" x14ac:dyDescent="0.35">
      <c r="B6" s="129" t="s">
        <v>26</v>
      </c>
      <c r="C6" s="130"/>
      <c r="D6" s="130"/>
      <c r="E6" s="25"/>
      <c r="F6" s="35"/>
      <c r="G6" s="22">
        <v>104000</v>
      </c>
      <c r="I6" s="83" t="s">
        <v>76</v>
      </c>
      <c r="L6" s="63" t="s">
        <v>50</v>
      </c>
      <c r="M6" s="64">
        <v>1</v>
      </c>
      <c r="N6" s="17">
        <v>2500000</v>
      </c>
    </row>
    <row r="7" spans="2:14" ht="15" thickBot="1" x14ac:dyDescent="0.35">
      <c r="B7" s="129" t="s">
        <v>24</v>
      </c>
      <c r="C7" s="130"/>
      <c r="D7" s="130"/>
      <c r="E7" s="25"/>
      <c r="F7" s="36"/>
      <c r="G7" s="22">
        <v>197000</v>
      </c>
      <c r="I7" s="74">
        <f>(I3*2)</f>
        <v>1817052</v>
      </c>
      <c r="L7" s="66"/>
      <c r="M7" s="66"/>
      <c r="N7" s="18"/>
    </row>
    <row r="8" spans="2:14" ht="15" thickBot="1" x14ac:dyDescent="0.35">
      <c r="B8" s="129" t="s">
        <v>25</v>
      </c>
      <c r="C8" s="130"/>
      <c r="D8" s="130"/>
      <c r="E8" s="26">
        <v>12</v>
      </c>
      <c r="F8" s="37">
        <f>(O18)</f>
        <v>16520199.259259259</v>
      </c>
      <c r="G8" s="22">
        <f>(E8*F8)</f>
        <v>198242391.1111111</v>
      </c>
      <c r="L8" s="120" t="s">
        <v>8</v>
      </c>
      <c r="M8" s="121"/>
      <c r="N8" s="69">
        <f>SUM(N3:N7)</f>
        <v>10200000</v>
      </c>
    </row>
    <row r="9" spans="2:14" ht="15" thickBot="1" x14ac:dyDescent="0.35">
      <c r="B9" s="129" t="s">
        <v>27</v>
      </c>
      <c r="C9" s="130"/>
      <c r="D9" s="130"/>
      <c r="E9" s="25"/>
      <c r="F9" s="35"/>
      <c r="G9" s="22">
        <v>178200</v>
      </c>
    </row>
    <row r="10" spans="2:14" ht="15" thickBot="1" x14ac:dyDescent="0.35">
      <c r="B10" s="129" t="s">
        <v>28</v>
      </c>
      <c r="C10" s="130"/>
      <c r="D10" s="130"/>
      <c r="E10" s="25"/>
      <c r="F10" s="35"/>
      <c r="G10" s="22">
        <v>57598</v>
      </c>
    </row>
    <row r="11" spans="2:14" ht="15" thickBot="1" x14ac:dyDescent="0.35">
      <c r="B11" s="129" t="s">
        <v>29</v>
      </c>
      <c r="C11" s="130"/>
      <c r="D11" s="130"/>
      <c r="E11" s="25"/>
      <c r="F11" s="35"/>
      <c r="G11" s="22">
        <v>105000</v>
      </c>
      <c r="I11" s="65"/>
      <c r="J11" s="65"/>
      <c r="K11" s="65"/>
    </row>
    <row r="12" spans="2:14" ht="15" thickBot="1" x14ac:dyDescent="0.35">
      <c r="B12" s="129" t="s">
        <v>30</v>
      </c>
      <c r="C12" s="130"/>
      <c r="D12" s="131"/>
      <c r="E12" s="34">
        <v>6</v>
      </c>
      <c r="F12" s="27"/>
      <c r="G12" s="23">
        <f>(SUM(G5:G11)*E12)/100</f>
        <v>11943851.346666666</v>
      </c>
      <c r="J12" s="67"/>
      <c r="K12" s="67"/>
    </row>
    <row r="13" spans="2:14" ht="15" thickBot="1" x14ac:dyDescent="0.35">
      <c r="B13" s="114" t="s">
        <v>20</v>
      </c>
      <c r="C13" s="115"/>
      <c r="D13" s="115"/>
      <c r="E13" s="115"/>
      <c r="F13" s="125"/>
      <c r="G13" s="24">
        <f>SUM(G5:G12)</f>
        <v>211008040.45777777</v>
      </c>
    </row>
    <row r="15" spans="2:14" ht="15" thickBot="1" x14ac:dyDescent="0.35"/>
    <row r="16" spans="2:14" ht="15" thickBot="1" x14ac:dyDescent="0.35">
      <c r="C16" s="122" t="s">
        <v>72</v>
      </c>
      <c r="D16" s="123"/>
      <c r="E16" s="123"/>
      <c r="F16" s="123"/>
      <c r="G16" s="123"/>
      <c r="H16" s="123"/>
      <c r="I16" s="123"/>
      <c r="J16" s="123"/>
      <c r="K16" s="124"/>
      <c r="L16" s="70"/>
    </row>
    <row r="17" spans="2:15" ht="31.1" customHeight="1" thickBot="1" x14ac:dyDescent="0.35">
      <c r="B17" s="1"/>
      <c r="C17" s="60" t="s">
        <v>61</v>
      </c>
      <c r="D17" s="86" t="s">
        <v>62</v>
      </c>
      <c r="E17" s="87" t="s">
        <v>63</v>
      </c>
      <c r="F17" s="61" t="s">
        <v>64</v>
      </c>
      <c r="G17" s="86" t="s">
        <v>71</v>
      </c>
      <c r="H17" s="86" t="s">
        <v>69</v>
      </c>
      <c r="I17" s="86" t="s">
        <v>70</v>
      </c>
      <c r="J17" s="87" t="s">
        <v>73</v>
      </c>
      <c r="K17" s="87" t="s">
        <v>77</v>
      </c>
      <c r="O17" s="78" t="s">
        <v>78</v>
      </c>
    </row>
    <row r="18" spans="2:15" ht="15" thickBot="1" x14ac:dyDescent="0.35">
      <c r="B18" s="64" t="s">
        <v>65</v>
      </c>
      <c r="C18" s="73">
        <f>(N3*180)/360</f>
        <v>1400000</v>
      </c>
      <c r="D18" s="79">
        <f>(N3*J18)/360</f>
        <v>233333.33333333334</v>
      </c>
      <c r="E18" s="80">
        <f>(D18*J18*0.12)/360</f>
        <v>2333.3333333333335</v>
      </c>
      <c r="F18" s="79">
        <f>(N3*J18)/720</f>
        <v>116666.66666666667</v>
      </c>
      <c r="G18" s="79">
        <f>IF(N3&lt;=$I$7,($J$3/J18)*30,0)</f>
        <v>0</v>
      </c>
      <c r="H18" s="81">
        <v>44201</v>
      </c>
      <c r="I18" s="81">
        <v>44231</v>
      </c>
      <c r="J18" s="75">
        <f>(I18-H18)</f>
        <v>30</v>
      </c>
      <c r="K18" s="82">
        <f>SUM(N3,C18:G18)</f>
        <v>4552333.333333333</v>
      </c>
      <c r="O18" s="77">
        <f>SUM(K18:K21)</f>
        <v>16520199.259259259</v>
      </c>
    </row>
    <row r="19" spans="2:15" ht="15" thickBot="1" x14ac:dyDescent="0.35">
      <c r="B19" s="64" t="s">
        <v>66</v>
      </c>
      <c r="C19" s="73">
        <f t="shared" ref="C19:C21" si="0">(N4*180)/360</f>
        <v>1150000</v>
      </c>
      <c r="D19" s="79">
        <f>(N4*J19)/360</f>
        <v>185277.77777777778</v>
      </c>
      <c r="E19" s="80">
        <f>(D19*J19*0.12)/360</f>
        <v>1791.0185185185187</v>
      </c>
      <c r="F19" s="79">
        <f>(N4*J19)/720</f>
        <v>92638.888888888891</v>
      </c>
      <c r="G19" s="79">
        <f t="shared" ref="G19:G21" si="1">IF(N4&lt;=$I$7,($J$3/J19)*30,0)</f>
        <v>0</v>
      </c>
      <c r="H19" s="81">
        <v>44202</v>
      </c>
      <c r="I19" s="81">
        <v>44231</v>
      </c>
      <c r="J19" s="75">
        <f t="shared" ref="J19:J21" si="2">(I19-H19)</f>
        <v>29</v>
      </c>
      <c r="K19" s="82">
        <f t="shared" ref="K19:K21" si="3">SUM(N4,C19:G19)</f>
        <v>3729707.6851851856</v>
      </c>
    </row>
    <row r="20" spans="2:15" ht="15" thickBot="1" x14ac:dyDescent="0.35">
      <c r="B20" s="64" t="s">
        <v>67</v>
      </c>
      <c r="C20" s="73">
        <f t="shared" si="0"/>
        <v>1300000</v>
      </c>
      <c r="D20" s="79">
        <f>(N5*J20)/360</f>
        <v>202222.22222222222</v>
      </c>
      <c r="E20" s="80">
        <f>(D20*J20*0.12)/360</f>
        <v>1887.4074074074074</v>
      </c>
      <c r="F20" s="79">
        <f>(N5*J20)/720</f>
        <v>101111.11111111111</v>
      </c>
      <c r="G20" s="79">
        <f t="shared" si="1"/>
        <v>0</v>
      </c>
      <c r="H20" s="81">
        <v>44203</v>
      </c>
      <c r="I20" s="81">
        <v>44231</v>
      </c>
      <c r="J20" s="75">
        <f t="shared" si="2"/>
        <v>28</v>
      </c>
      <c r="K20" s="82">
        <f t="shared" si="3"/>
        <v>4205220.7407407407</v>
      </c>
    </row>
    <row r="21" spans="2:15" ht="15" thickBot="1" x14ac:dyDescent="0.35">
      <c r="B21" s="72" t="s">
        <v>68</v>
      </c>
      <c r="C21" s="73">
        <f t="shared" si="0"/>
        <v>1250000</v>
      </c>
      <c r="D21" s="79">
        <f>(N6*J21)/360</f>
        <v>187500</v>
      </c>
      <c r="E21" s="80">
        <f>(D21*J21*0.12)/360</f>
        <v>1687.5</v>
      </c>
      <c r="F21" s="79">
        <f>(N6*J21)/720</f>
        <v>93750</v>
      </c>
      <c r="G21" s="79">
        <f t="shared" si="1"/>
        <v>0</v>
      </c>
      <c r="H21" s="98">
        <v>44204</v>
      </c>
      <c r="I21" s="98">
        <v>44231</v>
      </c>
      <c r="J21" s="71">
        <f t="shared" si="2"/>
        <v>27</v>
      </c>
      <c r="K21" s="82">
        <f t="shared" si="3"/>
        <v>4032937.5</v>
      </c>
    </row>
  </sheetData>
  <mergeCells count="15">
    <mergeCell ref="L8:M8"/>
    <mergeCell ref="C16:K16"/>
    <mergeCell ref="B2:G2"/>
    <mergeCell ref="F3:G3"/>
    <mergeCell ref="B13:F13"/>
    <mergeCell ref="B4:D4"/>
    <mergeCell ref="B9:D9"/>
    <mergeCell ref="B3:E3"/>
    <mergeCell ref="B5:D5"/>
    <mergeCell ref="B6:D6"/>
    <mergeCell ref="B7:D7"/>
    <mergeCell ref="B8:D8"/>
    <mergeCell ref="B11:D11"/>
    <mergeCell ref="B10:D10"/>
    <mergeCell ref="B12:D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showGridLines="0" workbookViewId="0">
      <selection activeCell="C9" sqref="C9"/>
    </sheetView>
  </sheetViews>
  <sheetFormatPr baseColWidth="10" defaultRowHeight="14.4" x14ac:dyDescent="0.3"/>
  <cols>
    <col min="2" max="2" width="29.69921875" bestFit="1" customWidth="1"/>
    <col min="3" max="3" width="16.3984375" bestFit="1" customWidth="1"/>
    <col min="4" max="4" width="8.09765625" customWidth="1"/>
    <col min="5" max="5" width="11.69921875" bestFit="1" customWidth="1"/>
    <col min="6" max="6" width="16.3984375" bestFit="1" customWidth="1"/>
    <col min="7" max="7" width="15.296875" bestFit="1" customWidth="1"/>
  </cols>
  <sheetData>
    <row r="1" spans="2:7" ht="15" thickBot="1" x14ac:dyDescent="0.35"/>
    <row r="2" spans="2:7" ht="17.850000000000001" thickBot="1" x14ac:dyDescent="0.35">
      <c r="B2" s="132" t="s">
        <v>0</v>
      </c>
      <c r="C2" s="133"/>
      <c r="D2" s="133"/>
      <c r="E2" s="133"/>
      <c r="F2" s="133"/>
      <c r="G2" s="134"/>
    </row>
    <row r="3" spans="2:7" ht="15" thickBot="1" x14ac:dyDescent="0.35">
      <c r="B3" s="112" t="s">
        <v>1</v>
      </c>
      <c r="C3" s="119"/>
      <c r="D3" s="113"/>
      <c r="E3" s="112" t="s">
        <v>14</v>
      </c>
      <c r="F3" s="119"/>
      <c r="G3" s="113"/>
    </row>
    <row r="4" spans="2:7" ht="29.4" thickBot="1" x14ac:dyDescent="0.35">
      <c r="B4" s="60" t="s">
        <v>3</v>
      </c>
      <c r="C4" s="86" t="s">
        <v>15</v>
      </c>
      <c r="D4" s="87" t="s">
        <v>17</v>
      </c>
      <c r="E4" s="88" t="s">
        <v>19</v>
      </c>
      <c r="F4" s="62" t="s">
        <v>16</v>
      </c>
      <c r="G4" s="91" t="s">
        <v>18</v>
      </c>
    </row>
    <row r="5" spans="2:7" x14ac:dyDescent="0.3">
      <c r="B5" s="55" t="s">
        <v>52</v>
      </c>
      <c r="C5" s="58">
        <f>Inversion!E12</f>
        <v>2100000</v>
      </c>
      <c r="D5" s="47">
        <v>45</v>
      </c>
      <c r="E5" s="51">
        <f>(1/D5)*2</f>
        <v>4.4444444444444446E-2</v>
      </c>
      <c r="F5" s="58">
        <f>(C5*20)/100</f>
        <v>420000</v>
      </c>
      <c r="G5" s="92">
        <f>(C5-F5)/D5</f>
        <v>37333.333333333336</v>
      </c>
    </row>
    <row r="6" spans="2:7" x14ac:dyDescent="0.3">
      <c r="B6" s="56" t="s">
        <v>54</v>
      </c>
      <c r="C6" s="58">
        <f>(Inversion!E5:E8+Inversion!E13)</f>
        <v>11960000</v>
      </c>
      <c r="D6" s="48">
        <v>5</v>
      </c>
      <c r="E6" s="52">
        <f>(1/D6)*2</f>
        <v>0.4</v>
      </c>
      <c r="F6" s="58">
        <f t="shared" ref="F6:F7" si="0">(C6*20)/100</f>
        <v>2392000</v>
      </c>
      <c r="G6" s="58">
        <f t="shared" ref="G6:G7" si="1">(C6-F6)/D6</f>
        <v>1913600</v>
      </c>
    </row>
    <row r="7" spans="2:7" x14ac:dyDescent="0.3">
      <c r="B7" s="56" t="s">
        <v>55</v>
      </c>
      <c r="C7" s="58">
        <f>SUM(Inversion!E9+Inversion!E10)</f>
        <v>1590000</v>
      </c>
      <c r="D7" s="48">
        <v>10</v>
      </c>
      <c r="E7" s="52">
        <f>(1/D7)*2</f>
        <v>0.2</v>
      </c>
      <c r="F7" s="58">
        <f t="shared" si="0"/>
        <v>318000</v>
      </c>
      <c r="G7" s="58">
        <f t="shared" si="1"/>
        <v>127200</v>
      </c>
    </row>
    <row r="8" spans="2:7" x14ac:dyDescent="0.3">
      <c r="B8" s="56" t="s">
        <v>51</v>
      </c>
      <c r="C8" s="58">
        <f>(Inversion!E14)</f>
        <v>18449868</v>
      </c>
      <c r="D8" s="48"/>
      <c r="E8" s="52">
        <v>0.2676</v>
      </c>
      <c r="F8" s="95"/>
      <c r="G8" s="58">
        <f>(C8*E8)</f>
        <v>4937184.6768000005</v>
      </c>
    </row>
    <row r="9" spans="2:7" x14ac:dyDescent="0.3">
      <c r="B9" s="56" t="s">
        <v>60</v>
      </c>
      <c r="C9" s="58">
        <f>(Inversion!E12)</f>
        <v>2100000</v>
      </c>
      <c r="D9" s="48"/>
      <c r="E9" s="52">
        <v>3.7999999999999999E-2</v>
      </c>
      <c r="F9" s="95"/>
      <c r="G9" s="58">
        <f>(C9*E9)</f>
        <v>79800</v>
      </c>
    </row>
    <row r="10" spans="2:7" x14ac:dyDescent="0.3">
      <c r="B10" s="56" t="s">
        <v>53</v>
      </c>
      <c r="C10" s="58">
        <f>SUM(Inversion!E5+Inversion!E6+Inversion!E9+Inversion!E10+Inversion!E12+Inversion!E13)</f>
        <v>16630000</v>
      </c>
      <c r="D10" s="48"/>
      <c r="E10" s="52">
        <v>0.02</v>
      </c>
      <c r="F10" s="95"/>
      <c r="G10" s="58">
        <f>(C10*E10)</f>
        <v>332600</v>
      </c>
    </row>
    <row r="11" spans="2:7" ht="15" thickBot="1" x14ac:dyDescent="0.35">
      <c r="B11" s="57" t="s">
        <v>56</v>
      </c>
      <c r="C11" s="58">
        <f>'Costos Variables'!G8</f>
        <v>198242391.1111111</v>
      </c>
      <c r="D11" s="54"/>
      <c r="E11" s="53">
        <v>0.18</v>
      </c>
      <c r="F11" s="96"/>
      <c r="G11" s="93">
        <f>(C11*E11)</f>
        <v>35683630.399999999</v>
      </c>
    </row>
    <row r="12" spans="2:7" ht="15" thickBot="1" x14ac:dyDescent="0.35">
      <c r="B12" s="135" t="s">
        <v>20</v>
      </c>
      <c r="C12" s="136"/>
      <c r="D12" s="136"/>
      <c r="E12" s="136"/>
      <c r="F12" s="137"/>
      <c r="G12" s="94">
        <f>SUM(G5:G11)</f>
        <v>43111348.410133332</v>
      </c>
    </row>
    <row r="13" spans="2:7" x14ac:dyDescent="0.3">
      <c r="E13" s="1"/>
      <c r="F13" s="1"/>
      <c r="G13" s="1"/>
    </row>
    <row r="15" spans="2:7" x14ac:dyDescent="0.3">
      <c r="E15" s="97"/>
    </row>
  </sheetData>
  <mergeCells count="4">
    <mergeCell ref="B3:D3"/>
    <mergeCell ref="B2:G2"/>
    <mergeCell ref="E3:G3"/>
    <mergeCell ref="B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0"/>
  <sheetViews>
    <sheetView showGridLines="0" tabSelected="1" topLeftCell="G1" zoomScaleNormal="100" workbookViewId="0">
      <selection activeCell="L10" sqref="L10"/>
    </sheetView>
  </sheetViews>
  <sheetFormatPr baseColWidth="10" defaultRowHeight="14.4" x14ac:dyDescent="0.3"/>
  <cols>
    <col min="2" max="2" width="8.09765625" customWidth="1"/>
    <col min="3" max="3" width="6.296875" customWidth="1"/>
    <col min="4" max="4" width="6.59765625" customWidth="1"/>
    <col min="7" max="7" width="13" bestFit="1" customWidth="1"/>
    <col min="8" max="8" width="16.69921875" bestFit="1" customWidth="1"/>
    <col min="9" max="9" width="17.69921875" bestFit="1" customWidth="1"/>
    <col min="10" max="10" width="9" customWidth="1"/>
    <col min="11" max="11" width="16.3984375" bestFit="1" customWidth="1"/>
    <col min="12" max="12" width="8.59765625" customWidth="1"/>
    <col min="13" max="13" width="16.3984375" bestFit="1" customWidth="1"/>
    <col min="14" max="14" width="7.296875" bestFit="1" customWidth="1"/>
    <col min="15" max="15" width="9.296875" customWidth="1"/>
    <col min="16" max="16" width="9.8984375" customWidth="1"/>
    <col min="17" max="17" width="13.69921875" customWidth="1"/>
    <col min="18" max="18" width="17.69921875" bestFit="1" customWidth="1"/>
    <col min="19" max="19" width="16.69921875" bestFit="1" customWidth="1"/>
    <col min="20" max="20" width="9.296875" bestFit="1" customWidth="1"/>
    <col min="21" max="21" width="15.69921875" bestFit="1" customWidth="1"/>
  </cols>
  <sheetData>
    <row r="1" spans="2:24" ht="15" thickBot="1" x14ac:dyDescent="0.35"/>
    <row r="2" spans="2:24" ht="17.850000000000001" thickBot="1" x14ac:dyDescent="0.35">
      <c r="B2" s="116" t="s">
        <v>0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8"/>
      <c r="P2" s="3"/>
      <c r="Q2" s="3"/>
      <c r="R2" s="3"/>
      <c r="S2" s="90"/>
      <c r="T2" s="90"/>
      <c r="U2" s="90"/>
      <c r="V2" s="90"/>
      <c r="W2" s="90"/>
      <c r="X2" s="90"/>
    </row>
    <row r="3" spans="2:24" ht="15" customHeight="1" thickBot="1" x14ac:dyDescent="0.35">
      <c r="B3" s="139" t="s">
        <v>80</v>
      </c>
      <c r="C3" s="140"/>
      <c r="D3" s="140"/>
      <c r="E3" s="140"/>
      <c r="F3" s="140"/>
      <c r="G3" s="140"/>
      <c r="H3" s="140"/>
      <c r="I3" s="141"/>
      <c r="J3" s="103"/>
      <c r="K3" s="105" t="s">
        <v>32</v>
      </c>
      <c r="L3" s="106"/>
      <c r="M3" s="106"/>
      <c r="N3" s="106"/>
      <c r="O3" s="107"/>
      <c r="P3" s="4"/>
      <c r="Q3" s="90"/>
      <c r="R3" s="90"/>
      <c r="S3" s="90"/>
      <c r="T3" s="90"/>
      <c r="U3" s="90"/>
      <c r="V3" s="90"/>
    </row>
    <row r="4" spans="2:24" ht="29.4" thickBot="1" x14ac:dyDescent="0.35">
      <c r="B4" s="142" t="s">
        <v>31</v>
      </c>
      <c r="C4" s="143"/>
      <c r="D4" s="143"/>
      <c r="E4" s="59" t="s">
        <v>82</v>
      </c>
      <c r="F4" s="59" t="s">
        <v>83</v>
      </c>
      <c r="G4" s="19" t="s">
        <v>79</v>
      </c>
      <c r="H4" s="19" t="s">
        <v>84</v>
      </c>
      <c r="I4" s="59" t="s">
        <v>85</v>
      </c>
      <c r="J4" s="101"/>
      <c r="K4" s="10" t="s">
        <v>34</v>
      </c>
      <c r="L4" s="20" t="s">
        <v>86</v>
      </c>
      <c r="M4" s="10" t="s">
        <v>35</v>
      </c>
      <c r="N4" s="10" t="s">
        <v>87</v>
      </c>
      <c r="O4" s="10" t="s">
        <v>33</v>
      </c>
    </row>
    <row r="5" spans="2:24" ht="15" thickBot="1" x14ac:dyDescent="0.35">
      <c r="B5" s="144" t="s">
        <v>81</v>
      </c>
      <c r="C5" s="145"/>
      <c r="D5" s="146"/>
      <c r="E5" s="26">
        <f>(5*7*4)*12</f>
        <v>1680</v>
      </c>
      <c r="F5" s="26">
        <f>(E5*5)</f>
        <v>8400</v>
      </c>
      <c r="G5" s="104">
        <v>3500000</v>
      </c>
      <c r="H5" s="104">
        <f>(G5*E5)</f>
        <v>5880000000</v>
      </c>
      <c r="I5" s="104">
        <f>(G5*F5)</f>
        <v>29400000000</v>
      </c>
      <c r="J5" s="102"/>
      <c r="K5" s="31">
        <f>(H5-(SUM('Costos Variables'!G7:G12)+(Inversion!E14-Inversion!E12)))</f>
        <v>5652926091.542222</v>
      </c>
      <c r="L5" s="30">
        <f>K5/H5*100</f>
        <v>96.138198835752078</v>
      </c>
      <c r="M5" s="31">
        <f>(K5-(SUM(Inversion!E12,'Costos Variables'!G5,'Costos Variables'!G6)))</f>
        <v>5650542091.542222</v>
      </c>
      <c r="N5" s="31">
        <f>(M5/H5)*100</f>
        <v>96.097654618064993</v>
      </c>
      <c r="O5" s="29"/>
    </row>
    <row r="6" spans="2:24" x14ac:dyDescent="0.3">
      <c r="B6" s="138"/>
      <c r="C6" s="138"/>
      <c r="D6" s="138"/>
      <c r="E6" s="138"/>
      <c r="F6" s="138"/>
      <c r="G6" s="138"/>
      <c r="H6" s="100"/>
      <c r="I6" s="100"/>
      <c r="J6" s="100"/>
      <c r="K6" s="1"/>
      <c r="L6" s="1"/>
      <c r="M6" s="1"/>
      <c r="N6" s="1"/>
      <c r="O6" s="1"/>
      <c r="P6" s="1"/>
      <c r="Q6" s="1"/>
    </row>
    <row r="7" spans="2:24" x14ac:dyDescent="0.3">
      <c r="K7" s="1"/>
      <c r="L7" s="1"/>
      <c r="M7" s="1"/>
      <c r="N7" s="1"/>
      <c r="O7" s="1"/>
      <c r="P7" s="1"/>
      <c r="Q7" s="1"/>
      <c r="R7" s="1"/>
    </row>
    <row r="8" spans="2:24" x14ac:dyDescent="0.3">
      <c r="M8" s="70"/>
      <c r="N8" s="70"/>
      <c r="O8" s="70"/>
      <c r="P8" s="70"/>
      <c r="Q8" s="70"/>
      <c r="R8" s="70"/>
    </row>
    <row r="10" spans="2:24" x14ac:dyDescent="0.3">
      <c r="W10" s="28"/>
    </row>
  </sheetData>
  <mergeCells count="5">
    <mergeCell ref="B6:G6"/>
    <mergeCell ref="B3:I3"/>
    <mergeCell ref="B4:D4"/>
    <mergeCell ref="B5:D5"/>
    <mergeCell ref="B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Impuestos</vt:lpstr>
      <vt:lpstr>Inversion</vt:lpstr>
      <vt:lpstr>Costos Variables</vt:lpstr>
      <vt:lpstr>Costos Fijos</vt:lpstr>
      <vt:lpstr>INGRESOS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Moreno</dc:creator>
  <cp:lastModifiedBy>jpmerchan</cp:lastModifiedBy>
  <dcterms:created xsi:type="dcterms:W3CDTF">2020-11-03T15:53:31Z</dcterms:created>
  <dcterms:modified xsi:type="dcterms:W3CDTF">2021-12-11T20:36:55Z</dcterms:modified>
</cp:coreProperties>
</file>