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ott/Documents/kscale/sysid-results/feetech/"/>
    </mc:Choice>
  </mc:AlternateContent>
  <xr:revisionPtr revIDLastSave="0" documentId="8_{BB964A71-F5C6-CE4C-AA2A-E8DB84DCCCAD}" xr6:coauthVersionLast="47" xr6:coauthVersionMax="47" xr10:uidLastSave="{00000000-0000-0000-0000-000000000000}"/>
  <bookViews>
    <workbookView xWindow="0" yWindow="740" windowWidth="34560" windowHeight="21600" xr2:uid="{3111525D-DB3F-2A4A-B3C7-B764400D19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4" i="1"/>
  <c r="F30" i="1"/>
  <c r="F31" i="1"/>
  <c r="F32" i="1"/>
  <c r="F29" i="1"/>
  <c r="E24" i="1"/>
  <c r="D24" i="1"/>
  <c r="E26" i="1"/>
  <c r="E25" i="1"/>
  <c r="D32" i="1"/>
  <c r="D31" i="1"/>
  <c r="D30" i="1"/>
  <c r="D29" i="1"/>
  <c r="D27" i="1"/>
  <c r="D26" i="1"/>
  <c r="D25" i="1"/>
  <c r="E32" i="1"/>
  <c r="E31" i="1"/>
  <c r="E30" i="1"/>
  <c r="E29" i="1"/>
  <c r="E27" i="1"/>
  <c r="M15" i="1"/>
  <c r="M16" i="1"/>
  <c r="M17" i="1"/>
  <c r="M18" i="1"/>
  <c r="M19" i="1"/>
  <c r="M14" i="1"/>
  <c r="K19" i="1"/>
  <c r="K15" i="1"/>
  <c r="K16" i="1"/>
  <c r="K17" i="1"/>
  <c r="K18" i="1"/>
  <c r="K14" i="1"/>
  <c r="H15" i="1"/>
  <c r="H16" i="1"/>
  <c r="H17" i="1"/>
  <c r="H18" i="1"/>
  <c r="H19" i="1"/>
  <c r="H14" i="1"/>
  <c r="G15" i="1"/>
  <c r="G16" i="1"/>
  <c r="G17" i="1"/>
  <c r="G18" i="1"/>
  <c r="G19" i="1"/>
  <c r="G14" i="1"/>
  <c r="E9" i="1"/>
  <c r="E10" i="1"/>
  <c r="F18" i="1"/>
  <c r="F17" i="1"/>
  <c r="F19" i="1"/>
  <c r="E15" i="1"/>
  <c r="E16" i="1"/>
  <c r="E14" i="1"/>
  <c r="D16" i="1"/>
  <c r="D15" i="1"/>
  <c r="D14" i="1"/>
  <c r="J17" i="1" l="1"/>
  <c r="N17" i="1" s="1"/>
  <c r="I18" i="1"/>
  <c r="L18" i="1" s="1"/>
  <c r="I17" i="1"/>
  <c r="L17" i="1" s="1"/>
  <c r="J18" i="1"/>
  <c r="N18" i="1" s="1"/>
  <c r="J19" i="1"/>
  <c r="N19" i="1" s="1"/>
  <c r="I19" i="1"/>
  <c r="L19" i="1" s="1"/>
  <c r="F16" i="1"/>
  <c r="I16" i="1" s="1"/>
  <c r="L16" i="1" s="1"/>
  <c r="F14" i="1"/>
  <c r="F15" i="1"/>
  <c r="I15" i="1" s="1"/>
  <c r="C27" i="1" s="1"/>
  <c r="L15" i="1" l="1"/>
  <c r="J14" i="1"/>
  <c r="I14" i="1"/>
  <c r="J15" i="1"/>
  <c r="J16" i="1"/>
  <c r="N16" i="1" s="1"/>
  <c r="C24" i="1" l="1"/>
  <c r="C26" i="1"/>
  <c r="C25" i="1"/>
  <c r="L14" i="1"/>
  <c r="C30" i="1"/>
  <c r="N14" i="1"/>
  <c r="C31" i="1"/>
  <c r="C29" i="1"/>
  <c r="N15" i="1"/>
  <c r="C32" i="1"/>
</calcChain>
</file>

<file path=xl/sharedStrings.xml><?xml version="1.0" encoding="utf-8"?>
<sst xmlns="http://schemas.openxmlformats.org/spreadsheetml/2006/main" count="42" uniqueCount="40">
  <si>
    <t>Mass (kg)</t>
  </si>
  <si>
    <t>Outer Radius (m)</t>
  </si>
  <si>
    <t>Inner Radius (m)</t>
  </si>
  <si>
    <t>Inertia (kg*m^2)</t>
  </si>
  <si>
    <t>Components</t>
  </si>
  <si>
    <t>Disc_A</t>
  </si>
  <si>
    <t>Disc_B</t>
  </si>
  <si>
    <t>Disc_C</t>
  </si>
  <si>
    <t>Disc_D</t>
  </si>
  <si>
    <t>SpacerSet1 (BC/BD/CD)</t>
  </si>
  <si>
    <t>SpacerSet2 (B,C,D)</t>
  </si>
  <si>
    <t>Arm_A</t>
  </si>
  <si>
    <t>Arm_B</t>
  </si>
  <si>
    <t>Pendulum Arm</t>
  </si>
  <si>
    <t>Length (m)</t>
  </si>
  <si>
    <t>Test Configurations</t>
  </si>
  <si>
    <t>Disc_BCD_100mm</t>
  </si>
  <si>
    <t>Disc_CD_100mm</t>
  </si>
  <si>
    <t>Disc_B_100mm</t>
  </si>
  <si>
    <t>Disc_BC_100mm</t>
  </si>
  <si>
    <t>Disc_B_150mm</t>
  </si>
  <si>
    <t>Disc_BC_150mm</t>
  </si>
  <si>
    <t>Disc_BCD_150mm</t>
  </si>
  <si>
    <t>Disc_CD_150mm</t>
  </si>
  <si>
    <t>Total Inertia</t>
  </si>
  <si>
    <t>Bias g Factor</t>
  </si>
  <si>
    <t>Acceleration of Gravity</t>
  </si>
  <si>
    <t>* Portland, Maine</t>
  </si>
  <si>
    <t>Point Mass Assumption Error
@0.100m</t>
  </si>
  <si>
    <t>Point Mass Inertia
@0.150m</t>
  </si>
  <si>
    <t>Point Mass Inertia
 @ 0.100m</t>
  </si>
  <si>
    <t>Point Mass Assumption Error
@0.150m</t>
  </si>
  <si>
    <t>Total Inertia 
@ 0.150m</t>
  </si>
  <si>
    <t>Total Inertia 
@ 0.100m</t>
  </si>
  <si>
    <t>Parallel Axis
 @ 0.150m</t>
  </si>
  <si>
    <t>Parallel Axis 
@ 0.100m</t>
  </si>
  <si>
    <t>Axle_A</t>
  </si>
  <si>
    <t>Mass (Disc)</t>
  </si>
  <si>
    <t>Total Mass w/ Arm</t>
  </si>
  <si>
    <t>SysId Pendulum Testbed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</si>
</sst>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8"/>
      <color theme="1"/>
      <name val="Aptos Narrow"/>
      <family val="2"/>
      <scheme val="minor"/>
    </font>
    <font>
      <i/>
      <sz val="12"/>
      <color rgb="FF6D6D6D"/>
      <name val="Menlo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3" fillId="0" borderId="0" xfId="3"/>
    <xf numFmtId="0" fontId="2" fillId="2" borderId="1" xfId="2"/>
    <xf numFmtId="164" fontId="3" fillId="0" borderId="0" xfId="1" applyNumberFormat="1" applyFont="1"/>
    <xf numFmtId="0" fontId="7" fillId="0" borderId="0" xfId="0" applyFont="1" applyAlignment="1">
      <alignment horizontal="center" wrapText="1"/>
    </xf>
  </cellXfs>
  <cellStyles count="4">
    <cellStyle name="Calculation" xfId="2" builtinId="22"/>
    <cellStyle name="Explanatory Text" xfId="3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EA39-A24F-FB4B-877F-00619C3D02D1}">
  <dimension ref="B4:N38"/>
  <sheetViews>
    <sheetView tabSelected="1" topLeftCell="A3" workbookViewId="0">
      <selection activeCell="B5" sqref="B5"/>
    </sheetView>
  </sheetViews>
  <sheetFormatPr baseColWidth="10" defaultRowHeight="16" x14ac:dyDescent="0.2"/>
  <cols>
    <col min="2" max="2" width="24.6640625" style="2" customWidth="1"/>
    <col min="3" max="3" width="14" customWidth="1"/>
    <col min="4" max="4" width="17" customWidth="1"/>
    <col min="5" max="5" width="21" customWidth="1"/>
    <col min="6" max="6" width="23.33203125" customWidth="1"/>
    <col min="7" max="7" width="26" customWidth="1"/>
    <col min="8" max="8" width="26.5" customWidth="1"/>
    <col min="9" max="10" width="25.5" customWidth="1"/>
    <col min="11" max="11" width="31.83203125" customWidth="1"/>
    <col min="12" max="12" width="36.6640625" customWidth="1"/>
    <col min="13" max="13" width="32.1640625" customWidth="1"/>
    <col min="14" max="14" width="32.6640625" customWidth="1"/>
  </cols>
  <sheetData>
    <row r="4" spans="2:14" ht="24" x14ac:dyDescent="0.3">
      <c r="B4" s="5" t="s">
        <v>39</v>
      </c>
    </row>
    <row r="5" spans="2:14" ht="19" customHeight="1" x14ac:dyDescent="0.3">
      <c r="B5" s="6"/>
    </row>
    <row r="6" spans="2:14" ht="19" customHeight="1" x14ac:dyDescent="0.25">
      <c r="B6" s="4" t="s">
        <v>26</v>
      </c>
      <c r="C6" s="7">
        <v>-9.8049599999999995</v>
      </c>
      <c r="D6" t="s">
        <v>27</v>
      </c>
    </row>
    <row r="7" spans="2:14" ht="19" customHeight="1" x14ac:dyDescent="0.3">
      <c r="B7" s="6"/>
    </row>
    <row r="8" spans="2:14" ht="20" customHeight="1" x14ac:dyDescent="0.25">
      <c r="B8" s="4" t="s">
        <v>13</v>
      </c>
      <c r="C8" s="4" t="s">
        <v>0</v>
      </c>
      <c r="D8" s="4" t="s">
        <v>14</v>
      </c>
      <c r="E8" s="4" t="s">
        <v>3</v>
      </c>
    </row>
    <row r="9" spans="2:14" ht="18" customHeight="1" x14ac:dyDescent="0.2">
      <c r="B9" s="2" t="s">
        <v>11</v>
      </c>
      <c r="C9">
        <v>3.5999999999999997E-2</v>
      </c>
      <c r="D9">
        <v>0.1</v>
      </c>
      <c r="E9">
        <f>C9/3 * D9^2</f>
        <v>1.2E-4</v>
      </c>
    </row>
    <row r="10" spans="2:14" x14ac:dyDescent="0.2">
      <c r="B10" s="2" t="s">
        <v>12</v>
      </c>
      <c r="C10">
        <v>0.05</v>
      </c>
      <c r="D10">
        <v>0.15</v>
      </c>
      <c r="E10">
        <f>C10/3 * D10^2</f>
        <v>3.7500000000000001E-4</v>
      </c>
    </row>
    <row r="12" spans="2:14" ht="40" x14ac:dyDescent="0.25">
      <c r="B12" s="4" t="s">
        <v>4</v>
      </c>
      <c r="C12" s="4" t="s">
        <v>0</v>
      </c>
      <c r="D12" s="4" t="s">
        <v>1</v>
      </c>
      <c r="E12" s="4" t="s">
        <v>2</v>
      </c>
      <c r="F12" s="4" t="s">
        <v>3</v>
      </c>
      <c r="G12" s="11" t="s">
        <v>35</v>
      </c>
      <c r="H12" s="11" t="s">
        <v>34</v>
      </c>
      <c r="I12" s="11" t="s">
        <v>33</v>
      </c>
      <c r="J12" s="11" t="s">
        <v>32</v>
      </c>
      <c r="K12" s="11" t="s">
        <v>30</v>
      </c>
      <c r="L12" s="11" t="s">
        <v>28</v>
      </c>
      <c r="M12" s="11" t="s">
        <v>29</v>
      </c>
      <c r="N12" s="11" t="s">
        <v>31</v>
      </c>
    </row>
    <row r="13" spans="2:14" x14ac:dyDescent="0.2">
      <c r="B13" s="2" t="s">
        <v>5</v>
      </c>
      <c r="C13">
        <v>1.1220000000000001</v>
      </c>
    </row>
    <row r="14" spans="2:14" x14ac:dyDescent="0.2">
      <c r="B14" s="2" t="s">
        <v>6</v>
      </c>
      <c r="C14">
        <v>0.44600000000000001</v>
      </c>
      <c r="D14" s="1">
        <f>0.134/2</f>
        <v>6.7000000000000004E-2</v>
      </c>
      <c r="E14">
        <f>0.0506/2</f>
        <v>2.53E-2</v>
      </c>
      <c r="F14">
        <f>(C14/2) * (D14^2 + E14^2)</f>
        <v>1.1437870700000002E-3</v>
      </c>
      <c r="G14">
        <f>C14* $D$9^2</f>
        <v>4.4600000000000013E-3</v>
      </c>
      <c r="H14">
        <f>C14* $D$10^2</f>
        <v>1.0035000000000001E-2</v>
      </c>
      <c r="I14" s="9">
        <f>G14+F14</f>
        <v>5.6037870700000013E-3</v>
      </c>
      <c r="J14" s="9">
        <f>H14+F14</f>
        <v>1.1178787070000001E-2</v>
      </c>
      <c r="K14" s="8">
        <f t="shared" ref="K14:K19" si="0">C14*$D$9^2</f>
        <v>4.4600000000000013E-3</v>
      </c>
      <c r="L14" s="10">
        <f>ABS(K14-I14)/I14</f>
        <v>0.20410965936291361</v>
      </c>
      <c r="M14" s="8">
        <f>C14*$D$10^2</f>
        <v>1.0035000000000001E-2</v>
      </c>
      <c r="N14" s="10">
        <f>ABS(M14-J14)/J14</f>
        <v>0.10231763632653222</v>
      </c>
    </row>
    <row r="15" spans="2:14" x14ac:dyDescent="0.2">
      <c r="B15" s="2" t="s">
        <v>7</v>
      </c>
      <c r="C15">
        <v>0.44699899999999998</v>
      </c>
      <c r="D15">
        <f>0.134/2</f>
        <v>6.7000000000000004E-2</v>
      </c>
      <c r="E15">
        <f t="shared" ref="E15:E16" si="1">0.0506/2</f>
        <v>2.53E-2</v>
      </c>
      <c r="F15">
        <f t="shared" ref="F15:F16" si="2">(C15/2) * (D15^2 + E15^2)</f>
        <v>1.1463490504550003E-3</v>
      </c>
      <c r="G15">
        <f t="shared" ref="G15:G19" si="3">C15* $D$9^2</f>
        <v>4.4699900000000009E-3</v>
      </c>
      <c r="H15">
        <f t="shared" ref="H15:H19" si="4">C15* $D$10^2</f>
        <v>1.0057477499999998E-2</v>
      </c>
      <c r="I15" s="9">
        <f t="shared" ref="I15:I16" si="5">G15+F15</f>
        <v>5.616339050455001E-3</v>
      </c>
      <c r="J15" s="9">
        <f t="shared" ref="J15:J16" si="6">H15+F15</f>
        <v>1.1203826550454999E-2</v>
      </c>
      <c r="K15" s="8">
        <f t="shared" si="0"/>
        <v>4.4699900000000009E-3</v>
      </c>
      <c r="L15" s="10">
        <f t="shared" ref="L15:L19" si="7">ABS(K15-I15)/I15</f>
        <v>0.20410965936291364</v>
      </c>
      <c r="M15" s="8">
        <f t="shared" ref="M15:M19" si="8">C15*$D$10^2</f>
        <v>1.0057477499999998E-2</v>
      </c>
      <c r="N15" s="10">
        <f t="shared" ref="N15:N19" si="9">ABS(M15-J15)/J15</f>
        <v>0.10231763632653225</v>
      </c>
    </row>
    <row r="16" spans="2:14" x14ac:dyDescent="0.2">
      <c r="B16" s="2" t="s">
        <v>8</v>
      </c>
      <c r="C16">
        <v>0.21817792999999999</v>
      </c>
      <c r="D16">
        <f>0.1274/2</f>
        <v>6.3700000000000007E-2</v>
      </c>
      <c r="E16">
        <f t="shared" si="1"/>
        <v>2.53E-2</v>
      </c>
      <c r="F16">
        <f t="shared" si="2"/>
        <v>5.1247595799770013E-4</v>
      </c>
      <c r="G16">
        <f t="shared" si="3"/>
        <v>2.1817793000000005E-3</v>
      </c>
      <c r="H16">
        <f t="shared" si="4"/>
        <v>4.9090034249999999E-3</v>
      </c>
      <c r="I16" s="9">
        <f t="shared" si="5"/>
        <v>2.6942552579977009E-3</v>
      </c>
      <c r="J16" s="9">
        <f t="shared" si="6"/>
        <v>5.4214793829977003E-3</v>
      </c>
      <c r="K16" s="8">
        <f t="shared" si="0"/>
        <v>2.1817793000000005E-3</v>
      </c>
      <c r="L16" s="10">
        <f t="shared" si="7"/>
        <v>0.19021061812033316</v>
      </c>
      <c r="M16" s="8">
        <f t="shared" si="8"/>
        <v>4.9090034249999999E-3</v>
      </c>
      <c r="N16" s="10">
        <f t="shared" si="9"/>
        <v>9.4526958749465331E-2</v>
      </c>
    </row>
    <row r="17" spans="2:14" x14ac:dyDescent="0.2">
      <c r="B17" s="2" t="s">
        <v>36</v>
      </c>
      <c r="C17">
        <v>5.7000000000000002E-2</v>
      </c>
      <c r="D17">
        <v>1.9E-2</v>
      </c>
      <c r="F17">
        <f>(C17/2) * D17^2</f>
        <v>1.02885E-5</v>
      </c>
      <c r="G17">
        <f t="shared" si="3"/>
        <v>5.7000000000000009E-4</v>
      </c>
      <c r="H17">
        <f t="shared" si="4"/>
        <v>1.2825E-3</v>
      </c>
      <c r="I17" s="9">
        <f>G17+F17</f>
        <v>5.8028850000000005E-4</v>
      </c>
      <c r="J17" s="9">
        <f>H17+F17</f>
        <v>1.2927885E-3</v>
      </c>
      <c r="K17" s="8">
        <f t="shared" si="0"/>
        <v>5.7000000000000009E-4</v>
      </c>
      <c r="L17" s="10">
        <f>ABS(K17-I17)/I17</f>
        <v>1.7729973969844243E-2</v>
      </c>
      <c r="M17" s="8">
        <f t="shared" si="8"/>
        <v>1.2825E-3</v>
      </c>
      <c r="N17" s="10">
        <f t="shared" si="9"/>
        <v>7.9583783426291008E-3</v>
      </c>
    </row>
    <row r="18" spans="2:14" x14ac:dyDescent="0.2">
      <c r="B18" s="2" t="s">
        <v>9</v>
      </c>
      <c r="C18">
        <v>1.9E-2</v>
      </c>
      <c r="D18" s="1">
        <v>7.0800000000000002E-2</v>
      </c>
      <c r="E18">
        <v>5.0599999999999999E-2</v>
      </c>
      <c r="F18">
        <f>(C18/2) * (D18^2 + E18^2)</f>
        <v>7.1943499999999993E-5</v>
      </c>
      <c r="G18">
        <f t="shared" si="3"/>
        <v>1.9000000000000004E-4</v>
      </c>
      <c r="H18">
        <f t="shared" si="4"/>
        <v>4.2749999999999998E-4</v>
      </c>
      <c r="I18" s="9">
        <f>G18+F18</f>
        <v>2.619435E-4</v>
      </c>
      <c r="J18" s="9">
        <f>H18+F18</f>
        <v>4.9944349999999998E-4</v>
      </c>
      <c r="K18" s="8">
        <f t="shared" si="0"/>
        <v>1.9000000000000004E-4</v>
      </c>
      <c r="L18" s="10">
        <f t="shared" si="7"/>
        <v>0.27465273999927453</v>
      </c>
      <c r="M18" s="8">
        <f t="shared" si="8"/>
        <v>4.2749999999999998E-4</v>
      </c>
      <c r="N18" s="10">
        <f t="shared" si="9"/>
        <v>0.14404732467236034</v>
      </c>
    </row>
    <row r="19" spans="2:14" x14ac:dyDescent="0.2">
      <c r="B19" s="2" t="s">
        <v>10</v>
      </c>
      <c r="C19">
        <v>3.2000000000000001E-2</v>
      </c>
      <c r="D19" s="1">
        <v>7.0800000000000002E-2</v>
      </c>
      <c r="E19">
        <v>5.0599999999999999E-2</v>
      </c>
      <c r="F19">
        <f>(C19/2) * (D19^2 + E19^2)</f>
        <v>1.21168E-4</v>
      </c>
      <c r="G19">
        <f t="shared" si="3"/>
        <v>3.2000000000000008E-4</v>
      </c>
      <c r="H19">
        <f t="shared" si="4"/>
        <v>7.1999999999999994E-4</v>
      </c>
      <c r="I19" s="9">
        <f>G19+F19</f>
        <v>4.4116800000000008E-4</v>
      </c>
      <c r="J19" s="9">
        <f>H19+F19</f>
        <v>8.4116799999999999E-4</v>
      </c>
      <c r="K19" s="8">
        <f t="shared" si="0"/>
        <v>3.2000000000000008E-4</v>
      </c>
      <c r="L19" s="10">
        <f t="shared" si="7"/>
        <v>0.27465273999927459</v>
      </c>
      <c r="M19" s="8">
        <f t="shared" si="8"/>
        <v>7.1999999999999994E-4</v>
      </c>
      <c r="N19" s="10">
        <f t="shared" si="9"/>
        <v>0.14404732467236039</v>
      </c>
    </row>
    <row r="22" spans="2:14" ht="19" x14ac:dyDescent="0.25">
      <c r="B22" s="4" t="s">
        <v>15</v>
      </c>
      <c r="C22" s="3" t="s">
        <v>24</v>
      </c>
      <c r="D22" s="3" t="s">
        <v>25</v>
      </c>
      <c r="E22" s="3" t="s">
        <v>37</v>
      </c>
      <c r="F22" s="3" t="s">
        <v>38</v>
      </c>
    </row>
    <row r="24" spans="2:14" x14ac:dyDescent="0.2">
      <c r="B24" s="2" t="s">
        <v>18</v>
      </c>
      <c r="C24">
        <f>I14+I17+I19+E9</f>
        <v>6.7452435700000018E-3</v>
      </c>
      <c r="D24">
        <f>((C14+C17+C19) + ($C$9/2) )*$C$6*$D$9</f>
        <v>-0.54221428800000004</v>
      </c>
      <c r="E24">
        <f>C14+C17+C19</f>
        <v>0.53500000000000003</v>
      </c>
      <c r="F24">
        <f>E24+$C$9</f>
        <v>0.57100000000000006</v>
      </c>
    </row>
    <row r="25" spans="2:14" x14ac:dyDescent="0.2">
      <c r="B25" s="2" t="s">
        <v>19</v>
      </c>
      <c r="C25">
        <f>I14+I15+I17+I18+E9</f>
        <v>1.2182358120455003E-2</v>
      </c>
      <c r="D25">
        <f>((C14+C15+C17+C18) + ($C$9/2)) *$C$6*$D$9</f>
        <v>-0.96774857150399995</v>
      </c>
      <c r="E25">
        <f>C14+C15+C17+C18</f>
        <v>0.96899900000000005</v>
      </c>
      <c r="F25">
        <f t="shared" ref="F25:F27" si="10">E25+$C$9</f>
        <v>1.004999</v>
      </c>
    </row>
    <row r="26" spans="2:14" x14ac:dyDescent="0.2">
      <c r="B26" s="2" t="s">
        <v>16</v>
      </c>
      <c r="C26">
        <f>I14+I15+I16+I17+E9</f>
        <v>1.4614669878452703E-2</v>
      </c>
      <c r="D26">
        <f>((C14+C15+C16+C17) + ($C$9/2)) *$C$6*$D$9</f>
        <v>-1.1630417351572799</v>
      </c>
      <c r="E26">
        <f>C14+C15+C16+C17</f>
        <v>1.16817693</v>
      </c>
      <c r="F26">
        <f t="shared" si="10"/>
        <v>1.20417693</v>
      </c>
    </row>
    <row r="27" spans="2:14" x14ac:dyDescent="0.2">
      <c r="B27" s="2" t="s">
        <v>17</v>
      </c>
      <c r="C27">
        <f>I15+I16+I17+I18+E9</f>
        <v>9.2728263084527023E-3</v>
      </c>
      <c r="D27">
        <f>((C15+C16+C17+C18) + ($C$9/2)) *$C$6*$D$9</f>
        <v>-0.74436994315728011</v>
      </c>
      <c r="E27">
        <f>C15+C16+C17+C18</f>
        <v>0.74117693000000007</v>
      </c>
      <c r="F27">
        <f t="shared" si="10"/>
        <v>0.7771769300000001</v>
      </c>
    </row>
    <row r="29" spans="2:14" x14ac:dyDescent="0.2">
      <c r="B29" s="2" t="s">
        <v>20</v>
      </c>
      <c r="C29">
        <f>J14+J17+J19+E10</f>
        <v>1.3687743570000001E-2</v>
      </c>
      <c r="D29">
        <f>((C14+C17+C19) + ($C$10/2)) *$C$6*$D$10</f>
        <v>-0.82361664000000001</v>
      </c>
      <c r="E29">
        <f>C14+C17+C19</f>
        <v>0.53500000000000003</v>
      </c>
      <c r="F29">
        <f>E29+$C$10</f>
        <v>0.58500000000000008</v>
      </c>
    </row>
    <row r="30" spans="2:14" x14ac:dyDescent="0.2">
      <c r="B30" s="2" t="s">
        <v>21</v>
      </c>
      <c r="C30">
        <f>J14+J15+J17+J18+E10</f>
        <v>2.4549845620455001E-2</v>
      </c>
      <c r="D30">
        <f>((C14+C15+C17+C18) + ($C$10/2)) *$C$6*$D$10</f>
        <v>-1.461918065256</v>
      </c>
      <c r="E30">
        <f>C14+C15+C17+C18</f>
        <v>0.96899900000000005</v>
      </c>
      <c r="F30">
        <f t="shared" ref="F30:F32" si="11">E30+$C$10</f>
        <v>1.018999</v>
      </c>
    </row>
    <row r="31" spans="2:14" x14ac:dyDescent="0.2">
      <c r="B31" s="2" t="s">
        <v>22</v>
      </c>
      <c r="C31">
        <f>J14+J15+J16+J17+E10</f>
        <v>2.9471881503452702E-2</v>
      </c>
      <c r="D31">
        <f>((C14+C15+C16+C17) + ($C$10/2)) *$C$6*$D$10</f>
        <v>-1.7548578107359198</v>
      </c>
      <c r="E31">
        <f>C14+C15+C16+C17</f>
        <v>1.16817693</v>
      </c>
      <c r="F31">
        <f t="shared" si="11"/>
        <v>1.21817693</v>
      </c>
    </row>
    <row r="32" spans="2:14" x14ac:dyDescent="0.2">
      <c r="B32" s="2" t="s">
        <v>23</v>
      </c>
      <c r="C32">
        <f>J15+J16+J17+J18+E10</f>
        <v>1.8792537933452699E-2</v>
      </c>
      <c r="D32">
        <f>((C15+C16+C17+C18) + ($C$10/2)) *$C$6*$D$10</f>
        <v>-1.12685012273592</v>
      </c>
      <c r="E32">
        <f>C15+C16+C17+C18</f>
        <v>0.74117693000000007</v>
      </c>
      <c r="F32">
        <f t="shared" si="11"/>
        <v>0.79117693000000011</v>
      </c>
    </row>
    <row r="38" spans="7:7" x14ac:dyDescent="0.2">
      <c r="G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Carlson</dc:creator>
  <cp:lastModifiedBy>Scott Carlson</cp:lastModifiedBy>
  <dcterms:created xsi:type="dcterms:W3CDTF">2025-03-25T00:49:42Z</dcterms:created>
  <dcterms:modified xsi:type="dcterms:W3CDTF">2025-03-28T05:14:01Z</dcterms:modified>
</cp:coreProperties>
</file>