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R\KSE\ULEAD Decentralization\"/>
    </mc:Choice>
  </mc:AlternateContent>
  <xr:revisionPtr revIDLastSave="0" documentId="13_ncr:1_{16AF6040-340B-48B0-9463-7127113CD095}" xr6:coauthVersionLast="47" xr6:coauthVersionMax="47" xr10:uidLastSave="{00000000-0000-0000-0000-000000000000}"/>
  <bookViews>
    <workbookView xWindow="-110" yWindow="-110" windowWidth="19420" windowHeight="10420" activeTab="3" xr2:uid="{00000000-000D-0000-FFFF-FFFF00000000}"/>
  </bookViews>
  <sheets>
    <sheet name="hromadas" sheetId="1" r:id="rId1"/>
    <sheet name="Youth_councils" sheetId="2" r:id="rId2"/>
    <sheet name="Youth_centers" sheetId="3" r:id="rId3"/>
    <sheet name="Entrepreneurs_support" sheetId="4" r:id="rId4"/>
    <sheet name="райони (телеграми)" sheetId="5" r:id="rId5"/>
    <sheet name="draft" sheetId="6" r:id="rId6"/>
    <sheet name="parsed" sheetId="7" r:id="rId7"/>
  </sheets>
  <definedNames>
    <definedName name="_xlnm._FilterDatabase" localSheetId="3" hidden="1">Entrepreneurs_support!$A$1:$H$1009</definedName>
    <definedName name="_xlnm._FilterDatabase" localSheetId="2" hidden="1">Youth_centers!$A$1:$M$325</definedName>
    <definedName name="_xlnm._FilterDatabase" localSheetId="1" hidden="1">Youth_councils!$C$1:$O$119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38" i="1" l="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alcChain>
</file>

<file path=xl/sharedStrings.xml><?xml version="1.0" encoding="utf-8"?>
<sst xmlns="http://schemas.openxmlformats.org/spreadsheetml/2006/main" count="28064" uniqueCount="8066">
  <si>
    <t xml:space="preserve">Телеграм </t>
  </si>
  <si>
    <t>Область</t>
  </si>
  <si>
    <t>Район</t>
  </si>
  <si>
    <t>Назва</t>
  </si>
  <si>
    <t>КОАТУУ ради адмінцентру</t>
  </si>
  <si>
    <t>Категорія</t>
  </si>
  <si>
    <t>Кількість населених пунктів</t>
  </si>
  <si>
    <t>Площа</t>
  </si>
  <si>
    <t>Населення</t>
  </si>
  <si>
    <t>Створена</t>
  </si>
  <si>
    <t>Кількість рад у 2020 році</t>
  </si>
  <si>
    <t>Перелік всіх рад у 2020 році</t>
  </si>
  <si>
    <t>Кількість рад при створенні</t>
  </si>
  <si>
    <t>Перелік рад при створенні</t>
  </si>
  <si>
    <t>Добровільні приєднання</t>
  </si>
  <si>
    <t>Приєднання КМУ</t>
  </si>
  <si>
    <t>Назва громади чиста</t>
  </si>
  <si>
    <t>Вінницька область</t>
  </si>
  <si>
    <t>Вінницький район</t>
  </si>
  <si>
    <t>Іллінецька територіальна громада</t>
  </si>
  <si>
    <t>міська</t>
  </si>
  <si>
    <t>28.08.2016</t>
  </si>
  <si>
    <t>Іллінецька міська рада, Іллінецька сільська рада, Бабинська сільська рада, Василівська сільська рада, Жаданівська сільська рада, Жорницька сільська рада, Красненьківська сільська рада, Павлівська сільська рада, Паріївська сільська рада, Слободищенська сільська рада, Тягунська сільська рада, Хрінівська сільська рада, Якубівська сільська рада</t>
  </si>
  <si>
    <t>Іллінецька міська, Василівська, Жаданівська, Жорницька, Красненьківська, Павлівська, Хрінівська, Якубівська</t>
  </si>
  <si>
    <t>Тягунська сільська рада - 22.06.2017
Паріївська сільська рада - 01.03.2018</t>
  </si>
  <si>
    <t>Бабинська
Іллінецька сільська</t>
  </si>
  <si>
    <t>https://t.me/gromadaorgua_bot?start=select_gromada_103138</t>
  </si>
  <si>
    <t>Агрономічна територіальна громада</t>
  </si>
  <si>
    <t>сільська</t>
  </si>
  <si>
    <t>25.10.2020</t>
  </si>
  <si>
    <t>Агрономічна сільська рада, Ільківська сільська рада, Бохоницька сільська рада, Медвежо-Вушківська сільська рада</t>
  </si>
  <si>
    <t>Вороновицька територіальна громада</t>
  </si>
  <si>
    <t>селищна</t>
  </si>
  <si>
    <t>18.12.2016</t>
  </si>
  <si>
    <t>Вороновицька селищна рада, Гуменська сільська рада, Жабелівська сільська рада, Комарівська сільська рада, Оленівська сільська рада, Побережненська сільська рада, Степанівська сільська рада, Воловодівська сільська рада, Обідненська сільська рада, Довгополівська сільська рада, Марківська сільська рада, Тростянецька сільська рада, Шендерівська сільська рада</t>
  </si>
  <si>
    <t>https://t.me/vmroficial</t>
  </si>
  <si>
    <t>Вінницька територіальна громада</t>
  </si>
  <si>
    <t>Вінницька міська рада, Деснянська селищна рада, Великокрушлинецька сільська рада, Вінницько-Хутірська сільська рада, Гавришівська сільська рада, Малокрушлинецька сільська рада, Писарівська сільська рада, Стадницька сільська рада</t>
  </si>
  <si>
    <t>Гніванська територіальна громада</t>
  </si>
  <si>
    <t>29.10.2017</t>
  </si>
  <si>
    <t>Гніванська міська рада, Ворошилівська сільська рада, Селищенська сільська рада, Демидівська сільська рада, Потоківська сільська рада</t>
  </si>
  <si>
    <t>Липовецька територіальна громада</t>
  </si>
  <si>
    <t>Липовецька міська рада, Іваньківська сільська рада, Богданівська сільська рада, Вербівська сільська рада, Війтовецька сільська рада, Зозівська сільська рада, Зозівківська сільська рада, Лозуватська сільська рада, Лукашівська сільська рада, Нападівська сільська рада, Попівська сільська рада, Росошанська сільська рада, Скитківська сільська рада, Славнянська сільська рада, Струтинська сільська рада, Трощанська сільська рада, Щасливська сільська рада, Очитківська сільська рада</t>
  </si>
  <si>
    <t>Лука-Мелешківська територіальна громада</t>
  </si>
  <si>
    <t>Луко-Мелешківська сільська рада, Іванівська сільська рада, Парпуровецька сільська рада, Сокиринецька сільська рада, Хижинецька сільська рада, Пилявська сільська рада, Яришівська сільська рада</t>
  </si>
  <si>
    <t>Літинська територіальна громада</t>
  </si>
  <si>
    <t>30.06.2019</t>
  </si>
  <si>
    <t>Літинська селищна рада, Івчанська сільська рада, Багриновецька сільська  рада, Бруслинівська сільська рада, Бірківська сільська рада, Горбовецька сільська рада, Громадська сільська рада, Дяковецька сільська рада, Кулизька сільська рада, Літинецька сільська рада, Малинівська сільська рада, Осолинська сільська рада, Селищенська сільська рада, Соснівська сільська рада</t>
  </si>
  <si>
    <t>Немирівська територіальна громада</t>
  </si>
  <si>
    <t>Немирівська міська рада, Байраківська сільська рада, Боблівська сільська рада, Бондурівська сільська рада, Великобушинська сільська рада, Воробіївська сільська рада, Головеньківська сільська рада, Зарудинецька сільська рада, Ковалівська сільська рада, Криковецька сільська рада, Кудлаївська сільська рада, Медвежанська сільська рада, Муховецька сільська рада, Никифоровецька сільська рада, Кіровська сільська рада, Рубанська сільська рада, Сокілецька сільська рада, Сподахівська сільська рада, Стрільчинецька сільська рада, Чуківська сільська рада, Язвинківська сільська рада</t>
  </si>
  <si>
    <t>Оратівська територіальна громада</t>
  </si>
  <si>
    <t>Оратівська селищна рада, Балабанівська сільська рада, Великоростівська сільська рада, Животівська сільська рада, Зарудянська сільська рада, Кожанська сільська рада, Кошланівська сільська рада, Лопатинська сільська рада, Медівська сільська рада, Новоживотівська сільська рада, Оратівська сільська рада, Осичнянська сільська рада, Підвисоцька сільська рада, Рожичнянська сільська рада, Сабарівська сільська рада, Скальська сільська рада, Скоморошківська сільська рада, Сологубівська сільська рада, Стрижаківська сільська рада, Угарівська сільська рада, Фронтівська сільська рада, Чагівська сільська рада, Чернявська сільська рада, Човновицька сільська рада, Юшківецька сільська рада, Яблуновицька сільська рада, Якимівська сільська рада</t>
  </si>
  <si>
    <t>Погребищенська територіальна громада</t>
  </si>
  <si>
    <t>Погребищенська міська рада, Адамівська сільська рада, Андрушівська сільська рада, Бабинецька сільська рада, Борщагівська сільська рада, Білашківська сільська рада, Гопчицька сільська рада, Дзюньківська сільська рада, Довгалівська сільська рада, Збаржівська сільська рада, Левківська сільська рада, Мончинська сільська рада, Морозівська сільська рада, Надроссянська сільська рада, Новофастівська сільська рада, Очеретнянська сільська рада, Павлівська сільська рада, Педосівська сільська рада, Плисківська сільська рада, Розкопанська сільська рада, Саражинецька сільська рада, Сніжнянська сільська рада, Спичинецька сільська рада, Станилівська сільська рада, Старостинецька сільська рада, Черемошненська сільська рада, Ширмівська сільська рада</t>
  </si>
  <si>
    <t>Стрижавська територіальна громада</t>
  </si>
  <si>
    <t>Стрижавська селищна рада, Дорожненська сільська рада, Лаврівська сільська рада, Мізяківсько-Хутірська сільська рада, Сосонська сільська рада, Пеньківська сільська рада</t>
  </si>
  <si>
    <t>Сутисківська територіальна громада</t>
  </si>
  <si>
    <t>Сутисківська селищна рада, Шершнівська сільська рада</t>
  </si>
  <si>
    <t>Тиврівська територіальна громада</t>
  </si>
  <si>
    <t>Тиврівська селищна рада, Іванковецька сільська рада, Василівська сільська рада, Гришовецька сільська рада, Дзвониська сільська рада, Жахнівська сільська рада, Колюхівська сільська рада, Новоміська сільська рада, Краснянська сільська рада, Рахно-Полівська сільська рада, Строїнецька сільська рада, Уяринецька сільська рада, Черемошненська сільська рада</t>
  </si>
  <si>
    <t>Турбівська територіальна громада</t>
  </si>
  <si>
    <t>Турбівська селищна рада, Брицька сільська рада, Білянська сільська рада, Вахнівська сільська рада, Козинецька сільська рада, Костянтинівська сільська рада, Новоприлуцька сільська рада, Приборівська сільська рада, Сиваковецька сільська рада, Староприлуцька сільська рада</t>
  </si>
  <si>
    <t>Якушинецька територіальна громада</t>
  </si>
  <si>
    <t>30.04.2017</t>
  </si>
  <si>
    <t>Якушинецька сільська рада, Ксаверівська сільська рада, Майданська сільська рада, Некрасовська сільська рада, Пултівецька сільська рада, Широкогребельська сільська рада, Дашковецька сільська рада, Микулинецька сільська рада</t>
  </si>
  <si>
    <t>https://t.me/bershad_sos</t>
  </si>
  <si>
    <t>Гайсинський район</t>
  </si>
  <si>
    <t>Бершадська територіальна громада</t>
  </si>
  <si>
    <t>Бершадська міська рада, Баланівська сільська рада, Бирлівська сільська рада, Великокиріївська сільська рада, Війтівська сільська рада, Голдашівська сільська рада, Кидрасівська сільська рада, Кошаринецька сільська рада, Красносільська сільська рада, Лісниченська сільська рада, Маньківська сільська рада, Михайлівська сільська рада, Осіївська сільська рада, П'ятківська сільська рада, Поташнянська сільська рада, Сумівська сільська рада, Устянська сільська рада, Флоринська сільська рада, Яланецька сільська рада</t>
  </si>
  <si>
    <t>Гайсинська територіальна громада</t>
  </si>
  <si>
    <t>Гайсинська міська рада, Бондурівська сільська рада, Бубнівська сільська рада, Губницька сільська рада, Гунчанська сільська рада, Жерденівська сільська рада, Зятковецька сільська рада, Карбівська сільська рада, Кунянська сільська рада, Кущинецька сільська рада, Кіблицька сільська рада, Ладижинсько-Хутірська сільська рада, Семиріцька сільська рада, Степаська сільська рада, Харпацька сільська рада, Чечелівська сільська рада, Ярмолинецька сільська рада</t>
  </si>
  <si>
    <t>Дашівська територіальна громада</t>
  </si>
  <si>
    <t>11.12.2016</t>
  </si>
  <si>
    <t>Дашівська селищна рада, Купчинецька сільська рада, Білківська сільська рада, Городоцька сільська рада, Кальницька сільська рада, Кантелинська сільська рада, Китайгородська сільська рада, Копіївська сільська рада, Криштопівська сільська рада, Леухівська сільська рада, Росоховатська сільська рада</t>
  </si>
  <si>
    <t>Джулинська територіальна громада</t>
  </si>
  <si>
    <t>Джулинська сільська рада, Дяківська сільська рада, М’якохідська сільська рада, Серебрійська сільська рада, Серединська сільська рада, Ставківська сільська рада, Тернівська сільська рада, Тирлівська сільська рада, Чернятська сільська рада, Шляхівська сільська рада</t>
  </si>
  <si>
    <t>Краснопільська територіальна громада</t>
  </si>
  <si>
    <t>Краснопільська сільська рада, Гранівська сільська рада, Грузька сільська рада, Митківська сільська рада, Михайлівська сільська рада, Нараївська сільська рада, Кивачівська сільська рада, Тополівська сільська рада</t>
  </si>
  <si>
    <t>Кунківська територіальна громада</t>
  </si>
  <si>
    <t>Кунківська сільська рада, Кузьминецька сільська рада, Мітлинецька сільська рада, Носовецька сільська рада</t>
  </si>
  <si>
    <t>Ладижинська територіальна громада</t>
  </si>
  <si>
    <t>Ладижинська міська рада, Заозерненська сільська рада</t>
  </si>
  <si>
    <t>Ободівська територіальна громада</t>
  </si>
  <si>
    <t>Ободівська сільська рада, Верхівська сільська рада, Новоободівська сільська рада, Торканівська сільська рада, Цибулівська сільська рада</t>
  </si>
  <si>
    <t>Ольгопільська територіальна громада</t>
  </si>
  <si>
    <t>Ольгопільська сільська рада, Берізко-Чечельницька сільська рада, Демівська сільська рада, Любомирська сільська рада, Стратіївська сільська рада</t>
  </si>
  <si>
    <t>Райгородська територіальна громада</t>
  </si>
  <si>
    <t>Райгородська сільська рада, Ситковецька селищна рада, Вищекропивнянська сільська рада, Джуринецька сільська рада, Коржівська сільська рада, Мельниківська сільська рада, Новообиходівська сільська рада, Ометинецька сільська рада, Семенська сільська рада, Юрковецька сільська рада</t>
  </si>
  <si>
    <t>Соболівська територіальна громада</t>
  </si>
  <si>
    <t>Соболівська сільська рада, Брідоцька сільська рада, Великомочульська сільська рада, Завадівська сільська рада, Метанівська сільська рада, Орлівська сільська рада, Петрашівська сільська рада, Побірська сільська рада, Шиманівська сільська рада</t>
  </si>
  <si>
    <t>Теплицька територіальна громада</t>
  </si>
  <si>
    <t>Теплицька селищна рада, Бджільнянська сільська рада, Веселівська сільська рада, Залузька сільська рада, Комарівська сільська рада, Костюківська сільська рада, Маломочульська сільська рада, Погорільська сільська рада, Пологівська сільська рада, Росошанська сільська рада, Сашанська сільська рада, Сокирянська сільська рада, Степанівська сільська рада, Стражгородська сільська рада, Удицька сільська рада</t>
  </si>
  <si>
    <t>Тростянецька територіальна громада</t>
  </si>
  <si>
    <t>29.04.2018</t>
  </si>
  <si>
    <t>Тростянецька селищна рада, Ілляшівська сільська рада, Будянська сільська рада, Глибочанська сільська рада, Гордіївська сільська рада, Демидівська сільська рада, Капустянська сільська рада, Летківська сільська рада, Олександрівська сільська рада, Оляницька сільська рада, Савинецька сільська рада, Тростянчицька сільська рада, Четвертинівська сільська рада</t>
  </si>
  <si>
    <t>Чечельницька територіальна громада</t>
  </si>
  <si>
    <t>Чечельницька селищна рада, Бондурівська сільська рада, Бритавська сільська рада, Білокамінська сільська рада, Вербська сільська рада, Каташинська сільська рада, Куренівська сільська рада, Орган місцевого самоврядування Лузька сільська рада, Поповогребельська сільська рада, Рогізківська сільська рада, Тартацька сільська рада</t>
  </si>
  <si>
    <t>https://t.me/potrebybarskamiskarada</t>
  </si>
  <si>
    <t>Жмеринський район</t>
  </si>
  <si>
    <t>Барська територіальна громада</t>
  </si>
  <si>
    <t>Барська міська рада, Івановецька сільська рада, Антонівська сільська рада, Балківська сільська рада, Войнашівська сільська рада, Гаївська сільська рада, Гармаківська сільська рада, Гулівська сільська рада, Журавлівська сільська рада, Комаровецька сільська рада, Кузьминецька сільська рада, Луко-Барська сільська рада, Мальчовецька сільська рада, Матейківська сільська рада, Мигалівецька сільська рада, Митківська сільська рада, Підлісноялтушківська сільська рада, Терешківська сільська рада, Ходацька сільська рада, Чемериська сільська рада, Ялтушківська сільська рада</t>
  </si>
  <si>
    <t>Джуринська територіальна громада</t>
  </si>
  <si>
    <t>Джуринська сільська рада, Голинчинецька сільська рада, Деребчинська сільська рада, Зведенівська сільська рада, Калитинська сільська рада, Садковецька сільська рада, Сапіжанська сільська рада, Хоменківська сільська рада</t>
  </si>
  <si>
    <t>Жмеринська територіальна громада</t>
  </si>
  <si>
    <t>Жмеринська міська рада, Браїлівська селищна рада, Біликовецька сільська рада, Дубівська сільська рада, Жуковецька сільська рада, Кармалюківська сільська рада, Коростівецька сільська рада, Куриловецька сільська рада, Леляцька сільська рада, Лисогірська сільська рада, Людавська сільська рада, Почапинецька сільська рада, Рівська сільська рада</t>
  </si>
  <si>
    <t>Копайгородська територіальна громада</t>
  </si>
  <si>
    <t>Копайгородська селищна рада, Верхівська сільська рада, Володієвецька сільська рада, Каришківська сільська рада, Лісівська сільська рада, Поповецька сільська рада, Супівська сільська рада</t>
  </si>
  <si>
    <t>Мурафська територіальна громада</t>
  </si>
  <si>
    <t>Мурафська сільська рада, Клекотинська сільська рада, Михайлівська сільська рада, Пеньківська сільська рада, Федорівська сільська рада, Юхимівська сільська рада</t>
  </si>
  <si>
    <t>Северинівська територіальна громада</t>
  </si>
  <si>
    <t>Северинівська сільська рада, Олександрівська сільська рада, Сербинівська сільська рада, Слободо-Межирівська сільська рада, Стодулецька сільська рада, Чернятинська сільська рада, Маньковецька сільська рада</t>
  </si>
  <si>
    <t>Станіславчицька територіальна громада</t>
  </si>
  <si>
    <t>Станіславчицька сільська рада, Кам’яногірська сільська рада, Кацмазівська сільська рада, Луко-Мовчанська сільська рада, Мовчанська сільська рада, Носковецька сільська рада, Тарасівська сільська рада, Телелинецька сільська рада, КОАТУУ: 0521083006)</t>
  </si>
  <si>
    <t>Шаргородська територіальна громада</t>
  </si>
  <si>
    <t>Шаргородська міська рада, Копистиринська сільська рада, Івашковецька сільська рада, Гибалівська сільська рада, Козлівська сільська рада, Конатковецька сільська рада, Лозівська сільська рада, Носиківська сільська рада, Пасинківська сільська рада, Перепільчинецька сільська рада, Писарівська сільська рада, Плебанівська сільська рада, Політанківська сільська рада, Руданська сільська рада, Слободо-Шаргородська сільська рада</t>
  </si>
  <si>
    <t>Могилів-Подільський район</t>
  </si>
  <si>
    <t>Бабчинецька територіальна громада</t>
  </si>
  <si>
    <t>Бабчинецька сільська рада, Вила-Ярузька сільська рада, Моївська сільська рада, Бандишівська сільська рада, Мервинецька сільська рада, КОАТУУ: 0525686602)</t>
  </si>
  <si>
    <t>Вендичанська територіальна громада</t>
  </si>
  <si>
    <t>Вендичанська селищна рада, Конівська сільська рада, Кричанівська сільська рада, Кукавська сільська рада, Серебринецька сільська рада, Слідянська сільська рада, Сугаківська сільська рада, Тропівська сільська рада, Лучинецька сільська рада, Лучинчицька сільська рада, Немерченська сільська рада, Плосківська сільська рада</t>
  </si>
  <si>
    <t>Могилів-Подільська територіальна громада</t>
  </si>
  <si>
    <t>Могилів-Подільська міська рада, Озаринецька сільська рада, Бронницька сільська рада, Грушанська сільська рада, Карпівська сільська рада, Немійська сільська рада, Пилипівська сільська рада, Серебрійська сільська рада, Сказинецька сільська рада, Суботівська сільська рада, Ярузька сільська рада</t>
  </si>
  <si>
    <t>Мурованокуриловецька територіальна громада</t>
  </si>
  <si>
    <t>Мурованокуриловецька селищна рада, Бахтинська сільська рада, Вербовецька сільська рада, Вищеольчедаївська сільська рада, Галайковецька сільська рада, Дерешівська сільська рада, Долинянська сільська рада, Жванська сільська рада, Конищівська сільська рада, Котюжанівська сільська рада, Курашовецька сільська рада, Михайловецька сільська рада, Морозівська сільська рада, Наддністрянська сільська рада, Обухівська сільська рада, Петриманська сільська рада, Попелюхівська сільська рада, Роздолівська сільська рада, Рівненська сільська рада, Снітківська сільська рада, Степанківська сільська рада</t>
  </si>
  <si>
    <t>Чернівецька територіальна громада</t>
  </si>
  <si>
    <t>Чернівецька селищна рада, Березівська сільська рада, Борівська сільська рада, Білянська сільська рада, Володіївецька сільська рада, Гонтівська сільська рада, Лозівська сільська рада, Мазурівська сільська рада, Саїнська сільська рада, Сокільська сільська рада, Шендерівська сільська рада</t>
  </si>
  <si>
    <t>https://t.me/yampmr</t>
  </si>
  <si>
    <t>Ямпільська територіальна громада</t>
  </si>
  <si>
    <t>Ямпільська міська рада, Безводнівська сільська рада, Бушанська сільська рада, Великокісницька сільська рада, Гальжбіївська сільська рада, Дзигівська сільська рада, Довжоцька сільська рада, Качківська сільська рада, Клембівська сільська рада, Михайлівська сільська рада, Петрашівська сільська рада, Писарівська сільська рада, Порогівська сільська рада, Ратуська сільська рада, Русавська сільська рада, Северинівська сільська рада, Слободо-Підлісівська сільська рада, Тростянецька сільська рада, Цекинівська сільська рада</t>
  </si>
  <si>
    <t>Яришівська територіальна громада</t>
  </si>
  <si>
    <t>Яришівська сільська рада, Бернашівська сільська рада, Жеребилівська сільська рада, Козлівська сільська рада, Кремінська сільська рада, Слобода-Яришівська сільська рада, Хоньковецька сільська рада, Юрковецька сільська рада</t>
  </si>
  <si>
    <t>Тульчинський район</t>
  </si>
  <si>
    <t>Брацлавська територіальна громада</t>
  </si>
  <si>
    <t>Брацлавська селищна рада, Бугаківська сільська рада, Вишковецька сільська рада, Вовчоцька сільська рада, Грабовецька сільська рада, Гриненківська сільська рада, Зяньковецька сільська рада, Марксівська сільська рада, Новоселівська сільська рада, Скрицька сільська рада</t>
  </si>
  <si>
    <t>Вапнярська територіальна громада</t>
  </si>
  <si>
    <t>Вапнярська селищна рада, Вербівська сільська рада, Височанська сільська рада, Колоденська сільська рада, Марківська сільська рада</t>
  </si>
  <si>
    <t>Городківська територіальна громада</t>
  </si>
  <si>
    <t>Городківська сільська рада, Андріяшівська сільська рада, Вербська сільська рада, Вільшанська сільська рада, Гарячківська сільська рада, Дахталійська сільська рада, Джугастрянська сільська рада, Кісницька сільська рада, Савчинська сільська рада</t>
  </si>
  <si>
    <t>Крижопільська територіальна громада</t>
  </si>
  <si>
    <t>Крижопільська селищна рада, Голубецька сільська рада, Жабокрицька сільська рада, Заболотненська сільська рада, Красносільська сільська рада, Крикливецька сільська рада, Куницька сільська рада, Павлівська сільська рада, Соколівська сільська рада, Тернівська сільська рада, Шарапанівська сільська рада</t>
  </si>
  <si>
    <t>Піщанська територіальна громада</t>
  </si>
  <si>
    <t>Піщанська селищна рада, Рудницька селищна рада, Городищенська сільська рада, Дмитрашківська сільська рада, Миролюбівська сільська рада, Рудницька сільська рада, Ставківська сільська рада, Чорноминська сільська рада, Яворівська сільська рада</t>
  </si>
  <si>
    <t>Студенянська територіальна громада</t>
  </si>
  <si>
    <t>25.10.2015</t>
  </si>
  <si>
    <t>Студенянська сільська рада, Грабарівська сільська рада, Болганська сільська рада, Гонорівська сільська рада, Кукулівська сільська рада, Трибусівська сільська рада</t>
  </si>
  <si>
    <t>Томашпільська територіальна громада</t>
  </si>
  <si>
    <t>Томашпільська селищна рада, Антонівська сільська рада, Великорусавська сільська рада, Вилянська сільська рада, Гнатківська сільська рада, Горишківська сільська рада, Жолоб’янська сільська рада, Кислицька сільська рада, Комаргородська сільська рада, Липівська сільська рада, Нетребівська сільська рада, Олександрівська сільська рада, Паланська сільська рада, Пеньківська сільська рада, Пилипи-Борівська сільська рада, Раківська сільська рада, Рожнятівська сільська рада, Стінянська сільська рада, Яланецька сільська рада</t>
  </si>
  <si>
    <t>Тульчинська територіальна громада</t>
  </si>
  <si>
    <t>Тульчинська міська рада, Кирнасівська селищна рада, Богданівська сільська рада, Бортницька сільська рада, Білоусівська сільська рада, Ганнопільська сільська рада, Дранська сільська рада, Журавлівська сільська рада, Зарічненська сільська рада, Кинашівська сільська рада, Клебанська сільська рада, Копіївська сільська рада, Крищинецька сільська рада, Михайлівська сільська рада, Суворовська сільська рада, Сільницька сільська рада, Тарасівська сільська рада, Тиманівська сільська рада, Холодівська сільська рада, Шуро-Копіївська сільська рада</t>
  </si>
  <si>
    <t>Шпиківська територіальна громада</t>
  </si>
  <si>
    <t>Шпиківська селищна рада, Левківська сільська рада, Печерська сільська рада, Торківська сільська рада, Юрківська сільська рада, Бушинська сільська рада, Великовулизька сільська рада, Маловулизька сільська рада, Слідянська сільська рада, Рахнівсько-Лісова сільська рада, Стрільницька сільська рада, Юліямпільська сільська рада</t>
  </si>
  <si>
    <t>Хмільницький район</t>
  </si>
  <si>
    <t>Іванівська територіальна громада</t>
  </si>
  <si>
    <t>Іванівська сільська рада, Байківська сільська рада, Гущинецька сільська рада, Жигалівська сільська рада, Пиківська сільська рада, Уладівська сільська рада</t>
  </si>
  <si>
    <t>Війтівецька територіальна громада</t>
  </si>
  <si>
    <t>Війтівецька сільська рада, Качанівська сільська рада, Мар’янівська сільська рада, Сулківська сільська рада, Терешпільська сільська рада</t>
  </si>
  <si>
    <t>Глуховецька територіальна громада</t>
  </si>
  <si>
    <t>Глуховецька селищна рада, Бродецька селищна рада, Білопільська сільська рада, Вернигородоцька сільська рада, Жежелівська сільська рада, Кашперівська сільська рада, Непедівська сільська рада, Пляхівська сільська рада, Пузирківська сільська рада</t>
  </si>
  <si>
    <t>Калинівська територіальна громада</t>
  </si>
  <si>
    <t>Калинівська міська рада, Бережанська сільська рада, Глинська сільська рада, Голубівська сільська рада, Дружелюбівська сільська рада, Дружненська сільська рада, Заливанщинська сільська рада, Корделівська сільська рада, Котюжинецька сільська рада, Лемешівська сільська рада, Люлинецька сільська рада, Лісоволисіївська сільська рада, Мирненська сільська рада, Мізяківська сільська рада, Нападівська сільська рада, Новогребельська сільська рада, Павлівська сільська рада, Писарівська сільська рада, Радівська сільська рада, Сальницька сільська рада, Уладівська сільська рада, Хомутинецька сільська рада, Черепашинецька сільська рада, Чернятинська сільська рада</t>
  </si>
  <si>
    <t>Козятинська територіальна громада</t>
  </si>
  <si>
    <t>Козятинська міська рада, Козятинська сільська рада, Кордишівська сільська рада, Махаринецька сільська рада, Пиковецька сільська рада, Сестринівська сільська рада, Сокілецька сільська рада, Флоріанівська сільська рада</t>
  </si>
  <si>
    <t>Махнівська територіальна громада</t>
  </si>
  <si>
    <t>22.12.2019</t>
  </si>
  <si>
    <t>Махнівська сільська рада, Безіменська сільська рада, Вовчинецька сільська рада, Куманівська сільська рада, Переможнянська сільська рада, Поличинецька сільська рада, Тернівська сільська рада, Юрівська сільська рада</t>
  </si>
  <si>
    <t>Самгородоцька територіальна громада</t>
  </si>
  <si>
    <t>Самгородоцька сільська рада, Збаразька сільська рада, Воскодавинецька сільська рада, Вівсяницька сільська рада, Дубовомахаринецька сільська рада, Журбинецька сільська рада, Зозулинецька сільська рада, Йосипівська сільська рада, Миколаївська сільська рада, Михайлинська сільська рада</t>
  </si>
  <si>
    <t>Уланівська територіальна громада</t>
  </si>
  <si>
    <t>Уланівська сільська рада, Великоострожоцька сільська рада, Вишеньківська сільська рада, Крижанівська сільська рада, Кропивнянська сільська рада, Лип'ятинська сільська рада, Лознянська сільська рада, Маркушівська сільська рада, Петриківська сільська рада, Пустовійтівська сільська рада, Рибчинецька сільська рада, Кустовецька сільська рада, Сальницька сільська рада, Скаржинецька сільська рада</t>
  </si>
  <si>
    <t>Хмільницька територіальна громада</t>
  </si>
  <si>
    <t>Хмільницька міська рада, Березнянська сільська рада, Великомитницька сільська рада, Голодьківська сільська рада, Кривошиївська сільська рада, Куманівецька сільська рада, Лелітська сільська рада, Лозівська сільська рада, Порицька сільська рада, Соколівська сільська рада, Сьомаківська сільська рада, Широкогребельська сільська рада, Журавненська сільська рада, Кожухівська сільська рада, Тесівська сільська рада, Шевченківська сільська рада</t>
  </si>
  <si>
    <t>Волинська область</t>
  </si>
  <si>
    <t>Володимир-Волинський район</t>
  </si>
  <si>
    <t>Іваничівська територіальна громада</t>
  </si>
  <si>
    <t>Іваничівська селищна рада, Мишівська сільська рада, Соснинська сільська рада</t>
  </si>
  <si>
    <t>Володимир-Волинська територіальна громада</t>
  </si>
  <si>
    <t>Володимир-Волинська міська рада, Зарічанська сільська рада, Ласківська сільська рада</t>
  </si>
  <si>
    <t>Затурцівська територіальна громада</t>
  </si>
  <si>
    <t>24.12.2017</t>
  </si>
  <si>
    <t>Затурцівська сільська рада, Війницька сільська рада, Зубильненська сільська рада, Кисилинська сільська рада, Озютичівська сільська рада, Холопичівська сільська рада, Шельвівська сільська рада</t>
  </si>
  <si>
    <t>Зимнівська територіальна громада</t>
  </si>
  <si>
    <t>Зимнівська сільська рада, Березовичівська сільська рада, Бубнівська сільська рада, Льотничівська сільська рада, Селецька сільська рада, Хмелівківська сільська рада, Хобултівська сільська рада</t>
  </si>
  <si>
    <t>Литовезька територіальна громада</t>
  </si>
  <si>
    <t>Литовезька сільська рада, Заболотцівська сільська рада, Заставненська сільська рада, Мовниківська сільська рада</t>
  </si>
  <si>
    <t>Локачинська територіальна громада</t>
  </si>
  <si>
    <t>Локачинська селищна рада, Бубнівська сільська рада, Білопільська сільська рада, Дорогиничівська сільська рада, Замличівська сільська рада, Заячицівська сільська рада, Козлівська сільська рада, Колпитівська сільська рада, Конюхівська сільська рада, Крухиничівська сільська рада, Марковичівська сільська рада, Привітненська сільська рада, Старозагорівська сільська рада</t>
  </si>
  <si>
    <t>Нововолинська територіальна громада</t>
  </si>
  <si>
    <t>Благодатна селищна рада, Нововолинська міська рада, Грибовицька сільська рада, Грядівська сільська рада</t>
  </si>
  <si>
    <t>Оваднівська територіальна громада</t>
  </si>
  <si>
    <t>Оваднівська сільська рада, Білинська сільська рада, Галинівська сільська рада, Красноставська сільська рада, Гайківська сільська рада, Овлочинська сільська рада</t>
  </si>
  <si>
    <t>Павлівська територіальна громада</t>
  </si>
  <si>
    <t>Павлівська сільська рада, Жашковичівська сільська рада, Завидівська сільська рада, Колонська сільська рада, Луковичівська сільська рада, Милятинська сільська рада, Переславичівська сільська рада, Радовичівська сільська рада, Риковичівська сільська рада, Старопорицька сільська рада, Топилищенська сільська рада</t>
  </si>
  <si>
    <t>Поромівська територіальна громада</t>
  </si>
  <si>
    <t>Поромівська сільська рада, Бужанківська сільська рада, Морозовичівська сільська рада, Старолішнянська сільська рада</t>
  </si>
  <si>
    <t>Устилузька територіальна громада</t>
  </si>
  <si>
    <t>Устилузька міська рада, Зорянська сільська рада, Лудинська сільська рада, Микитичівська сільська рада, П’ятиднівська сільська рада, Рогожанська сільська рада, Стенжаричівська сільська рада, Хотячівська сільська рада</t>
  </si>
  <si>
    <t>Камінь-Каширський район</t>
  </si>
  <si>
    <t>Камінь-Каширська територіальна громада</t>
  </si>
  <si>
    <t>Камінь-Каширська міська рада, Боровненська сільська рада, Броницька сільська рада, Бузаківська сільська рада, Великообзирська сільська рада, Верхівська сільська рада, Видертська сільська рада, Видричівська сільська рада, Ворокомлівська сільська рада, Воєгощанська сільська рада, Грудківська сільська рада, Гуто-Боровенська сільська рада, Добренська сільська рада, Клітицька сільська рада, Мельнико-Мостищенська сільська рада, Олениненська сільська рада, Осівцівська сільська рада, Пнівненська сільська рада, Полицівська сільська рада, Піщанська сільська рада, Раково-Ліська сільська рада, Хотешівська сільська рада, Черченська сільська рада, Великоглушанська сільська рада, Малоглушанська сільська рада, Щитинська сільська рада</t>
  </si>
  <si>
    <t>Любешівська територіальна громада</t>
  </si>
  <si>
    <t>Любешівська селищна рада, Березичівська сільська рада, Бихівська сільська рада, Бірківська сільська рада, Великокурінська сільська рада, Ветлівська сільська рада, Гірківська сільська рада, Деревківська сільська рада, Дольська сільська рада, Залаззівська сільська рада, Залізницька сільська рада, Зарудчівська сільська рада, Люб’язівська сільська рада, Любешівсько-Волянська сільська рада, Седлищенська сільська рада, Судченська сільська рада, Хоцунська сільська рада, Цирська сільська рада</t>
  </si>
  <si>
    <t>Маневицька територіальна громада</t>
  </si>
  <si>
    <t>Маневицька селищна рада, Будківська сільська рада, Великоведмезька сільська рада, Довжицька сільська рада, Комарівська сільська рада, Костюхнівська сільська рада, Куклинська сільська рада, Лісівська сільська рада, Новорудська сільська рада, Оконська сільська рада, Троянівська сільська рада, Цмінівська сільська рада, Старочорторийська сільська рада, Черевахівська сільська рада</t>
  </si>
  <si>
    <t>Прилісненська територіальна громада</t>
  </si>
  <si>
    <t>Прилісненська сільська рада, Галузійська сільська рада, Городоцька сільська рада, Карасинська сільська рада, Лишнівська сільська рада, Серхівська сільська рада, Новочервищанська сільська рада, Тоболівська сільська рада</t>
  </si>
  <si>
    <t>Сошичненська територіальна громада</t>
  </si>
  <si>
    <t>Сошичненська сільська рада, Заліська сільська рада, Карасинська сільська рада, Качинська сільська рада, Личинівська сільська рада, Нуйнівська сільська рада, Стобихівська сільська рада</t>
  </si>
  <si>
    <t>Ковельський район</t>
  </si>
  <si>
    <t>Велимченська територіальна громада</t>
  </si>
  <si>
    <t>Велимченська сільська рада, Датинська сільська рада</t>
  </si>
  <si>
    <t>Велицька територіальна громада</t>
  </si>
  <si>
    <t>Велицька сільська рада, Мельницька сільська рада, Підрізька сільська рада, Сільцівська сільська рада</t>
  </si>
  <si>
    <t>Вишнівська територіальна громада</t>
  </si>
  <si>
    <t>Вишнівська сільська рада, Ладинська сільська рада, Машівська сільська рада, Олеська сільська рада, Радехівська сільська рада, Римачівська сільська рада, Хворостівська сільська рада, Штунська сільська рада</t>
  </si>
  <si>
    <t>Голобська територіальна громада</t>
  </si>
  <si>
    <t>Голобська селищна рада, Майданська сільська рада, Новомосирська сільська рада, Поповичівська сільська рада, Радошинська сільська рада</t>
  </si>
  <si>
    <t>Головненська територіальна громада</t>
  </si>
  <si>
    <t>Головненська селищна рада, Заболоттівська сільська рада, Згоранська сільська рада, Нудиженська сільська рада</t>
  </si>
  <si>
    <t>Дубечненська територіальна громада</t>
  </si>
  <si>
    <t>Любохинівська сільська рада, Кримненська сільська рада, Глухівська сільська рада, Дубечненська сільська рада</t>
  </si>
  <si>
    <t>Дубівська територіальна громада</t>
  </si>
  <si>
    <t>Дубівська сільська рада, Городищенська сільська рада, Облапська сільська рада, Буцинська сільська рада, Секунська сільська рада</t>
  </si>
  <si>
    <t>Заболоттівська територіальна громада</t>
  </si>
  <si>
    <t>Заболоттівська селищна рада, Гутянська сільська рада, Заліська сільська рада, Турська сільська рада</t>
  </si>
  <si>
    <t>Забродівська територіальна громада</t>
  </si>
  <si>
    <t>Забродівська сільська рада, Щедрогірська сільська рада, Річицька сільська рада, Замшанівська сільська рада, Видраницька сільська рада, Поступельська сільська рада</t>
  </si>
  <si>
    <t>Ковельська територіальна громада</t>
  </si>
  <si>
    <t>Ковельська міська рада, Білинська сільська рада, Доротищенська сільська рада, Зеленська сільська рада, Тойкутська сільська рада, Ружинська сільська рада</t>
  </si>
  <si>
    <t>Колодяжненська територіальна громада</t>
  </si>
  <si>
    <t>Колодяжненська сільська рада, Білашівська сільська рада, Дрозднівська сільська рада, Кричевичівська сільська рада, Любитівська сільська рада, Скулинська сільська рада, Уховецька сільська рада</t>
  </si>
  <si>
    <t>Луківська територіальна громада</t>
  </si>
  <si>
    <t>Луківська селищна рада, Миляновичівська сільська рада, Новосілківська сільська рада, Соминська сільська рада</t>
  </si>
  <si>
    <t>Люблинецька територіальна громада</t>
  </si>
  <si>
    <t>Люблинецька селищна рада, Мощенська сільська рада, Старокошарівська сільська рада</t>
  </si>
  <si>
    <t>Любомльська територіальна громада</t>
  </si>
  <si>
    <t>Любомльська міська рада, Бірківська сільська рада, Запільська сільська рада, Куснищанська сільська рада, Почапівська сільська рада, Підгородненська сільська рада</t>
  </si>
  <si>
    <t>Поворська територіальна громада</t>
  </si>
  <si>
    <t>Ситовичівська сільська рада, Пісочненська сільська рада, Козлиничівська сільська рада, Поворська сільська рада</t>
  </si>
  <si>
    <t>Ратнівська територіальна громада</t>
  </si>
  <si>
    <t>Ратнівська селищна рада, Височненська сільська рада, Гірниківська сільська рада, Жиричівська сільська рада, Здомишельська сільська рада, Кортеліська сільська рада, Млинівська сільська рада, Прохідська сільська рада</t>
  </si>
  <si>
    <t>Рівненська територіальна громада</t>
  </si>
  <si>
    <t>Рівненська сільська рада, Гущанська сільська рада, Забузька сільська рада, Полапівська сільська рада, Столинсько-Смолярська сільська рада</t>
  </si>
  <si>
    <t>Самарівська територіальна громада</t>
  </si>
  <si>
    <t>Самарівська сільська рада, Самари-Оріхівська сільська рада, Залухівська сільська рада, Межиситівська сільська рада</t>
  </si>
  <si>
    <t>Сереховичівська територіальна громада</t>
  </si>
  <si>
    <t>Сереховичівська сільська рада, Солов’ївська сільська рада, Синівська сільська рада, Соколищенська сільська рада</t>
  </si>
  <si>
    <t>Смідинська територіальна громада</t>
  </si>
  <si>
    <t>Смідинська сільська рада, Журавлинська сільська рада, Руднянська сільська рада, Зачернецька сільська рада</t>
  </si>
  <si>
    <t>Старовижівська територіальна громада</t>
  </si>
  <si>
    <t>23.12.2018</t>
  </si>
  <si>
    <t>Старовижівська селищна рада, Галиновільська сільська рада, Мизівська сільська рада, Нововижвівська сільська рада, Поліська сільська рада, Седлищенська сільська рада, Старогутівська сільська рада</t>
  </si>
  <si>
    <t>Турійська територіальна громада</t>
  </si>
  <si>
    <t>Турійська селищна рада, Боблівська сільська рада, Дольська сільська рада, Дулібівська сільська рада, Клюська сільська рада, Кульчинська сільська рада, Купичівська сільська рада, Маковичівська сільська рада, Мокрецька сільська рада, Новодвірська сільська рада, Озерянська сільська рада, Перевалівська сільська рада, Селецька сільська рада, Соловичівська сільська рада, Туличівська сільська рада</t>
  </si>
  <si>
    <t>Шацька територіальна громада</t>
  </si>
  <si>
    <t>27.03.2016</t>
  </si>
  <si>
    <t>Ростанська сільська рада, Самійличівська сільська рада, Світязька сільська рада, Пульмівська сільська рада, Пулемецька сільська рада, Грабівська сільська рада, Піщанська сільська рада, Прип’ятська сільська рада, Шацька селищна рада</t>
  </si>
  <si>
    <t>Луцький район</t>
  </si>
  <si>
    <t>Берестечківська територіальна громада</t>
  </si>
  <si>
    <t>Берестечківська міська рада, Горішненська сільська рада, Лобачівська сільська рада, Мервинська сільська рада, Перемильська сільська рада, Пісківська сільська рада, Смолявська сільська рада</t>
  </si>
  <si>
    <t>Боратинська територіальна громада</t>
  </si>
  <si>
    <t>Боратинська сільська рада, Баківцівська сільська рада, Баївська сільська рада, Гіркополонківська сільська рада, Коршівська сільська рада, Лаврівська сільська рада, Промінська сільська рада, Радомишльська сільська рада, Ратнівська сільська рада</t>
  </si>
  <si>
    <t>Городищенська територіальна громада</t>
  </si>
  <si>
    <t>Городищенська сільська рада, Сенкевичівська селищна рада, Несвічівська сільська рада, Чаруківська сільська рада, Бережанківська сільська рада, Губинська Перша сільська рада, Жабченська сільська рада, Колодеженська сільська рада, Михлинська сільська рада, Угринівська сільська рада, Шклинська сільська рада</t>
  </si>
  <si>
    <t>Горохівська територіальна громада</t>
  </si>
  <si>
    <t>Горохівська міська рада, Ватинська сільська рада, Вільхівська сільська рада, Журавниківська сільська рада, Звиняченська сільська рада, Квасівська сільська рада, Лемешівська сільська рада, Мирківська сільська рада, Мирненська сільська рада, Новосілківська сільська рада, Печихвостівська сільська рада, Пустомитівська сільська рада, Підберезівська сільська рада, Пірванченська сільська рада, Рачинська сільська рада, Скобелківська сільська рада, Терешківцівська сільська рада, Холонівська сільська рада</t>
  </si>
  <si>
    <t>Доросинівська територіальна громада</t>
  </si>
  <si>
    <t>Доросинівська сільська рада, Береська сільська рада, Ворончинська сільська рада, Вічинівська сільська рада, Немирська сільська рада, Щуринська сільська рада, Ясенівська сільська рада</t>
  </si>
  <si>
    <t>Колківська територіальна громада</t>
  </si>
  <si>
    <t>Колківська селищна рада, Боровичівська сільська рада, Великоосницька сільська рада, Годомичівська сільська рада, Гораймівська сільська рада, Копиллівська сільська рада, Красновільська сільська рада, Куликовичівська сільська рада, Рудниківська сільська рада, Старосільська сільська рада, Четвертнянська сільська рада, Чорнижівська сільська рада</t>
  </si>
  <si>
    <t>Копачівська територіальна громада</t>
  </si>
  <si>
    <t>Копачівська сільська рада, Березолуківська сільська рада, Залісцівська сільська рада, Кременецька сільська рада, Любченська сільська рада, Уляниківська сільська рада</t>
  </si>
  <si>
    <t>Ківерцівська територіальна громада</t>
  </si>
  <si>
    <t>Ківерцівська міська рада, Журавичівська сільська рада, Озерська сільська рада, Омельненська сільська рада, Сокиричівська сільська рада, Суська сільська рада, Тростянецька сільська рада, Завітненська сільська рада</t>
  </si>
  <si>
    <t>Луцька територіальна громада</t>
  </si>
  <si>
    <t>Луцька міська рада, Рокинівська селищна рада, Боголюбська сільська рада, Заборольська сільська рада, Княгининівська сільська рада, Одерадівська сільська рада, Шепельська сільська рада, Жидичинська сільська рада, Озерцівська сільська рада, Прилуцька сільська рада, Іванчицівська сільська рада, КОАТУУ: 0722881603)</t>
  </si>
  <si>
    <t>Мар'янівська територіальна громада</t>
  </si>
  <si>
    <t>Мар’янівська селищна рада, Бранівська сільська рада, Бужанівська сільська рада, Галичанська сільська рада, Скригівська сільська рада, Цегівська сільська рада</t>
  </si>
  <si>
    <t>Олицька територіальна громада</t>
  </si>
  <si>
    <t>Олицька селищна рада, Дернівська сільська рада, Дідичівська сільська рада, Жорнищенська сільська рада, Покащівська сільська рада</t>
  </si>
  <si>
    <t>Підгайцівська територіальна громада</t>
  </si>
  <si>
    <t>Підгайцівська сільська рада, Липинська сільська рада, Лищенська сільська рада, Піддубцівська сільська рада, Романівська сільська рада, Борохівська сільська рада, Звірівська сільська рада, Хорлупівська сільська рада</t>
  </si>
  <si>
    <t>Рожищенська територіальна громада</t>
  </si>
  <si>
    <t>Рожищенська міська рада, Дубищенська селищна рада, Кобченська сільська рада, Луківська сільська рада, Літогощанська сільська рада, Мильська сільська рада, Навізька сільська рада, Носачевичівська сільська рада, Переспівська сільська рада, Пожарківська сільська рада, Рудко-Козинська сільська рада, Руднянська сільська рада, Сокільська сільська рада, Тихотинська сільська рада, Топільненська сільська рада</t>
  </si>
  <si>
    <t>Торчинська територіальна громада</t>
  </si>
  <si>
    <t>Торчинська селищна рада, Буянівська сільська рада, Білостоцька сільська рада, Веселівська сільська рада, Воютинська сільська рада, Садівська сільська рада, Смолигівська сільська рада, Хорохоринська сільська рада, Скірченська сільська рада, Городинівська сільська рада</t>
  </si>
  <si>
    <t>Цуманська територіальна громада</t>
  </si>
  <si>
    <t>Цуманська селищна рада, Берестянська сільська рада, Грем’яченська сільська рада, Дубищенська сільська рада, Карпилівська сільська рада, Липненська сільська рада, Сильненська сільська рада, Холоневичівська сільська рада</t>
  </si>
  <si>
    <t>Дніпропетровська область</t>
  </si>
  <si>
    <t>Дніпровський район</t>
  </si>
  <si>
    <t>Дніпровська територіальна громада</t>
  </si>
  <si>
    <t>Чечелівська Районна у місті Дніпрі рада, Шевченківська районна у місті Дніпрі рада, Центральна Районна у місті Дніпрі рада, Самарська Районна у місті Дніпрі рада, Індустріальна районна у місті Дніпрі рада, Новокодацька Районна у місті Дніпрі рада, Дніпропетровська міська рада, Соборна районна у місті Дніпрі рада</t>
  </si>
  <si>
    <t>Китайгородська територіальна громада</t>
  </si>
  <si>
    <t>Китайгородська сільська рада, Рудківська сільська рада</t>
  </si>
  <si>
    <t>Любимівська територіальна громада</t>
  </si>
  <si>
    <t>Любимівська сільська рада, Дібровська сільська рада</t>
  </si>
  <si>
    <t>Ляшківська територіальна громада</t>
  </si>
  <si>
    <t>Ляшківська сільська рада, Залеліївська сільська рада</t>
  </si>
  <si>
    <t>Миколаївська територіальна громада</t>
  </si>
  <si>
    <t>Миколаївська сільська рада, Горьківська сільська рада, Новотаромська сільська рада, Степова сільська рада, КОАТУУ: 1210141000)</t>
  </si>
  <si>
    <t>Могилівська територіальна громада</t>
  </si>
  <si>
    <t>Могилівська сільська рада, Зорянська сільська рада, Новопідкрязька сільська рада, Цибульківська сільська рада</t>
  </si>
  <si>
    <t>Новоолександрівська територіальна громада</t>
  </si>
  <si>
    <t>Новоолександрівська сільська рада, Волоська сільська рада, КОАТУУ: 1210141000), КОАТУУ: 1225081502)</t>
  </si>
  <si>
    <t>Новопокровська територіальна громада</t>
  </si>
  <si>
    <t>Новопокровська селищна рада, Дзержинівська сільська рада, Мопрівська сільська рада, Олександропільська сільська рада, Павлівська сільська рада</t>
  </si>
  <si>
    <t>Обухівська територіальна громада</t>
  </si>
  <si>
    <t>Миколаївська селищна рада, Обухівська селищна рада</t>
  </si>
  <si>
    <t>Петриківська територіальна громада</t>
  </si>
  <si>
    <t>Петриківська селищна рада, Курилівська селищна рада, Єлизаветівська сільська рада, Іванівська сільська рада, Лобойківська сільська рада, Хутірська сільська рада, Чаплинська сільська рада, Шульгівська сільська рада</t>
  </si>
  <si>
    <t>Підгородненська територіальна громада</t>
  </si>
  <si>
    <t>29.12.2019</t>
  </si>
  <si>
    <t>Підгородненська міська рада, Спаська сільська рада</t>
  </si>
  <si>
    <t>Святовасилівська територіальна громада</t>
  </si>
  <si>
    <t>Святовасилівська Єлізарівська) сільська рада, Березнуватівська сільська рада, Наталівська сільська рада, Новомар’ївська сільська рада, Промінська сільська рада</t>
  </si>
  <si>
    <t>Слобожанська територіальна громада</t>
  </si>
  <si>
    <t>Слобожанська селищна рада, Балівська сільська рада, Олександрівська сільська рада, Партизанська сільська рада, Степнянська сільська рада</t>
  </si>
  <si>
    <t>Солонянська територіальна громада</t>
  </si>
  <si>
    <t>Солонянська селищна рада, Микільська сільська рада, Привільненська сільська рада, Письмечівська сільська рада, Малозахаринська сільська рада, Василівська сільська рада, Башмачанська сільська рада, Військова сільська рада, Сурсько-Михайлівська сільська рада, Широчанська сільська рада</t>
  </si>
  <si>
    <t>Сурсько-Литовська територіальна громада</t>
  </si>
  <si>
    <t>Сурсько-Литовська сільська рада, Новомиколаївська сільська рада</t>
  </si>
  <si>
    <t>Царичанська територіальна громада</t>
  </si>
  <si>
    <t>Царичанська селищна рада, Бабайківська сільська рада, Михайлівська сільська рада, Прядівська сільська рада, Юр’ївська сільська рада</t>
  </si>
  <si>
    <t>Чумаківська територіальна громада</t>
  </si>
  <si>
    <t>Чумаківська сільська рада, Приютська сільська рада</t>
  </si>
  <si>
    <t>Кам’янський район</t>
  </si>
  <si>
    <t>Божедарівська територіальна громада</t>
  </si>
  <si>
    <t>Божедарівська селищна рада, Адамівська сільська рада, Биківська сільська рада, Болтишківська сільська рада, Катеринопільська сільська рада, Кудашівська сільська рада, Покровська сільська рада, Саксаганська сільська рада</t>
  </si>
  <si>
    <t>Верхньодніпровська територіальна громада</t>
  </si>
  <si>
    <t>Верхньодніпровська міська рада, Дніпровська селищна рада, Новомиколаївська селищна рада, Боровківська сільська рада, Бородаївська сільська рада, Водянська сільська рада, Ганнівська сільська рада, Дніпровокам’янська сільська рада, Зарічанська сільська рада, Мишурино-Різька сільська рада, Першотравенська сільська рада, Пушкарівська сільська рада</t>
  </si>
  <si>
    <t>Верхівцівська територіальна громада</t>
  </si>
  <si>
    <t>Верхівцівська міська рада, Малоолександрівська сільська рада</t>
  </si>
  <si>
    <t>Вишнівська селищна рада, Комісарівська сільська рада, Лозуватська сільська рада</t>
  </si>
  <si>
    <t>Вільногірська територіальна громада</t>
  </si>
  <si>
    <t>Вільногірська міська рада, Дмитрівська сільська рада, КОАТУУ: 1224555301)</t>
  </si>
  <si>
    <t>Жовтоводська територіальна громада</t>
  </si>
  <si>
    <t>Жовтоводська міська рада, Мар’янівська сільська рада</t>
  </si>
  <si>
    <t>Затишнянська територіальна громада</t>
  </si>
  <si>
    <t>Затишнянська сільська рада, Гуляйпільська сільська рада, Преображенська сільська рада</t>
  </si>
  <si>
    <t>Кам'янська територіальна громада</t>
  </si>
  <si>
    <t>Кам'янська міська рада, Карнаухівська селищна рада</t>
  </si>
  <si>
    <t>Криничанська територіальна громада</t>
  </si>
  <si>
    <t>Криничанська селищна рада, Аулівська селищна рада, Дружбівська сільська рада, Маломихайлівська сільська рада, Новоселівська сільська рада, Світлогірська сільська рада, Семенівська сільська рада, Українська сільська рада, Червонопромінська сільська рада, Червоноіванівська сільська рада, КОАТУУ: 1222086203)</t>
  </si>
  <si>
    <t>Лихівська територіальна громада</t>
  </si>
  <si>
    <t>Лихівська селищна рада, Біленщинська сільська рада, Троїцька сільська рада, Холодіївська сільська рада</t>
  </si>
  <si>
    <t>П'ятихатська територіальна громада</t>
  </si>
  <si>
    <t>П’ятихатська міська рада, Івашинівська сільська рада, Богдано-Надеждівська сільська рада, Виноградівська сільська рада, Жовтянська сільська рада, Зорянська сільська рада, Пальмирівська сільська рада, КОАТУУ: 1210790001)</t>
  </si>
  <si>
    <t>Саксаганська територіальна громада</t>
  </si>
  <si>
    <t>Саксаганська сільська рада, Саврівська сільська рада, Грушуватська сільська рада, Саївська сільська рада</t>
  </si>
  <si>
    <t>Криворізький район</t>
  </si>
  <si>
    <t>Апостолівська територіальна громада</t>
  </si>
  <si>
    <t>Апостолівська міська рада, Володимирівська сільська рада, Кам’янська сільська рада, Михайлівська сільська рада, Першотравенська сільська рада</t>
  </si>
  <si>
    <t>Вакулівська територіальна громада</t>
  </si>
  <si>
    <t>Вакулівська сільська рада, Нововасилівська сільська рада, Новоолексіївська сільська рада</t>
  </si>
  <si>
    <t>Глеюватська територіальна громада</t>
  </si>
  <si>
    <t>Глеюватська сільська рада, Недайводська сільська рада, Орджонікідзевська сільська рада, Червоненська сільська рада</t>
  </si>
  <si>
    <t>Гречаноподівська територіальна громада</t>
  </si>
  <si>
    <t>Гречаноподівська сільська рада, Олександрівська сільська рада, Степова сільська рада</t>
  </si>
  <si>
    <t>Грушівська територіальна громада</t>
  </si>
  <si>
    <t>Грушівська сільська рада, Токівська сільська рада</t>
  </si>
  <si>
    <t>Девладівська територіальна громада</t>
  </si>
  <si>
    <t>Девладівська сільська рада, Мар’є-Дмитрівська сільська рада, Ордо-Василівська сільська рада, Першотравенська сільська рада</t>
  </si>
  <si>
    <t>Зеленодольська територіальна громада</t>
  </si>
  <si>
    <t>Зеленодольська міська рада, Великокостромська сільська рада, Мар’янська сільська рада</t>
  </si>
  <si>
    <t>Карпівська територіальна громада</t>
  </si>
  <si>
    <t>Карпівська селищна рада, Андріївська сільська рада, Новомалинівська сільська рада</t>
  </si>
  <si>
    <t>Криворізька територіальна громада</t>
  </si>
  <si>
    <t>Криворізька міська рада</t>
  </si>
  <si>
    <t>Лозуватська територіальна громада</t>
  </si>
  <si>
    <t>Лозуватська сільська рада, Христофорівська селищна рада, Валівська сільська рада, Вільненська сільська рада, Грузька сільська рада, Данилівська сільська рада, Гейківська сільська рада, Чкаловська сільська рада</t>
  </si>
  <si>
    <t>Нивотрудівська територіальна громада</t>
  </si>
  <si>
    <t>Нивотрудівська сільська рада, Вільненська сільська рада</t>
  </si>
  <si>
    <t>Новолатівська територіальна громада</t>
  </si>
  <si>
    <t>Інгулецька района рада, Новолатівська сільська рада, Зеленобалківська сільська рада</t>
  </si>
  <si>
    <t>Новопільська територіальна громада</t>
  </si>
  <si>
    <t>Новопільська сільська рада, Радушненська селищна рада, Веселівська сільська рада, Златоустівська сільська рада, Красівська сільська рада, Надеждівська сільська рада, Широківська сільська рада</t>
  </si>
  <si>
    <t>Софіївська територіальна громада</t>
  </si>
  <si>
    <t>Софіївська селищна рада, Запорізька сільська рада, Кам’янська сільська рада, Миколаївська сільська рада, Новоюлівська сільська рада</t>
  </si>
  <si>
    <t>Широківська територіальна громада</t>
  </si>
  <si>
    <t>Широківська селищна рада, Благодатнівська сільська рада, Шестірнянська сільська рада</t>
  </si>
  <si>
    <t>Новомосковський район</t>
  </si>
  <si>
    <t>Губиниська територіальна громада</t>
  </si>
  <si>
    <t>Губиниська селищна рада, Василівська сільська рада, Вільненська сільська рада, Мар’янівська сільська рада, Миколаївська сільська рада, Новостепанівська сільська рада, Попасненська сільська рада</t>
  </si>
  <si>
    <t>Личківська територіальна громада</t>
  </si>
  <si>
    <t>Личківська сільська рада, Бузівська сільська рада, Приорільська сільська рада</t>
  </si>
  <si>
    <t>Магдалинівська територіальна громада</t>
  </si>
  <si>
    <t>Магдалинівська селищна рада, Жданівська сільська рада, Казначеївська сільська рада, Котовська сільська рада, Мар’ївська сільська рада, Новопетрівська сільська рада, Олександрівська сільська рада, Оленівська сільська рада, Очеретуватська сільська рада, Першотравенська сільська рада, Поливанівська сільська рада, Почино-Софіївська сільська рада, Топчинська сільська рада, Шевченківська сільська рада</t>
  </si>
  <si>
    <t>Новомосковська територіальна громада</t>
  </si>
  <si>
    <t>Новомосковська міська рада</t>
  </si>
  <si>
    <t>Перещепинська територіальна громада</t>
  </si>
  <si>
    <t>Перещепинська міська рада, Багатська сільська рада, Голубівська сільська рада, Керносівська сільська рада, Михайлівська сільська рада, Шандрівська сільська рада</t>
  </si>
  <si>
    <t>Піщанська сільська рада, Меліоративнівська селищна рада, Знаменівська сільська рада, Орлівщинська сільська рада</t>
  </si>
  <si>
    <t>https://t.me/cherkasy_rada</t>
  </si>
  <si>
    <t>Черкаська територіальна громада</t>
  </si>
  <si>
    <t>Черкаська селищна рада, Гвардійська селищна рада</t>
  </si>
  <si>
    <t>Чернеччинська територіальна громада</t>
  </si>
  <si>
    <t>Чернеччинська сільська рада, Гупалівська сільська рада, Дмухайлівська сільська рада, Заплавська сільська рада</t>
  </si>
  <si>
    <t>Нікопольський район</t>
  </si>
  <si>
    <t>Марганецька територіальна громада</t>
  </si>
  <si>
    <t>29.11.2018</t>
  </si>
  <si>
    <t>Марганецька міська рада, Новокиївська сільська рада</t>
  </si>
  <si>
    <t>Мирівська територіальна громада</t>
  </si>
  <si>
    <t>Мирівська сільська рада, Виводівська сільська рада, Вищетарасівська сільська рада, Зорянська сільська рада</t>
  </si>
  <si>
    <t>Нікопольська територіальна громада</t>
  </si>
  <si>
    <t>Нікопольська міська рада</t>
  </si>
  <si>
    <t>Першотравневська територіальна громада</t>
  </si>
  <si>
    <t>Першотравневська сільська рада, Криничуватська сільська рада, Чистопільська сільська рада, Лошкарівська сільська рада, Новоіванівська сільська рада, Павлопільська сільська рада, Південна сільська рада, Чкаловська сільська рада, Шевченківська сільська рада</t>
  </si>
  <si>
    <t>Покровська територіальна громада</t>
  </si>
  <si>
    <t>23.11.2018</t>
  </si>
  <si>
    <t>Покровська міська рада, Шолоховська сільська рада</t>
  </si>
  <si>
    <t>Томаківська територіальна громада</t>
  </si>
  <si>
    <t>Томаківська селищна рада, Володимирівська сільська рада, Зеленогайська сільська рада, Кисличуватська сільська рада, Китайгородська сільська рада, Михайлівська сільська рада, Преображенська сільська рада, Чумаківська сільська рада</t>
  </si>
  <si>
    <t>Червоногригорівська територіальна громада</t>
  </si>
  <si>
    <t>Червоногригорівська селищна рада, Дмитрівська сільська рада, Придніпровська сільська рада</t>
  </si>
  <si>
    <t>Павлоградський район</t>
  </si>
  <si>
    <t>Богданівська територіальна громада</t>
  </si>
  <si>
    <t>Богданівська сільська рада, Богуславська сільська рада, Новодачинська сільська рада, Новоруська сільська рада, КОАТУУ: 1213590001)</t>
  </si>
  <si>
    <t>Вербківська територіальна громада</t>
  </si>
  <si>
    <t>Вербківська сільська рада, В’язівоцька сільська рада, Кочережківська сільська рада, Поперечненська сільська рада, Олександрівська сільська рада</t>
  </si>
  <si>
    <t>Межиріцька територіальна громада</t>
  </si>
  <si>
    <t>Межиріцька сільська рада, Булахівська сільська рада, Карабинівська сільська рада</t>
  </si>
  <si>
    <t>Павлоградська територіальна громада</t>
  </si>
  <si>
    <t>Павлоградська міська рада</t>
  </si>
  <si>
    <t>Тернівська територіальна громада</t>
  </si>
  <si>
    <t>Тернівка</t>
  </si>
  <si>
    <t>Тернівська міська рада</t>
  </si>
  <si>
    <t>Троїцька територіальна громада</t>
  </si>
  <si>
    <t>Троїцька сільська рада, Привовчанська сільська рада, Писарівська сільська рада</t>
  </si>
  <si>
    <t>Юр’ївська територіальна громада</t>
  </si>
  <si>
    <t>Юр’ївська селищна рада, Варварівська сільська рада, Вербуватівська сільська рада, Жемчужненська сільська рада, Новов’язівська сільська рада, Новоіванівська сільська рада, Олексіївська сільська рада, Преображенська сільська рада, Чаплинська сільська рада, Чернявщинська сільська рада</t>
  </si>
  <si>
    <t>Синельниківський район</t>
  </si>
  <si>
    <t>Іларіонівська територіальна громада</t>
  </si>
  <si>
    <t>Іларіонівська селищна рада, Дерезуватська сільська рада, Мар'ївська сільська рада, КОАТУУ: 1224886406)</t>
  </si>
  <si>
    <t>Брагинівська територіальна громада</t>
  </si>
  <si>
    <t>Брагинівська сільська рада, Олександропільська сільська рада, Осадченська сільська рада, Хорошівська сільська рада, КОАТУУ: 1223884802)</t>
  </si>
  <si>
    <t>Васильківська територіальна громада</t>
  </si>
  <si>
    <t>Васильківська селищна рада, Письменська селищна рада, Богданівська сільська рада, Великоолександрівська сільська рада, Воскресенівська сільська рада, Григорівська сільська рада, Дебальцівська сільська рада, Павлівська сільська рада</t>
  </si>
  <si>
    <t>Великомихайлівська територіальна громада</t>
  </si>
  <si>
    <t>Великомихайлівська сільська рада, Березівська сільська рада</t>
  </si>
  <si>
    <t>Дубовиківська територіальна громада</t>
  </si>
  <si>
    <t>Миколаївська сільська рада, Чаплинська селищна рада, Добровільська сільська рада, Зеленогайська сільська рада, Шевченківська сільська рада</t>
  </si>
  <si>
    <t>Зайцівська територіальна громада</t>
  </si>
  <si>
    <t>Зайцівська сільська рада, Кислянська сільська рада, Майська сільська рада</t>
  </si>
  <si>
    <t>Маломихайлівська територіальна громада</t>
  </si>
  <si>
    <t>Маломихайлівська сільська рада, Просянська селищна рада, Гаврилівська сільська рада</t>
  </si>
  <si>
    <t>Межівська територіальна громада</t>
  </si>
  <si>
    <t>Межівська селищна рада, Демуринська селищна рада, Іванівська сільська рада, Веселівська сільська рада, Новогригорівська сільська рада, Преображенська сільська рада, Райпільська сільська рада</t>
  </si>
  <si>
    <t>Новопавлівська територіальна громада</t>
  </si>
  <si>
    <t>Новопавлівська сільська рада, Богданівська сільська рада</t>
  </si>
  <si>
    <t>Першотравенська територіальна громада</t>
  </si>
  <si>
    <t>Першотравенська міська рада</t>
  </si>
  <si>
    <t>Петропавлівська територіальна громада</t>
  </si>
  <si>
    <t>Петропавлівська селищна рада, Лозівська сільська рада, Самарська сільська рада</t>
  </si>
  <si>
    <t>Раївська територіальна громада</t>
  </si>
  <si>
    <t>Раївська сільська рада, Василівська сільська рада, Великомихайлівська сільська рада, Вільненська сільська рада, Луб’янська сільська рада, Миролюбівська сільська рада, Михайлівська сільська рада, Новогнідська сільська рада, Новоолександрівська сільська рада, Шевченківська сільська рада</t>
  </si>
  <si>
    <t>Роздорська територіальна громада</t>
  </si>
  <si>
    <t>Роздорська селищна рада, Старовишневецька сільська рада</t>
  </si>
  <si>
    <t>Синельниківська територіальна громада</t>
  </si>
  <si>
    <t>Синельниківська міська рада</t>
  </si>
  <si>
    <t>Славгородська територіальна громада</t>
  </si>
  <si>
    <t>Славгородська селищна рада, Варварівська сільська рада, Гірківська сільська рада, КОАТУУ: 1225980501)</t>
  </si>
  <si>
    <t>Слов'янська територіальна громада</t>
  </si>
  <si>
    <t>Слов’янська сільська рада, Зорянська сільська рада</t>
  </si>
  <si>
    <t>Українська територіальна громада</t>
  </si>
  <si>
    <t>Українська сільська рада, Троїцька сільська рада</t>
  </si>
  <si>
    <t>Донецька область</t>
  </si>
  <si>
    <t>Бахмутський район</t>
  </si>
  <si>
    <t>Бахмутська територіальна громада</t>
  </si>
  <si>
    <t>Андріївська селищна рада, Бахмутська міська рада, Іванівська сільська рада, Зайцівська сільська рада, Клинівська сільська рада, Опитненський старостинський округ Бахмутської міської ради, Покровська сільська рада</t>
  </si>
  <si>
    <t>Званівська територіальна громада</t>
  </si>
  <si>
    <t>Званівська сільська рада, Верхньокам’янська сільська рада</t>
  </si>
  <si>
    <t>Світлодарська територіальна громада</t>
  </si>
  <si>
    <t>Світлодарське</t>
  </si>
  <si>
    <t>Зайцівська селищна рада, Світлодарська міська рада, Луганська селищна рада, Миронівська селищна рада, Кодемська сільська рада, Новолуганська сільська рада</t>
  </si>
  <si>
    <t>Соледарська територіальна громада</t>
  </si>
  <si>
    <t>Соледарська міська рада, Бахмутська сільська рада, Берестівська сільська рада, Васюківська сільська рада, Володимирівська сільська рада, Міньківська сільська рада, Никифорівська сільська рада, Парасковіївська сільська рада, Роздолівська сільська рада, Яковлівська сільська рада</t>
  </si>
  <si>
    <t>Сіверська територіальна громада</t>
  </si>
  <si>
    <t>Сіверська міська рада, Дронівська сільська рада, Різниківська сільська рада, Серебрянська сільська рада</t>
  </si>
  <si>
    <t>Торецька територіальна громада</t>
  </si>
  <si>
    <t>Торецьк</t>
  </si>
  <si>
    <t>Торецька Дзержинська) міська рада, Артемівська міська рада, Північна селищна рада, Новгородська селищна рада, Щербинівська селищна рада</t>
  </si>
  <si>
    <t>Часовоярська територіальна громада</t>
  </si>
  <si>
    <t>Часів Яр</t>
  </si>
  <si>
    <t>Часовоярська міська рада, Калінінська сільська рада</t>
  </si>
  <si>
    <t>Волноваський район</t>
  </si>
  <si>
    <t>Великоновосілківська територіальна громада</t>
  </si>
  <si>
    <t>Велика Новосілка</t>
  </si>
  <si>
    <t>Великоновосілківська селищна рада, Андріївська сільська рада, Багатирська сільська рада, Зеленопільська сільська рада, Костянтинопільська сільська рада, Роздольненська сільська рада, Старомайорська сільська рада, Шахтарська сільська рада</t>
  </si>
  <si>
    <t>Волноваська територіальна громада</t>
  </si>
  <si>
    <t>Військово-цивільна адміністрація міста Волноваха, Донська селищна рада, Іванівська сільська рада, Бугаська сільська рада, Валер’янівська сільська рада, Дмитрівська сільська рада, Новоандріївська сільська рада, Прохорівська сільська рада, Рибинська сільська рада, Свободненська сільська рада</t>
  </si>
  <si>
    <t>Вугледарська територіальна громада</t>
  </si>
  <si>
    <t>Вугледарська міська рада, Шевченківська селищна рада, Єгорівська сільська рада, Микільська сільська рада, Богоявленська сільська рада, Новоукраїнська сільська рада, Павлівська сільська рада, Степненська сільська рада</t>
  </si>
  <si>
    <t>Комарська територіальна громада</t>
  </si>
  <si>
    <t>Комар</t>
  </si>
  <si>
    <t>Комарська сільська рада, Іскрівська сільська рада, Піддубненська сільська рада, Шевченківська сільська рада</t>
  </si>
  <si>
    <t>Мирненська територіальна громада</t>
  </si>
  <si>
    <t>Мирне</t>
  </si>
  <si>
    <t>Мирненська селищна рада, Андріївська селищна рада, Гранітненська сільська рада, Новоселівська сільська рада, Старогнатівська сільська рада</t>
  </si>
  <si>
    <t>Ольгинська територіальна громада</t>
  </si>
  <si>
    <t>Ольгинська селищна рада, Благодатненська селищна рада, Володимирівська селищна рада, Новотроїцька селищна рада, Миколаївська сільська рада</t>
  </si>
  <si>
    <t>Старомлинівська територіальна громада</t>
  </si>
  <si>
    <t>Старомлинівка</t>
  </si>
  <si>
    <t>Старомлинівська сільська рада, Євгенівська сільська рада, Керменчицька сільська рада, Краснополянська сільська рада, Новопетриківська сільська рада</t>
  </si>
  <si>
    <t>Хлібодарівська територіальна громада</t>
  </si>
  <si>
    <t>Хлібодарівська сільська рада, Анадольська сільська рада, Вільненська сільська рада, Діанівська сільська рада, Зачатівська сільська рада, Златоустівська сільська рада, Калінінська сільська рада, Новоолексіївська сільська рада, Привільненська сільська рада, Рівнопільська сільська рада, Сонячненська сільська рада, Степнянська сільська рада, Стрітенська сільська рада</t>
  </si>
  <si>
    <t>Краматорський район</t>
  </si>
  <si>
    <t>Іллінівська територіальна громада</t>
  </si>
  <si>
    <t>Іллінівська сільська рада, Артемівська сільська рада, Зорянська сільська рада, Катеринівська сільська рада, Новополтавська сільська рада, Олександро-Калинівська сільська рада, Полтавська сільська рада, Правдівська сільська рада, Тарасівська сільська рада</t>
  </si>
  <si>
    <t>Андріївська територіальна громада</t>
  </si>
  <si>
    <t>Андріївська сільська рада, Сергіївська сільська рада</t>
  </si>
  <si>
    <t>Дружківська територіальна громада</t>
  </si>
  <si>
    <t>Дружківка</t>
  </si>
  <si>
    <t>Дружківська міська рада, Олексієво-Дружківська селищна рада, Райська селищна рада, Новоартемівська сільська рада, Кіндратівська сільська рада, Миколайпільська сільська рада, Торська сільська рада</t>
  </si>
  <si>
    <t>Костянтинівська територіальна громада</t>
  </si>
  <si>
    <t>Костянтинівка</t>
  </si>
  <si>
    <t>Костянтинівська міська рада, Іванопільська сільська рада, Білокузьминівська сільська рада, Віролюбівська сільська рада, Марківська сільська рада, Миколаївська сільська рада, Новодмитрівська сільська рада, Предтечинська сільська рада</t>
  </si>
  <si>
    <t>Краматорська територіальна громада</t>
  </si>
  <si>
    <t>Краматорськ</t>
  </si>
  <si>
    <t>Краматорська міська рада, Біленьківська селищна рада, Красноторська селищна рада, Шабельківська селищна рада, Ясногірська селищна рада, Дмитрівська сільська рада</t>
  </si>
  <si>
    <t>Лиманська територіальна громада</t>
  </si>
  <si>
    <t>Лиманська міська рада, Дробишевська селищна рада, Кіровська селищна рада, Новоселівська селищна рада, Ямпільська селищна рада, Ярівська селищна рада, Коровоярська сільська рада, Криволуцька сільська рада, Рубцівська сільська рада, Рідкодубівська сільська рада, Тернівська сільська рада, Шандриголівська сільська рада, Яцьківська сільська рада</t>
  </si>
  <si>
    <t>Миколаївська міська рада, Райгородоцька селищна рада, Малинівська сільська рада, Рай-Олександрівська сільська рада</t>
  </si>
  <si>
    <t>Новодонецька територіальна громада</t>
  </si>
  <si>
    <t>Новодонецька селищна рада, Іверська сільська рада, Веселогірська сільська рада, Криничанська сільська рада, Спасько-Михайлівська сільська рада, Степанівська сільська рада</t>
  </si>
  <si>
    <t>Олександрівська територіальна громада</t>
  </si>
  <si>
    <t>Олександрівська селищна рада, Беззаботівська сільська рада, Високопільська сільська рада, Золотопрудська сільська рада, Мирнодолинська сільська рада, Михайлівська сільська рада, Некременська сільська рада, Новоолександрівська сільська рада, Очеретинська сільська рада, Петрівська Друга сільська рада, Староварварівська сільська рада</t>
  </si>
  <si>
    <t>Святогірська територіальна громада</t>
  </si>
  <si>
    <t>Святогірськ</t>
  </si>
  <si>
    <t>Святогірська міська рада, Долинська сільська рада, Маяківська сільська рада, Хрестищенська сільська рада</t>
  </si>
  <si>
    <t>Слов'янськ</t>
  </si>
  <si>
    <t>Билбасівська селищна рада, Слов’янська міська рада, Мирненська сільська рада</t>
  </si>
  <si>
    <t>Черкаська селищна рада, Олександрівська сільська рада, Прелесненська сільська рада, Привільська сільська рада</t>
  </si>
  <si>
    <t>Маріупольський район</t>
  </si>
  <si>
    <t>Кальчицька територіальна громада</t>
  </si>
  <si>
    <t>Кальчик</t>
  </si>
  <si>
    <t>Кальчицька сільська рада, Зорянська сільська рада, Касянівська сільська рада, Малоянисольська сільська рада</t>
  </si>
  <si>
    <t>Мангушська територіальна громада</t>
  </si>
  <si>
    <t>Мангуш</t>
  </si>
  <si>
    <t>Мангушська селищна рада, Ялтинська селищна рада, Комишуватська сільська рада, Мелекінська сільська рада, Стародубівська сільська рада, Урзуфська сільська рада</t>
  </si>
  <si>
    <t>Маріупольська територіальна громада</t>
  </si>
  <si>
    <t>Маріуполь</t>
  </si>
  <si>
    <t>Маріупольська міська рада, Старо-Кримська селищна рада, Виноградненська сільська рада, Іллічівська сільська рада, Бердянська сільська рада</t>
  </si>
  <si>
    <t>Нікольська територіальна громада</t>
  </si>
  <si>
    <t>Нікольське</t>
  </si>
  <si>
    <t>Нікольська селищна рада, Боївська сільська рада, Зеленоярська сільська рада, Новокраснівська сільська рада, Республіканська сільська рада, Старченківська сільська рада, Тополинська сільська рада</t>
  </si>
  <si>
    <t>Сартанська територіальна громада</t>
  </si>
  <si>
    <t>Сартана</t>
  </si>
  <si>
    <t>Сартанська селищна рада, Талаківська селищна рада, Комінтернівська сільська рада, Лебединська сільська рада, Павлопільська сільська рада, Чермалицька сільська рада, Широкинська сільська рада</t>
  </si>
  <si>
    <t>Покровський район</t>
  </si>
  <si>
    <t>Авдіївська територіальна громада</t>
  </si>
  <si>
    <t>Авдіївка</t>
  </si>
  <si>
    <t>Авдіївська міська рада, КОАТУУ: 1425587606)</t>
  </si>
  <si>
    <t>Білозерська територіальна громада</t>
  </si>
  <si>
    <t>Білозерська міська рада, Нововодянська сільська рада</t>
  </si>
  <si>
    <t>Гродівська територіальна громада</t>
  </si>
  <si>
    <t>Гродівка</t>
  </si>
  <si>
    <t>Гродівська селищна рада, Новоекономічна селищна рада, Іванівська сільська рада, Малинівська сільська рада, Миролюбівська сільська рада, Новоолександрівська сільська рада</t>
  </si>
  <si>
    <t>Добропільська територіальна громада</t>
  </si>
  <si>
    <t>Білицька міська рада, Добропільська міська рада, Святогорівська селищна рада, Ганнівська сільська рада, Світлівська сільська рада</t>
  </si>
  <si>
    <t>Криворізька сільська рада, Добропільська сільська рада, Шилівська сільська рада</t>
  </si>
  <si>
    <t>Курахівська територіальна громада</t>
  </si>
  <si>
    <t>Курахове</t>
  </si>
  <si>
    <t>Гірницька міська рада, Курахівська міська рада, Курахівська селищна рада, Дачненська сільська рада, Новоселидівська сільська рада, Успенівська сільська рада, Сонцівська сільська рада</t>
  </si>
  <si>
    <t>Мар'їнська територіальна громада</t>
  </si>
  <si>
    <t>Мар'їнка</t>
  </si>
  <si>
    <t>Мар’їнська міська рада, Красногорівська міська рада, Єлизаветівська сільська рада, Зорянська сільська рада, Катеринівська сільська рада, Костянтинівська сільська рада, Максимільянівська сільська рада, Новомихайлівська сільська рада</t>
  </si>
  <si>
    <t>Мирноградська територіальна громада</t>
  </si>
  <si>
    <t>Мирноград</t>
  </si>
  <si>
    <t>Мирноградська міська рада, Рівненська сільська рада</t>
  </si>
  <si>
    <t>Новогродівська територіальна громада</t>
  </si>
  <si>
    <t>Новогродівка</t>
  </si>
  <si>
    <t>Новогродівська міська рада, Миколаївська сільська рада, Михайлівська сільська рада, Галицинівська сільська рада</t>
  </si>
  <si>
    <t>Очеретинська територіальна громада</t>
  </si>
  <si>
    <t>Очеретине</t>
  </si>
  <si>
    <t>Очеретинська селищна рада, Верхньоторецька селищна рада, Желаннівська селищна рада, Красногорівська сільська рада, Новобахмутівська сільська рада, Новоселівська Перша сільська рада, Орлівська сільська рада, Первомайська сільська рада, Пісківська сільська рада, Розівська сільська рада, Соловйовська сільська рада</t>
  </si>
  <si>
    <t>Покровськ</t>
  </si>
  <si>
    <t>Покровська міська рада, Родинська міська рада, Гришинська сільська рада, Лисівська сільська рада, Новотроїцька сільська рада, Новоєлизаветівська cільська рада, Першотравнева сільська рада, Піщанська сільська рада, Срібненська сільська рада</t>
  </si>
  <si>
    <t>Селидівська територіальна громада</t>
  </si>
  <si>
    <t>Селідове</t>
  </si>
  <si>
    <t>Селидівська міська рада, Українська міська рада, Цукуринська селищна рада, Петрівська сільська рада</t>
  </si>
  <si>
    <t>Удачненська територіальна громада</t>
  </si>
  <si>
    <t>Удачне</t>
  </si>
  <si>
    <t>Удачненська селищна рада, Сергіївська сільська рада</t>
  </si>
  <si>
    <t>Шахівська територіальна громада</t>
  </si>
  <si>
    <t>Шахівська сільська рада, Золотоколодязька сільська рада, Никанорівська сільська рада, Новоторецька сільська рада</t>
  </si>
  <si>
    <t>Житомирська область</t>
  </si>
  <si>
    <t>Бердичівський район</t>
  </si>
  <si>
    <t>Андрушівська територіальна громада</t>
  </si>
  <si>
    <t>Андрушівка</t>
  </si>
  <si>
    <t>Андрушівська міська рада, Антопільська сільська рада, Бровківська сільська рада, Волосівська сільська рада, Гальчинська сільська рада, Городківська сільська рада, Зарубинецька сільська рада, Каменівська сільська рада, Лебединецька сільська рада, Любимівська сільська рада, Малоп’ятигірська сільська рада, Мостівська сільська рада, Міньковецька сільська рада, Нехворощанська сільська рада, Новокотельнянська сільська рада, Павелківська сільська рада, Яроповицька сільська рада</t>
  </si>
  <si>
    <t>Бердичівська територіальна громада</t>
  </si>
  <si>
    <t>Бердичів</t>
  </si>
  <si>
    <t>Бердичівська міська рада, Скраглівська сільська рада</t>
  </si>
  <si>
    <t>Вчорайшенська територіальна громада</t>
  </si>
  <si>
    <t>Вчорайшенська сільська рада, Бистріївська сільська рада, Крилівська сільська рада, Малочернявська сільська рада, Малонизгорецька сільська рада, Новочорнорудська сільська рада, Роставицька сільська рада, Чорнорудська сільська рада, Шпичинецька сільська рада</t>
  </si>
  <si>
    <t>Гришковецька територіальна громада</t>
  </si>
  <si>
    <t>Гришковецька селищна рада, Гальчинська сільська рада, Никонівська сільська рада, Осиківська сільська рада, Половецька сільська рада, Рейська сільська рада, Скаківська сільська рада, Старосолотвинська сільська рада</t>
  </si>
  <si>
    <t>Краснопільська сільська рада, Іванопільська селищна рада, Безпечнянська сільська рада, Бурковецька сільська рада, Жеребківська сільська рада, Молочківська сільська рада, Носівська сільська рада, Стетковецька сільська рада</t>
  </si>
  <si>
    <t>Райгородоцька сільська рада, Андріяшівська сільська рада, Бистрицька сільська рада, Буряківська сільська рада, Великоп’ятигірська сільська рада, Гардишівська сільська рада, Маркушівська сільська рада, Озадівська сільська рада, Романівська сільська рада</t>
  </si>
  <si>
    <t>Ружинська територіальна громада</t>
  </si>
  <si>
    <t>Ружин</t>
  </si>
  <si>
    <t>Ружинська селищна рада, Березянська сільська рада, Бистрицька сільська рада, Білилівська сільська рада, Вербівська сільська рада, Верхівнянська сільська рада, Вишнівська сільська рада, Вільнопільська сільська рада, Голубівська сільська рада, Городоцька сільська рада, Дерганівська сільська рада, Зарудинецька сільська рада, Зорянська сільська рада, Карабчиївська сільська рада, Княжиківська сільська рада, Мовчанівська сільська рада, Немиринецька сільська рада, Огіївська сільська рада, Плосківська сільська рада, Прибережненська сільська рада, Рогачівська сільська рада, Топорівська сільська рада, Ягнятинська сільська рада</t>
  </si>
  <si>
    <t>Семенівська територіальна громада</t>
  </si>
  <si>
    <t>Іванковецька сільська рада, Великонизгірецька сільська рада, Закутинецька сільська рада, Красівська сільська рада, Садківська сільська рада, Терехівська сільська рада, Хажинська сільська рада</t>
  </si>
  <si>
    <t>Червоненська територіальна громада</t>
  </si>
  <si>
    <t>Червоненська селищна рада, Великомошковецька сільська рада, Глиновецька сільська рада, Забарська сільська рада, Крилівська сільська рада, Маломошковецька сільська рада</t>
  </si>
  <si>
    <t>Швайківська територіальна громада</t>
  </si>
  <si>
    <t>Швайківська сільська рада, Малосілківська сільська рада, Мирославська сільська рада, Райківська сільська рада, Слободищенська сільська рада</t>
  </si>
  <si>
    <t>Житомирський район</t>
  </si>
  <si>
    <t>Андрушківська територіальна громада</t>
  </si>
  <si>
    <t>Андрушківська сільська рада, Василівська сільська рада, Красногірська сільська рада, Макарівська сільська рада, Харліївська сільська рада</t>
  </si>
  <si>
    <t>Березівська територіальна громада</t>
  </si>
  <si>
    <t>Березівка</t>
  </si>
  <si>
    <t>Березівська сільська рада, Іванівська сільська рада, Василівська сільська рада, Заможненська сільська рада, Садківська сільська рада</t>
  </si>
  <si>
    <t>Брусилівська територіальна громада</t>
  </si>
  <si>
    <t>Брусилівська селищна рада, Водотиївська сільська рада, Дивинська сільська рада, Карабачинська сільська рада, Лазарівська сільська рада, Морозівська сільська рада, Містечківська сільська рада, Новоозерянська сільська рада, Озерська сільська рада, Осівецька сільська рада, Покришівська сільська рада, Приворотська сільська рада, Романівська сільська рада, Скочищенська сільська рада, Соболівська сільська рада, Соловіївська сільська рада, Ставищенська сільська рада, Хомутецька сільська рада, Яструбеньківська сільська рада</t>
  </si>
  <si>
    <t>Високівська територіальна громада</t>
  </si>
  <si>
    <t>Високівська сільська рада, Городищенська сільська рада, Забрідська сільська рада</t>
  </si>
  <si>
    <t>Вишевицька територіальна громада</t>
  </si>
  <si>
    <t>Вишевицька сільська рада, Іршанська сільська рада, Вепринська сільська рада, Макалевицька сільська рада, Межиріцька сільська рада</t>
  </si>
  <si>
    <t>Волицька територіальна громада</t>
  </si>
  <si>
    <t>Волиця</t>
  </si>
  <si>
    <t>Волицька сільська рада, Івницька сільська рада, Новоівницька сільська рада, Старокотельнянська сільська рада, Степківська сільська рада</t>
  </si>
  <si>
    <t>Вільшанська територіальна громада</t>
  </si>
  <si>
    <t>Вільшанська сільська рада, Бейзимівська сільська рада, Галіївська сільська рада, Карповецька сільська рада, Кілківська сільська рада, Маловолицька сільська рада, Трощанська сільська рада</t>
  </si>
  <si>
    <t>Глибочицька територіальна громада</t>
  </si>
  <si>
    <t>Глибочицька сільська рада, Левківська сільська рада, Кмитівська сільська рада, Студеницька сільська рада</t>
  </si>
  <si>
    <t>Городоцька територіальна громада</t>
  </si>
  <si>
    <t>Городок</t>
  </si>
  <si>
    <t>Городоцька селищна рада, Білокриницька селищна рада</t>
  </si>
  <si>
    <t>Житомирська територіальна громада</t>
  </si>
  <si>
    <t>Житомир</t>
  </si>
  <si>
    <t>Житомирська міська рада, Вересівська сільська рада</t>
  </si>
  <si>
    <t>Квітнева територіальна громада</t>
  </si>
  <si>
    <t>Квітнева сільська рада, Єрчицька сільська рада, Почуйківська сільська рада, Романівська сільська рада, Ставищенська сільська рада</t>
  </si>
  <si>
    <t>Корнинська територіальна громада</t>
  </si>
  <si>
    <t>Корнинська селищна рада, Білківська сільська рада, Лисівська сільська рада, Лучинська сільська рада, Сущанська сільська рада, Турбівська сільська рада</t>
  </si>
  <si>
    <t>Коростишівська територіальна громада</t>
  </si>
  <si>
    <t>Коростишівська міська рада, Більковецька сільська рада, Віленьківська сільська рада, Вільнянська сільська рада, Вільнянківська сільська рада, Здвижківська сільська рада, Квітнева сільська рада, Кропивнянська сільська рада, Стрижівська сільська рада, Щигліївська сільська рада</t>
  </si>
  <si>
    <t>Курненська територіальна громада</t>
  </si>
  <si>
    <t>Курненська сільська рада, Андріївська сільська рада, Великолугівська сільська рада, Павлівська сільська рада, Соколівська сільська рада, Старомайданська сільська рада, Стрибізька сільська рада, Теньківська сільська рада, Тетірська сільська рада</t>
  </si>
  <si>
    <t>Любарська територіальна громада</t>
  </si>
  <si>
    <t>Любарська селищна рада, Березівська сільська рада, Бичівська сільська рада, Великоволицька сільська рада, Великобраталівська сільська рада, Великодеревичівська сільська рада, Вигнанська сільська рада, Глезненська сільська рада, Горопаївська сільська рада, Громадська сільська рада, Гізівщинська сільська рада, Авратинська сільська рада, Коростківська сільська рада, Липненська сільська рада, Малобраталівська сільська рада, Меленецька сільська рада, Мотовилівська сільська рада, Новочорторийська сільська рада, Панасівська сільська рада, Пединська сільська рада, Привітівська сільська рада, Старочорторийська сільська рада, Стрижівська сільська рада, Веселківська сільська рада, Юрівська сільська рада</t>
  </si>
  <si>
    <t>Миропільська територіальна громада</t>
  </si>
  <si>
    <t>Миропільська селищна рада, Колодяжненська сільська рада, Малокозарська сільська рада, Печанівська сільська рада</t>
  </si>
  <si>
    <t>Новоборівська територіальна громада</t>
  </si>
  <si>
    <t>Новоборівська селищна рада, Кропивнянська сільська рада, Небізька сільська рада, Фасівська сільська рада, Ягодинська сільська рада</t>
  </si>
  <si>
    <t>Новогуйвинська територіальна громада</t>
  </si>
  <si>
    <t>Новогуйвинське (5671 чол.)</t>
  </si>
  <si>
    <t>Новогуйвинська селищна рада, Вертокиївська сільська рада, Глибочанська сільська рада, Головенківська сільська рада, Озерянківська сільська рада, Руднє-Городищенська сільська рада, Сінгурівська сільська рада, Троянівська сільська рада</t>
  </si>
  <si>
    <t>Оліївська територіальна громада</t>
  </si>
  <si>
    <t>Оліївська сільська рада, Кам’янська сільська рада, Вільська сільська рада, Зороківська сільська рада, Ксаверівська сільська рада, Новопільська сільська рада, Троковицька сільська рада</t>
  </si>
  <si>
    <t>Попільнянська територіальна громада</t>
  </si>
  <si>
    <t>Попільнянська селищна рада, Великолісівецька сільська рада, Голуб’ятинська сільська рада, Кам’янська сільська рада, Котлярська сільська рада, Кривенська сільська рада, Липківська сільська рада, Миролюбівська сільська рада, Новоселицька сільська рада, Паволоцька сільська рада, Парипська сільська рада, Попільнянська сільська рада, Саверецька сільська рада, Сокільчанська сільська рада, Строківська сільська рада, Ходорківська сільська рада</t>
  </si>
  <si>
    <t>Потіївська територіальна громада</t>
  </si>
  <si>
    <t>Потіївська сільська рада, Гуто-Потіївська сільська рада, Заньківська сільська рада, Новобудська сільська рада, Облітківська сільська рада</t>
  </si>
  <si>
    <t>Пулинська територіальна громада</t>
  </si>
  <si>
    <t>Пулинська селищна рада, Івановицька сільська рада, Бабичівська сільська рада, В’юнківська сільська рада, Зеленополянська сільська рада, Кошелівська сільська рада, Мартинівська сільська рада, Новозаводська сільська рада, Очеретянська сільська рада, Пулино-Гутська сільська рада, Ялинівська сільська рада</t>
  </si>
  <si>
    <t>Радомишльська територіальна громада</t>
  </si>
  <si>
    <t>Радомишльська міська рада, Борщівська сільська рада, Великорачанська сільська рада, Верлоцька сільська рада, Заболотська сільська рада, Забілоцька сільська рада, Кичкирівська сільська рада, Котівська сільська рада, Кочерівська сільська рада, Краснобірська сільська рада, Кримоцька сільська рада, Лутівська сільська рада, Меньківська сільська рада, Мірчанська сільська рада, Осичківська сільська рада, Пилиповицька сільська рада, Раковицька сільська рада, Ставецька сільська рада, Чайківська сільська рада</t>
  </si>
  <si>
    <t>Романівська територіальна громада</t>
  </si>
  <si>
    <t>Романівська селищна рада, Биківська селищна рада, Булдичівська сільська рада, Великокозарська сільська рада, Врублівська сільська рада, Вільшанська сільська рада, Годиська сільська рада, Гордіївська сільська рада, Камінська сільська рада, Нивненська сільська рада, Ольшанська сільська рада, Прутівська сільська рада, Романівська сільська рада, Садківська сільська рада, Соболівська сільська рада, Старочуднівськогутянська сільська рада, Хижинецька сільська рада, Червонохатківська сільська рада, Ягодинська сільська рада, Ясногородська сільська рада</t>
  </si>
  <si>
    <t>Станишівська територіальна громада</t>
  </si>
  <si>
    <t>Станишівська сільська рада, Зарічанська сільська рада, Коднянська сільська рада, Луківська сільська рада, Ліщинська сільська рада, Миролюбівська сільська рада, Пісківська сільська рада, Туровецька сільська рада, Іванківська сільська рада</t>
  </si>
  <si>
    <t>Старосілецька територіальна громада</t>
  </si>
  <si>
    <t>Старосілецька сільська рада, Городська сільська рада, Гуменницька сільська рада, Кам’янобрідська сільська рада, Козіївська сільська рада, Минійківська сільська рада, Садівська сільська рада, Слобідська сільська рада, Торчинська сільська рада</t>
  </si>
  <si>
    <t>Тетерівська територіальна громада</t>
  </si>
  <si>
    <t>Тетерівська сільська рада, Буківська сільська рада, Високопічська сільська рада, Денишівська сільська рада, Корчацька сільська рада</t>
  </si>
  <si>
    <t>Харитонівська територіальна громада</t>
  </si>
  <si>
    <t>Харитонівська сільська рада, Шахворостівська сільська рада</t>
  </si>
  <si>
    <t>Хорошівська територіальна громада</t>
  </si>
  <si>
    <t>Хорошівська селищна рада, Березівська сільська рада, Грушківська сільська рада, Давидівська сільська рада, Дашинська сільська рада, Дворищенська сільська рада, Зубринська сільська рада, Краївщинська сільська рада, Поромівська сільська рада, Радицька сільська рада, Рижанська сільська рада, Сколобівська сільська рада, Суховільська сільська рада, Топорищенська сільська рада</t>
  </si>
  <si>
    <t>Черняхівська територіальна громада</t>
  </si>
  <si>
    <t>Черняхів</t>
  </si>
  <si>
    <t>Черняхівська селищна рада, Головинська селищна рада, Андріївська сільська рада, Бежівська сільська рада, Великогорбашівська сільська рада, Видиборська сільська рада, Горбулівська сільська рада, Дівочківська сільська рада, Жадьківська сільська рада, Клітищенська сільська рада, Очеретянська сільська рада, Пекарщинська сільська рада, Салівська сільська рада, Селецька сільська рада, Селянщинська сільська рада, Сліпчицька сільська рада, Стиртівська сільська рада</t>
  </si>
  <si>
    <t>Чуднівська територіальна громада</t>
  </si>
  <si>
    <t>Чуднівська міська рада, Вакуленчуківська селищна рада, Великокоровинецька селищна рада, Бабушківська сільська рада, Будичанська сільська рада, Дриглівська сільська рада, Дубищенська сільська рада, Красногірська сільська рада, Красносільська сільська рада, П’ятківська сільська рада, Рачківська сільська рада, Стовпівська сільська рада, Турчинівська сільська рада, Тютюнниківська сільська рада, Карвинівська сільська рада</t>
  </si>
  <si>
    <t>Коростенський район</t>
  </si>
  <si>
    <t>Іршанська територіальна громада</t>
  </si>
  <si>
    <t>Іршанська селищна рада, Добринська сільська рада, Ковалівська сільська рада, Меленівська сільська рада, Шершнівська сільська рада</t>
  </si>
  <si>
    <t>Білокоровицька територіальна громада</t>
  </si>
  <si>
    <t>Білокоровицька сільська рада, Бучманівська селищна рада, Новобілокоровицька селищна рада</t>
  </si>
  <si>
    <t>Гладковицька територіальна громада</t>
  </si>
  <si>
    <t>Гладковичі</t>
  </si>
  <si>
    <t>Гладковицька сільська рада, Першотравнева селищна рада, Колесниківська сільська рада</t>
  </si>
  <si>
    <t>Горщиківська територіальна громада</t>
  </si>
  <si>
    <t>Горщиківська сільська рада, Вигівська сільська рада, Давидківська сільська рада</t>
  </si>
  <si>
    <t>Коростенська територіальна громада</t>
  </si>
  <si>
    <t>Коростень</t>
  </si>
  <si>
    <t>Коростенська міська рада, Берестовецька сільська рада, Бехівська сільська рада, Васьковицька сільська рада, Дідковицька сільська рада, Каленська сільська рада, Кожухівська сільська рада, Малозубівщинська сільська рада, Мединівська сільська рада, Межиріцька сільська рада, Михайлівська сільська рада, Новаківська сільська рада, Обиходівська сільська рада, Сарновицька сільська рада, Сингаївська сільська рада, Стремигородська сільська рада, Ходаківська сільська рада, Холосненська сільська рада, Хотинівська сільська рада</t>
  </si>
  <si>
    <t>Лугинська територіальна громада</t>
  </si>
  <si>
    <t>Лугинська селищна рада, Миролюбівська селищна рада, Бовсунівська сільська рада, Будо-Літківська сільська рада, Великодивлинська сільська рада, Жеревецька сільська рада, Калинівська сільська рада, Красноставська сільська рада, Кремненська сільська рада, Липниківська сільська рада, Літківська сільська рада, Остапівська сільська рада, Повчанська сільська рада, Путиловицька сільська рада, Старосільська сільська рада, Степанівська сільська рада, Топільнянська сільська рада, Червоноволоцька сільська рада</t>
  </si>
  <si>
    <t>Малинська територіальна громада</t>
  </si>
  <si>
    <t>Малин</t>
  </si>
  <si>
    <t>Малинська міська рада, Гранітненська селищна рада, Іванівська сільська рада, Будо-Вороб’ївська сільська рада, Вишівська сільська рада, Ворсівська сільська рада, Горинська сільська рада, Дібрівська сільська рада, Ксаверівська сільська рада, Луківська сільська рада, Любовицька сільська рада, Малинівська сільська рада, Морозівська сільська рада, Недашківська сільська рада, Нововороб’ївська сільська рада, Пиріжківська сільська рада, Слобідська сільська рада, Старовороб’ївська сільська рада, Українківська сільська рада, Устинівська сільська рада, Федорівська сільська рада</t>
  </si>
  <si>
    <t>Народицька територіальна громада</t>
  </si>
  <si>
    <t>Народицька селищна рада, Базарська сільська рада, Болотницька сільська рада, В’язівська сільська рада, Голубієвицька сільська рада, Гуто-Мар’ятинська сільська рада, Закусилівська сільська рада, Заліська сільська рада, Ласківська сільська рада, Межиліська сільська рада, Мотійківська сільська рада, Новодорогинська сільська рада, Норинцівська сільська рада, Радчанська сільська рада, Розсохівська сільська рада, Селецька сільська рада, Стародорогинська сільська рада, Сухарівська сільська рада</t>
  </si>
  <si>
    <t>Овруцька територіальна громада</t>
  </si>
  <si>
    <t>Овруцька міська рада, Ігнатпільська сільська рада, Бондарівська сільська рада, Великофоснянська сільська рада, Великохайчанська сільська рада, Великочернігівська сільська рада, Гошівська сільська рада, Зарічанська сільська рада, Кирданівська сільська рада, Левковицька сільська рада, Невгодівська сільська рада, Норинська сільська рада, Покалівська сільська рада, Підрудянська сільська рада, Піщаницька сільська рада, Раківщинська сільська рада, Руднянська сільська рада, Слобідська сільська рада, Хлуплянська сільська рада, Черепинська сільська рада, Шоломківська сільська рада</t>
  </si>
  <si>
    <t>Олевська територіальна громада</t>
  </si>
  <si>
    <t>Олевська міська рада, Дружбівська селищна рада, Новоозерянська селищна рада, Жубровицька сільська рада, Журжевицька сільська рада, Замисловицька сільська рада, Зольнянська сільська рада, Зубковицька сільська рада, Калинівська сільська рада, Кам’янська сільська рада, Кишинська сільська рада, Копищенська сільська рада, Лопатицька сільська рада, Майданська сільська рада, Покровська сільська рада, Радовельська сільська рада, Руднє-Бистрянська сільська рада, Стовпинська сільська рада, Сущанська сільська рада, Тепеницька сільська рада, Хочинська сільська рада, Юрівська сільська рада</t>
  </si>
  <si>
    <t>Словечанська територіальна громада</t>
  </si>
  <si>
    <t>Словечанська сільська рада, Бігунська сільська рада, Городецька сільська рада, Листвинська сільська рада, Лучанківська сільська рада, Можарівська сільська рада, Нововелідницька сільська рада, Усівська сільська рада, Черевківська сільська рада</t>
  </si>
  <si>
    <t>Ушомирська територіальна громада</t>
  </si>
  <si>
    <t>Ушомирська сільська рада, Бондарівська сільська рада, Білківська сільська рада, Щорсівська сільська рада, Веселівська сільська рада, Калинівська сільська рада, Купищенська сільська рада, Лісівщинська сільська рада, Новинська сільська рада, Поліська сільська рада, Ришавська сільська рада, Ставищенська сільська рада, Сушківська сільська рада</t>
  </si>
  <si>
    <t>Чоповицька територіальна громада</t>
  </si>
  <si>
    <t>Чоповицька селищна рада, Барвінківська сільська рада, Владівська сільська рада, Головківська сільська рада, Йосипівська сільська рада, Скуратівська сільська рада, Шевченківська сільська рада</t>
  </si>
  <si>
    <t>Новоград-Волинський район</t>
  </si>
  <si>
    <t>Ємільчинська територіальна громада</t>
  </si>
  <si>
    <t>Ємільчинська селищна рада, Андрієвицький старостинський округ, Березниківський старостинський округ, Великоглумчанський старостинський округ, Великоцвілянська сільська рада, Великояблунецька сільська рада, Кочичинська сільська рада, Кривотинська сільська рада, Кулішівська сільська рада, Малоглумчанська сільська рада, Медведівська сільська рада, Миколаївська сільська рада, Мокляківська сільська рада, Осівська сільська рада, Підлубівська сільська рада, Руднє-Іванівська сільська рада, Сербівська сільська рада, Сергіївська сільська рада, Середівська сільська рада, Симонівська сільська рада, Степанівська сільська рада, Тайківська сільська рада</t>
  </si>
  <si>
    <t>Баранівська територіальна громада</t>
  </si>
  <si>
    <t>Баранівська міська рада, Першотравенська селищна рада, Полянківська селищна рада, Берестівська сільська рада, Вірлянська сільська рада, Жарівська сільська рада, Зеремлянська сільська рада, Йосипівська сільська рада, Кашперівська сільська рада, Марківська сільська рада, Рогачівська сільська рада, Смолдирівська сільська рада, Суємецька сільська рада, Ялишівська сільська рада</t>
  </si>
  <si>
    <t>Барашівська територіальна громада</t>
  </si>
  <si>
    <t>Барашівська сільська рада, Яблунецька селищна рада, Березівська сільська рада, Бобрицька сільська рада, Будо-Бобрицька сільська рада, Ганнопільська сільська рада, Зеленицька сільська рада, Киянська сільська рада, Неділищенська сільська рада, Рясненська сільська рада, Сімаківська сільська рада, Усолусівська сільська рада</t>
  </si>
  <si>
    <t>Брониківська територіальна громада</t>
  </si>
  <si>
    <t>Брониківська сільська рада, Барвинівська сільська рада, Кам’яномайданська сільська рада, Лебедівська сільська рада, Несолонська сільська рада, Новороманівська сільська рада, Поліянівська сільська рада, Тупальська сільська рада, Федорівська сільська рада</t>
  </si>
  <si>
    <t>Городницька територіальна громада</t>
  </si>
  <si>
    <t>Городницька селищна рада, Броницькогутянська сільська рада, Кленівська сільська рада, Лучицька сільська рада, Червоновільська сільська рада</t>
  </si>
  <si>
    <t>Довбиська територіальна громада</t>
  </si>
  <si>
    <t>Довбиська селищна рада, Кам’янобрідська селищна рада, Мар’янівська селищна рада</t>
  </si>
  <si>
    <t>Дубрівська територіальна громада</t>
  </si>
  <si>
    <t>Дубрівська сільська рада, Мокренська сільська рада, Радулинська сільська рада, Хижівська сільська рада</t>
  </si>
  <si>
    <t>Новоград-Волинська територіальна громада</t>
  </si>
  <si>
    <t>Новоград-Волинський</t>
  </si>
  <si>
    <t>Новоград-Волинська міська рада, Великомолодьківська сільська рада, Дідовицька сільська рада, Майстрівська сільська рада, Наталівська сільська рада, Пилиповицька сільська рада</t>
  </si>
  <si>
    <t>Піщівська територіальна громада</t>
  </si>
  <si>
    <t>Піщівська сільська рада, Косенівська сільська рада, Повчинська сільська рада, Середньодеражнянська сільська рада, Суховільська сільська рада</t>
  </si>
  <si>
    <t>Стриївська територіальна громада</t>
  </si>
  <si>
    <t>Стриївська сільська рада, Гульська сільська рада, Киківська сільська рада, Киянська сільська рада, Суслівська сільська рада</t>
  </si>
  <si>
    <t>Чижівська територіальна громада</t>
  </si>
  <si>
    <t>Чижівська сільська рада, Красилівська сільська рада, Курчицька сільська рада, Малоцвілянська сільська рада, Варварівська сільська рада, Рихальська сільська рада, Сербо-Слобідська сільська рада</t>
  </si>
  <si>
    <t>Ярунська територіальна громада</t>
  </si>
  <si>
    <t>Ярунь</t>
  </si>
  <si>
    <t>Ярунська сільська рада, Великогорбашівська сільська рада, Жолобненська сільська рада, Колодянська сільська рада, Орепівська сільська рада, Тернівська сільська рада, Токарівська сільська рада</t>
  </si>
  <si>
    <t>Закарпатська область</t>
  </si>
  <si>
    <t>Берегівський район</t>
  </si>
  <si>
    <t>Батівська територіальна громада</t>
  </si>
  <si>
    <t>Батьово</t>
  </si>
  <si>
    <t>Батівська селищна рада, Батрадівська сільська рада, Свободянська сільська рада, Сернянська сільська рада</t>
  </si>
  <si>
    <t>Берегівська територіальна громада</t>
  </si>
  <si>
    <t>Берегове</t>
  </si>
  <si>
    <t>Берегівська міська рада, Бадалівська сільська рада, Бенянська сільська рада, Боржавська сільська рада, Варівська сільська рада, Великобактянська сільська рада, Галаборська сільська рада, Гатянська сільська рада, Гечанська сільська рада, Кідьошська сільська рада, Мужіївська сільська рада, Оросіївська сільська рада, Четфалвівська сільська рада, Чомська сільська рада, Яношівська сільська рада</t>
  </si>
  <si>
    <t>Великоберезька територіальна громада</t>
  </si>
  <si>
    <t>Великі Береги</t>
  </si>
  <si>
    <t>Великоберезька сільська рада, Берегуйфалівська сільська рада, Квасівська сільська рада, Нижньореметівська сільська рада</t>
  </si>
  <si>
    <t>Великобийганська територіальна громада</t>
  </si>
  <si>
    <t>Велика Бийгань</t>
  </si>
  <si>
    <t>Великобийганська сільська рада, Астейська сільська рада, Гутівська сільська рада, Дийдянська сільська рада, Мочолянська сільська рада</t>
  </si>
  <si>
    <t>Вилоцька територіальна громада</t>
  </si>
  <si>
    <t>Вилок</t>
  </si>
  <si>
    <t>Вилоцька селищна рада, Вербовецька сільська рада, Матіївська сільська рада, Новосільська сільська рада, Перехрестівська сільська рада, Пушкінська сільська рада, Шаланківська сільська рада</t>
  </si>
  <si>
    <t>Виноградівська територіальна громада</t>
  </si>
  <si>
    <t>Виноградів</t>
  </si>
  <si>
    <t>Виноградівська міська рада, Боржавська сільська рада, Буківська сільська рада, Великокопанська сільська рада, Великоком’ятівська сільська рада, Дротинська сільська рада, Малокопанська сільська рада, Олешницька сільська рада, Оноцька сільська рада, Підвиноградівська сільська рада, Фанчиківська сільська рада, Широківська сільська рада</t>
  </si>
  <si>
    <t>Кам’янська сільська рада, Арданівська сільська рада, Сілецька сільська рада</t>
  </si>
  <si>
    <t>Королівська територіальна громада</t>
  </si>
  <si>
    <t>Королево</t>
  </si>
  <si>
    <t>Королівська селищна рада, Веряцька сільська рада, Новоселицька сільська рада, Сасівська сільська рада, Теківська сільська рада, Хижанська сільська рада, Чернянська сільська рада</t>
  </si>
  <si>
    <t>Косоньська територіальна громада</t>
  </si>
  <si>
    <t>Косоньська сільська рада, Запсоньська сільська рада, Попівська сільська рада, Рафайнівська сільська рада, Шомська сільська рада</t>
  </si>
  <si>
    <t>Пийтерфолвівська територіальна громада</t>
  </si>
  <si>
    <t>Пийтерфолво</t>
  </si>
  <si>
    <t>Пийтерфолвівська сільська рада, Великопаладська сільська рада, Дюлянська сільська рада, Неветленфолівська сільська рада, Чепівська сільська рада, Чорнотисівська сільська рада</t>
  </si>
  <si>
    <t>Мукачівський район</t>
  </si>
  <si>
    <t>Івановецька територіальна громада</t>
  </si>
  <si>
    <t>Іванівці</t>
  </si>
  <si>
    <t>Івановецька сільська рада, Бобовищенська сільська рада, Жуківська сільська рада, Копиновецька сільська рада, Лохівська сільська рада</t>
  </si>
  <si>
    <t>Великолучківська територіальна громада</t>
  </si>
  <si>
    <t>Великі Лучки</t>
  </si>
  <si>
    <t>Великолучківська сільська рада, Зняцівська сільська рада, Кальницька сільська рада, Ракошинська сільська рада</t>
  </si>
  <si>
    <t>Верхньокоропецька територіальна громада</t>
  </si>
  <si>
    <t>Верхній Коропець</t>
  </si>
  <si>
    <t>Верхньокоропецька сільська рада, Зубівська сільська рада, Лалівська сільська рада, Станівська сільська рада, Яблунівська сільська рада</t>
  </si>
  <si>
    <t>Воловецька територіальна громада</t>
  </si>
  <si>
    <t>Воловець</t>
  </si>
  <si>
    <t>Воловецька селищна рада, Гукливська сільська рада, Скотарська сільська рада</t>
  </si>
  <si>
    <t>Горондівська територіальна громада</t>
  </si>
  <si>
    <t>Горондівська сільська рада, Жнятинська сільська рада, Страбичівська сільська рада</t>
  </si>
  <si>
    <t>Жденіївська територіальна громада</t>
  </si>
  <si>
    <t>Жденіїво</t>
  </si>
  <si>
    <t>Жденіївська селищна рада, Буковецька сільська рада, Підполозянська сільська рада, Розтоцька сільська рада, Щербовецька сільська рада</t>
  </si>
  <si>
    <t>Кольчинська територіальна громада</t>
  </si>
  <si>
    <t>Кольчино</t>
  </si>
  <si>
    <t>Кольчинська селищна рада, Верхньовизницька сільська рада, Пузняковецька сільська рада</t>
  </si>
  <si>
    <t>Мукачівська територіальна громада</t>
  </si>
  <si>
    <t>Мукачеве</t>
  </si>
  <si>
    <t>Мукачівська міська рада, Дерценська сільська рада, Завидівська сільська рада, Залужанська сільська рада, Ключарківська сільська рада, Лавківська сільська рада, Макарівська сільська рада, Нижньокоропецька сільська рада, Новодавидківська сільська рада, Павшинська сільська рада, Пістрялівська сільська рада, Форношська сільська рада, Шенборнська сільська рада, Доробратівська сільська рада, Негрівська сільська рада</t>
  </si>
  <si>
    <t>Неліпинська територіальна громада</t>
  </si>
  <si>
    <t>Неліпино</t>
  </si>
  <si>
    <t>Неліпинська сільська рада, Ганьковицька сільська рада</t>
  </si>
  <si>
    <t>Нижньоворітська територіальна громада</t>
  </si>
  <si>
    <t>Нижні Ворота</t>
  </si>
  <si>
    <t>Нижньоворітська сільська рада, Абранська сільська рада, Біласовицька сільська рада, Верб’язька сільська рада, Верхньоворітська сільська рада, Лазівська сільська рада, Тишівська сільська рада</t>
  </si>
  <si>
    <t>Полянська територіальна громада</t>
  </si>
  <si>
    <t>Полянська сільська рада, Голубинська сільська рада, Плосківська сільська рада, Родниківська сільська рада, Солочинська сільська рада, Сусківська сільська рада</t>
  </si>
  <si>
    <t>Свалявська територіальна громада</t>
  </si>
  <si>
    <t>Свалява</t>
  </si>
  <si>
    <t>Свалявська міська рада, Дусинська сільська рада, Стройненська сільська рада, Тибавська сільська рада</t>
  </si>
  <si>
    <t>Чинадіївська територіальна громада</t>
  </si>
  <si>
    <t>Чинадійово</t>
  </si>
  <si>
    <t>Чинадіївська селищна рада, Бабичівська сільська рада, Бистрицька сільська рада, Брестівська сільська рада, Обавська сільська рада</t>
  </si>
  <si>
    <t>Рахівський район</t>
  </si>
  <si>
    <t>Богданська територіальна громада</t>
  </si>
  <si>
    <t>Богдан</t>
  </si>
  <si>
    <t>Богданська сільська рада, Видричанська сільська рада, Лугівська сільська рада, Розтоківська сільська рада</t>
  </si>
  <si>
    <t>Великобичківська територіальна громада</t>
  </si>
  <si>
    <t>Великий Бичків</t>
  </si>
  <si>
    <t>Великобичківська селищна рада, Кобилецько-Полянська селищна рада, Верхньоводянська сільська рада, Водицька сільська рада, Косівсько-Полянська сільська рада, Лужанська сільська рада, Росішківська сільська рада</t>
  </si>
  <si>
    <t>Рахівська територіальна громада</t>
  </si>
  <si>
    <t>Рахів</t>
  </si>
  <si>
    <t>Рахівська міська рада, Білинська сільська рада, Діловецька сільська рада, Костилівська сільська рада</t>
  </si>
  <si>
    <t>Ясінянська територіальна громада</t>
  </si>
  <si>
    <t>Ясіня</t>
  </si>
  <si>
    <t>Ясінянська селищна рада, Квасівська сільська рада, Лазещинська сільська рада, Чорнотисянська сільська рада</t>
  </si>
  <si>
    <t>Тячівський район</t>
  </si>
  <si>
    <t>Бедевлянська територіальна громада</t>
  </si>
  <si>
    <t>Бедевля</t>
  </si>
  <si>
    <t>Бедевлянська сільська рада, Біловарська сільська рада</t>
  </si>
  <si>
    <t>Буштинська територіальна громада</t>
  </si>
  <si>
    <t>Буштино</t>
  </si>
  <si>
    <t>Буштинська селищна рада, Вонігівська сільська рада, Дулівська сільська рада, Кричівська сільська рада, Новобарівська сільська рада, Тереблянська сільська рада, Чумалівська сільська рада</t>
  </si>
  <si>
    <t>Вільховецька територіальна громада</t>
  </si>
  <si>
    <t>Вільховецька сільська рада, Вільховецько-Лазівська сільська рада, Добрянська сільська рада</t>
  </si>
  <si>
    <t>Дубове</t>
  </si>
  <si>
    <t>Дубівська селищна рада, Калинівська сільська рада, Краснянська сільська рада</t>
  </si>
  <si>
    <t>Нересницька територіальна громада</t>
  </si>
  <si>
    <t>Нересниця</t>
  </si>
  <si>
    <t>Нересницька сільська рада, Ганичівська сільська рада, Новоселицька сільська рада, Тарасівська сільська рада, Тернівська сільська рада, Широколузька сільська рада</t>
  </si>
  <si>
    <t>Солотвинська територіальна громада</t>
  </si>
  <si>
    <t>Солотвино</t>
  </si>
  <si>
    <t>Солотвинська селищна рада, Глибокопотіцька сільська рада, Нижньоапшанська сільська рада, Топчинська сільська рада, Білоцерківська сільська рада, Середньоводянська сільська рада</t>
  </si>
  <si>
    <t>Тересвянська територіальна громада</t>
  </si>
  <si>
    <t>Тересва</t>
  </si>
  <si>
    <t>Тересвянська селищна рада, Грушівська сільська рада, Кривська сільська рада</t>
  </si>
  <si>
    <t>Тячівська територіальна громада</t>
  </si>
  <si>
    <t>Тячівська міська рада, Лазівська сільська рада, Руськополівська сільська рада</t>
  </si>
  <si>
    <t>Углянська територіальна громада</t>
  </si>
  <si>
    <t>Угля</t>
  </si>
  <si>
    <t>Углянська сільська рада, Великоугольська сільська рада, Колодненська сільська рада</t>
  </si>
  <si>
    <t>Усть-Чорнянська територіальна громада</t>
  </si>
  <si>
    <t>Усть-Чорна</t>
  </si>
  <si>
    <t>Усть-Чорнянська селищна рада, Лопухівська сільська рада, Руськомокрянська сільська рада</t>
  </si>
  <si>
    <t>Ужгородський район</t>
  </si>
  <si>
    <t>Баранинська територіальна громада</t>
  </si>
  <si>
    <t>Баранинська сільська рада, Великолазівська сільська рада, Руськокомарівська сільська рада, Холмецька сільська рада, Яроцька сільська рада</t>
  </si>
  <si>
    <t>Великоберезнянська територіальна громада</t>
  </si>
  <si>
    <t>Великоберезнянська селищна рада, Забрідська сільська рада, Розтоцько-Пастільська сільська рада, Стричавська сільська рада</t>
  </si>
  <si>
    <t>Великодобронська територіальна громада</t>
  </si>
  <si>
    <t>Велика Добронь</t>
  </si>
  <si>
    <t>Великодобронська сільська рада, Малодобронська сільська рада, Тисаагтелекська сільська рада, Чомонинська сільська рада</t>
  </si>
  <si>
    <t>Дубриницько-Малоберезнянська територіальна громада</t>
  </si>
  <si>
    <t>Дубриничі</t>
  </si>
  <si>
    <t>Дубриницька сільська рада, Новоселицька сільська рада, Буківцівська сільська рада, Малоберезнянська сільська рада, Смереківська сільська рада, Чорноголівська сільська рада</t>
  </si>
  <si>
    <t>Костринська територіальна громада</t>
  </si>
  <si>
    <t>Кострино</t>
  </si>
  <si>
    <t>Костринська сільська рада, Вишківська сільська рада, Лютянська сільська рада, Солянська сільська рада</t>
  </si>
  <si>
    <t>Оноківська територіальна громада</t>
  </si>
  <si>
    <t>Оноківська сільська рада, Кам’яницька сільська рада, Невицька сільська рада</t>
  </si>
  <si>
    <t>Перечинська територіальна громада</t>
  </si>
  <si>
    <t>Перечинська міська рада, Ворочівська сільська рада, Зарічівська сільська рада, Сімерська сільська рада, Сімерківська сільська рада</t>
  </si>
  <si>
    <t>Середнянська територіальна громада</t>
  </si>
  <si>
    <t>Середнє</t>
  </si>
  <si>
    <t>Середнянська селищна рада, Ірлявська сільська рада, Дубрівська сільська рада, Киблярівська сільська рада, Пацканівська сільська рада, Худлівська сільська рада</t>
  </si>
  <si>
    <t>Ставненська територіальна громада</t>
  </si>
  <si>
    <t>Ставне</t>
  </si>
  <si>
    <t>Ставненська сільська рада, Верховино-Бистрянська сільська рада, Волосянківська сільська рада, Загорбська сільська рада, Лубнянська сільська рада, Стужицька сільська рада, Тихівська сільська рада, Ужоцька сільська рада</t>
  </si>
  <si>
    <t>Сюртівська територіальна громада</t>
  </si>
  <si>
    <t>Сюрте</t>
  </si>
  <si>
    <t>Сюртівська сільська рада, Великогеєвецька сільська рада, Галоцька сільська рада, Паладь-Комарівецька сільська рада, Ратівецька сільська рада, Тийгласька сільська рада, Часлівецька сільська рада</t>
  </si>
  <si>
    <t>Тур'є-Реметівська територіальна громада</t>
  </si>
  <si>
    <t>Тур’ї Ремети</t>
  </si>
  <si>
    <t>Тур’є-Реметівська сільська рада, Вільшинківська сільська рада, Порошківська сільська рада, Тур’є-Полянська сільська рада, Турицька сільська рада, Туричківська сільська рада, Тур’є-Пасіцька сільська рада, Тур’є-Бистрянська сільська рада</t>
  </si>
  <si>
    <t>Ужгородська територіальна громада</t>
  </si>
  <si>
    <t>Ужгород</t>
  </si>
  <si>
    <t>Ужгородська міська рада</t>
  </si>
  <si>
    <t>Холмківська територіальна громада</t>
  </si>
  <si>
    <t>Холмківська сільська рада, Коритнянська сільська рада, Сторожницька сільська рада, Тарновецька сільська рада</t>
  </si>
  <si>
    <t>Чопська територіальна громада</t>
  </si>
  <si>
    <t>Чоп</t>
  </si>
  <si>
    <t>Чопська міська рада, Есенська сільська рада, Соловківська сільська рада, Соломонівська сільська рада, Тисаашванська сільська рада, Червонівська сільська рада</t>
  </si>
  <si>
    <t>Хустський район</t>
  </si>
  <si>
    <t>Іршавська територіальна громада</t>
  </si>
  <si>
    <t>Іршавська міська рада, Ільницька сільська рада, Брідська сільська рада, Загатянська сільська рада, Лозянська сільська рада, Дубрівська сільська рада, Осійська сільська рада, Чорнопотіцька сільська рада</t>
  </si>
  <si>
    <t>Білківська територіальна громада</t>
  </si>
  <si>
    <t>Білки</t>
  </si>
  <si>
    <t>Білківська сільська рада, Імстичівська сільська рада, Великораковецька сільська рада, Луківська сільська рада, Малораковецька сільська рада</t>
  </si>
  <si>
    <t>Вишківська територіальна громада</t>
  </si>
  <si>
    <t>Вишково</t>
  </si>
  <si>
    <t>Вишківська селищна рада, Велятинська сільська рада</t>
  </si>
  <si>
    <t>Горінчівська територіальна громада</t>
  </si>
  <si>
    <t>Горінчово</t>
  </si>
  <si>
    <t>Горінчівська сільська рада, Березівська сільська рада, Монастирецька сільська рада, Нижньобистрівська сільська рада</t>
  </si>
  <si>
    <t>Довжанська територіальна громада</t>
  </si>
  <si>
    <t>Довжанська сільська рада, Броньківська сільська рада, Приборжавська сільська рада, Липецько-Полянська сільська рада</t>
  </si>
  <si>
    <t>Драгівська територіальна громада</t>
  </si>
  <si>
    <t>Драгово</t>
  </si>
  <si>
    <t>Драгівська сільська рада, Вільшанівська сільська рада, Забрідська сільська рада, Золотарівська сільська рада</t>
  </si>
  <si>
    <t>Зарічанська територіальна громада</t>
  </si>
  <si>
    <t>Зарічанська сільська рада, Вільхівська сільська рада, Греблянська сільська рада</t>
  </si>
  <si>
    <t>Керецьківська територіальна громада</t>
  </si>
  <si>
    <t>Керецьківська сільська рада, Березниківська сільська рада, Кушницька сільська рада, Лисичівська сільська рада</t>
  </si>
  <si>
    <t>Колочавська територіальна громада</t>
  </si>
  <si>
    <t>Колочава</t>
  </si>
  <si>
    <t>Колочавська сільська рада, Негровецька сільська рада</t>
  </si>
  <si>
    <t>Міжгірська територіальна громада</t>
  </si>
  <si>
    <t>Міжгір'я</t>
  </si>
  <si>
    <t>Міжгірська селищна рада, Верхньобистрянська сільська рада, Вучківська сільська рада, Голятинська сільська рада, Лозянська сільська рада, Лісковецька сільська рада, Майданська сільська рада, Новоселицька сільська рада, Присліпська сільська рада, Репинська сільська рада, Соймівська сільська рада, Торуньська сільська рада</t>
  </si>
  <si>
    <t>Пилипецька територіальна громада</t>
  </si>
  <si>
    <t>Пилипець</t>
  </si>
  <si>
    <t>Пилипецька сільська рада, Ізківська сільська рада, Буковецька сільська рада, Келечинська сільська рада, Нижньостуденівська сільська рада, Річківська сільська рада, Тюшківська сільська рада</t>
  </si>
  <si>
    <t>Синевирська територіальна громада</t>
  </si>
  <si>
    <t>Синевир</t>
  </si>
  <si>
    <t>Синевирська сільська рада, Синевирсько-Полянська сільська рада</t>
  </si>
  <si>
    <t>Хустська територіальна громада</t>
  </si>
  <si>
    <t>Хуст</t>
  </si>
  <si>
    <t>Хустська міська рада, Ізянська сільська рада, Боронявська сільська рада, Данилівська сільська рада, Копашнівська сільська рада, Кошелівська сільська рада, Крайниківська сільська рада, Кривська сільська рада, Липовецька сільська рада, Липчанська сільська рада, Нанківська сільська рада, Нижньоселищенська сільська рада, Олександрівська сільська рада, Рокосівська сільська рада, Сокирницька сільська рада, Стеблівська сільська рада</t>
  </si>
  <si>
    <t>Запорізька область</t>
  </si>
  <si>
    <t>Бердянський район</t>
  </si>
  <si>
    <t>Андрівська територіальна громада</t>
  </si>
  <si>
    <t>Андрівська сільська рада, Новотроїцька сільська рада</t>
  </si>
  <si>
    <t>Андріївка</t>
  </si>
  <si>
    <t>Андріївська селищна рада, Дмитрівська сільська рада, Долинська сільська рада</t>
  </si>
  <si>
    <t>Бердянська територіальна громада</t>
  </si>
  <si>
    <t>Бердянськ</t>
  </si>
  <si>
    <t>Бердянська міська рада, Азовська сільська рада, Нововасилівська сільська рада</t>
  </si>
  <si>
    <t>Берестівська територіальна громада</t>
  </si>
  <si>
    <t>Берестівська сільська рада, Миколаївська сільська рада, Карло-Марксівська сільська рада</t>
  </si>
  <si>
    <t>Коларівська територіальна громада</t>
  </si>
  <si>
    <t>Коларівка</t>
  </si>
  <si>
    <t>Коларівська сільська рада, Єлизаветівська сільська рада, Єлисеївська сільська рада, Гюнівська сільська рада, Зеленівська сільська рада, Юр’ївська сільська рада</t>
  </si>
  <si>
    <t>Осипенківська територіальна громада</t>
  </si>
  <si>
    <t>Осипенківська сільська рада, Новопетрівська сільська рада, Червонопільська сільська рада</t>
  </si>
  <si>
    <t>Приморська територіальна громада</t>
  </si>
  <si>
    <t>Приморська міська рада, Інзівська сільська рада, Банівська сільська рада, Борисівська сільська рада, Вячеславська сільська рада, Мануйлівська сільська рада, Новоолексіївська громада, Орлівська сільська рада, Партизанська сільська рада, Преславська сільська рада</t>
  </si>
  <si>
    <t>Чернігівська територіальна громада</t>
  </si>
  <si>
    <t>Чернігівська селищна рада, Ільїинська сільська рада, Богданівська сільська рада, Верхньотокмацька сільська рада, Владівська сільська рада, Новоказанкуватська сільська рада Чернігівського району Запорізької області, Новомихайлівська сільська рада, Новополтавська сільська рада, Обіточненська сільська рада, Просторівська сільська рада, Стульневська сільська рада, Широкоярська сільська рада</t>
  </si>
  <si>
    <t>Василівський район</t>
  </si>
  <si>
    <t>Благовіщенська територіальна громада</t>
  </si>
  <si>
    <t>Благовіщенська сільська рада, Іванівська сільська рада, Новодніпровська сільська рада</t>
  </si>
  <si>
    <t>Василівська територіальна громада</t>
  </si>
  <si>
    <t>Василівка</t>
  </si>
  <si>
    <t>Василівська міська рада, Верхньокриничанська сільська рада, Кам’янська сільська рада, Лугівська сільська рада, Підгірненська сільська рада, Скельківська сільська рада, Широківська сільська рада, КОАТУУ: 2320983203)</t>
  </si>
  <si>
    <t>Великобілозерська територіальна громада</t>
  </si>
  <si>
    <t>Великобілозерська сільська рада, Новопетрівська сільська рада, Трудова сільська рада, Червона сільська рада, Гюнівська сільська рада</t>
  </si>
  <si>
    <t>Водянська територіальна громада</t>
  </si>
  <si>
    <t>Водянська сільська рада, Дніпровська сільська рада, Заповітненська сільська рада, Нововодянська сільська рада</t>
  </si>
  <si>
    <t>Дніпрорудненська територіальна громада</t>
  </si>
  <si>
    <t>Дніпрорудне</t>
  </si>
  <si>
    <t>Дніпрорудненська міська рада, КОАТУУ: 2320986602), КОАТУУ: 2320986603)</t>
  </si>
  <si>
    <t>Енергодарська територіальна громада</t>
  </si>
  <si>
    <t>Енергодар</t>
  </si>
  <si>
    <t>Енергодарська міська рада</t>
  </si>
  <si>
    <t>Кам'янсько-Дніпровська територіальна громада</t>
  </si>
  <si>
    <t>Кам’янсько-Дніпровська міська рада, Великознам’янська сільська рада</t>
  </si>
  <si>
    <t>Малобілозерська територіальна громада</t>
  </si>
  <si>
    <t>Мала Білозерка</t>
  </si>
  <si>
    <t>Малобілозерська сільська рада, Балківська сільська рада, Орлянська сільська рада</t>
  </si>
  <si>
    <t>Михайлівська територіальна громада</t>
  </si>
  <si>
    <t>Михайлівська селищна рада, Пришибська селищна рада, Бурчацька сільська рада, Тимошівська сільська рада</t>
  </si>
  <si>
    <t>Роздольська територіальна громада</t>
  </si>
  <si>
    <t>Роздольська сільська рада, Високівська сільська рада, Любимівська сільська рада, Коханівська сільська рада, Таврійська сільська рада</t>
  </si>
  <si>
    <t>Степногірська територіальна громада</t>
  </si>
  <si>
    <t>Степногірськ</t>
  </si>
  <si>
    <t>Степногірська селищна рада, Приморська сільська рада, П’ятихатська сільська рада</t>
  </si>
  <si>
    <t>Запорізький район</t>
  </si>
  <si>
    <t>Біленьківська територіальна громада</t>
  </si>
  <si>
    <t>Біленьківська сільська рада, Лисогірська сільська рада, Мар’ївська сільська рада</t>
  </si>
  <si>
    <t>Вільнянська територіальна громада</t>
  </si>
  <si>
    <t>Вільнянськ</t>
  </si>
  <si>
    <t>Вільнянська міська рада, Любимівська сільська рада, Новогупалівська сільська рада</t>
  </si>
  <si>
    <t>Долинська територіальна громада</t>
  </si>
  <si>
    <t>Долинська сільська рада, Розумівська сільська рада</t>
  </si>
  <si>
    <t>Запорізька територіальна громада</t>
  </si>
  <si>
    <t>Запоріжжя</t>
  </si>
  <si>
    <t>Запорізька міська рада, Теплична селищна рада, Сонячна сільська рада</t>
  </si>
  <si>
    <t>Комишуваська територіальна громада</t>
  </si>
  <si>
    <t>Комишуваська селищна рада, Димитрівська сільська рада, Новотавричеська сільська рада, Новотроїцька сільська рада, Новояковлівська сільська рада, Новоіванівська сільська рада, Щасливська сільська рада, Яснополянська сільська рада</t>
  </si>
  <si>
    <t>Кушугумська територіальна громада</t>
  </si>
  <si>
    <t>Кушугум</t>
  </si>
  <si>
    <t>Кушугумська селищна рада, Балабинська селищна рада, Малокатеринівська селищна рада</t>
  </si>
  <si>
    <t>Матвіївська територіальна громада</t>
  </si>
  <si>
    <t>Матвіївка</t>
  </si>
  <si>
    <t>Матвіївська сільська рада, Кам’яна селищна рада, Дружелюбівська сільська рада, Купріянівська сільська рада</t>
  </si>
  <si>
    <t>Михайло-Лукашівська територіальна громада</t>
  </si>
  <si>
    <t>Михайло-Лукашеве</t>
  </si>
  <si>
    <t>Михайло-Лукашівська сільська рада, Антонівська сільська рада, Максимівська сільська рада, Московська сільська рада, Привільненська сільська рада</t>
  </si>
  <si>
    <t>Новомиколаївська територіальна громада</t>
  </si>
  <si>
    <t>Новомиколаївка</t>
  </si>
  <si>
    <t>Новомиколаївська селищна рада, Веселогаївська сільська рада, Зеленівська сільська рада, Новоіванківська сільська рада, Підгірненська сільська рада, Софіївська сільська рада, Сторчівська сільська рада, Терсянська сільська рада, Трудова сільська рада</t>
  </si>
  <si>
    <t>Новоолександрівська сільська рада, Григорівська сільська рада</t>
  </si>
  <si>
    <t>Павлівська сільська рада, Семененківська сільська рада, Солоненська сільська рада</t>
  </si>
  <si>
    <t>Петро-Михайлівська територіальна громада</t>
  </si>
  <si>
    <t>Петро-Михайлівська сільська рада, Гнаровська сільська рада, Дніпровська сільська рада, Тернівська сільська рада</t>
  </si>
  <si>
    <t>Степненська територіальна громада</t>
  </si>
  <si>
    <t>Степне</t>
  </si>
  <si>
    <t>Степненська сільська рада, Наталівська сільська рада</t>
  </si>
  <si>
    <t>Таврійська територіальна громада</t>
  </si>
  <si>
    <t>Таврійська сільська рада, Юрківська сільська рада</t>
  </si>
  <si>
    <t>Тернуватська територіальна громада</t>
  </si>
  <si>
    <t>Тернуватська селищна рада, Барвінівська сільська рада, Любицька сільська рада, Різдвянська сільська рада, Самійлівська сільська рада</t>
  </si>
  <si>
    <t>Широківська сільська рада, Августинівська сільська рада, Веселівська сільська рада, Володимирівська сільська рада, Лукашівська сільська рада, Миколай-Пільська сільська рада, КОАТУУ: 2322188803)</t>
  </si>
  <si>
    <t>Мелітопольський район</t>
  </si>
  <si>
    <t>Веселівська територіальна громада</t>
  </si>
  <si>
    <t>Веселівська селищна рада, Мало-Михайлівка сільська рада, Менчикурівська сільська рада, Широківська сільська рада</t>
  </si>
  <si>
    <t>Кирилівська територіальна громада</t>
  </si>
  <si>
    <t>Кирилівська селищна рада, Атманайська сільська рада, Охрімівська сільська рада</t>
  </si>
  <si>
    <t>Костянтинівська сільська рада, Вознесенська сільська рада</t>
  </si>
  <si>
    <t>Мелітопольська територіальна громада</t>
  </si>
  <si>
    <t>Мелітополь</t>
  </si>
  <si>
    <t>Мелітопольська міська рада</t>
  </si>
  <si>
    <t>Мирненська селищна рада, Астраханська сільська рада, Новопилипівська сільська рада</t>
  </si>
  <si>
    <t>Новенська територіальна громада</t>
  </si>
  <si>
    <t>Новенська сільська рада, Мордвинівська сільська рада, Фруктівська сільська рада</t>
  </si>
  <si>
    <t>Новобогданівська територіальна громада</t>
  </si>
  <si>
    <t>Новобогданівська сільська рада, Старобогданівська сільська рада</t>
  </si>
  <si>
    <t>Нововасилівська територіальна громада</t>
  </si>
  <si>
    <t>Нововасилівка</t>
  </si>
  <si>
    <t>Нововасилівська селищна рада, Воскресенська сільська рада, Беседівська сільська рада, Ганнівська сільська рада, Маківська сільська рада, Новоспаська сільська рада, Розівська сільська рада, Федорівська сільська рада</t>
  </si>
  <si>
    <t>Новоуспенівська територіальна громада</t>
  </si>
  <si>
    <t>Новоуспенівська сільська рада, Запорізька сільська рада, Матвіївська сільська рада, Таврійська сільська рада</t>
  </si>
  <si>
    <t>Олександрівська сільська рада, Георгіївська сільська рада, Гірсівська сільська рада, Дунаївська сільська рада, Дівнинська сільська рада, Надеждинська сільська рада, Новокостянтинівська сільська рада, Степанівська Перша сільська рада, Чкаловська сільська рада</t>
  </si>
  <si>
    <t>Плодородненська територіальна громада</t>
  </si>
  <si>
    <t>Плодородненська сільська рада, Мар’янівська сільська рада</t>
  </si>
  <si>
    <t>Приазовська територіальна громада</t>
  </si>
  <si>
    <t>Приазовська селищна рада, Ботіївська сільська рада, Володимирівська сільська рада, Дмитрівська сільська рада, Добрівська сільська рада, Приморсько-Посадська сільська рада, Богданівська сільська рада, Шевченківська сільська рада</t>
  </si>
  <si>
    <t>Семенівська сільська рада, Новгородківська сільська рада, Новомиколаївська сільська рада, Полянівська сільська рада</t>
  </si>
  <si>
    <t>Терпіннівська територіальна громада</t>
  </si>
  <si>
    <t>Терпіння</t>
  </si>
  <si>
    <t>Терпіннівська сільська рада, Промінівська сільська рада, Світлодолинська сільська рада</t>
  </si>
  <si>
    <t>Чкаловська територіальна громада</t>
  </si>
  <si>
    <t>Чкаловська сільська рада, Гоголівська сільська рада, Зеленогаївська сільська рада, Калинівська сільська рада, Корніївська сільська рада</t>
  </si>
  <si>
    <t>Якимівська територіальна громада</t>
  </si>
  <si>
    <t>Якимівська селищна рада, Володимирівська сільська рада, Давидівська сільська рада, Горьківська сільська рада, Новоданилівська сільська рада, Переможненська сільська рада, Радивонівський старостинський округ №5 Якимівської селищної ради, Розівська сільська рада, Таврійська сільська рада, Чорноземненська сільська рада, Шелюгівська сільська рада</t>
  </si>
  <si>
    <t>Пологівський район</t>
  </si>
  <si>
    <t>Більмацька територіальна громада</t>
  </si>
  <si>
    <t>Більмацька селищна рада, Більманська сільська рада, Вершинська сільська рада, Гусарківська сільська рада, Мар’янівська сільська рада, Новоукраїнська сільська рада, Смілівська сільська рада</t>
  </si>
  <si>
    <t>Воздвижівська територіальна громада</t>
  </si>
  <si>
    <t>Воздвижівська сільська рада, Верхньотерсянська сільська рада, Добропільська сільська рада, Долинська сільська рада</t>
  </si>
  <si>
    <t>Воскресенська територіальна громада</t>
  </si>
  <si>
    <t>Воскресенська Чапаєвська) сільська рада, Кінсько-Роздорівська сільська рада</t>
  </si>
  <si>
    <t>Гуляйпільська територіальна громада</t>
  </si>
  <si>
    <t>Гуляйпільська міська рада, Залізнична селищна рада, Гуляйпільська сільська рада, Дорожнянська сільська рада, Мирненська сільська рада, Новомиколаївська сільська рада, Петрівська сільська рада, Рівнопільська сільська рада, Темирівська сільська рада, Успенівська сільська рада, Червоненська сільська рада</t>
  </si>
  <si>
    <t>Комиш-Зорянська територіальна громада</t>
  </si>
  <si>
    <t>Комиш-Зорянська селищна рада, Благовіщенська сільська рада, Білоцерківська сільська рада, Ланцівська сільська рада, Шевченківська сільська рада</t>
  </si>
  <si>
    <t>Малинівська територіальна громада</t>
  </si>
  <si>
    <t>Малинівська сільська рада, Любимівська сільська рада, Новозлатопільська  сільська рада, Полтавська сільська рада, Приютненська сільська рада</t>
  </si>
  <si>
    <t>Малотокмачанська територіальна громада</t>
  </si>
  <si>
    <t>Малотокмачанська сільська рада, Білогір’ївська сільська рада</t>
  </si>
  <si>
    <t>Молочанська територіальна громада</t>
  </si>
  <si>
    <t>Молочанськ</t>
  </si>
  <si>
    <t>Молочанська міська рада, Балківська сільська рада, Виноградненська сільська рада, Долинська сільська рада, Кіровська сільська рада, Новомиколаївська сільська рада</t>
  </si>
  <si>
    <t>Оріхівська територіальна громада</t>
  </si>
  <si>
    <t>Оріхівська міська рада, Копанівська сільська рада, Мирненська сільська рада, Нестерянська сільська рада, Новоандріївська сільська рада, Новоданилівська сільська рада, Новопавлівська сільська рада</t>
  </si>
  <si>
    <t>Пологівська територіальна громада</t>
  </si>
  <si>
    <t>Пологівська міська рада, Інженерненська сільська рада, Басанська сільська рада, Вербівська сільська рада, Григорівська сільська рада, Костянтинівська сільська рада, Пологівська сільська рада, Семенівська сільська рада, Тарасівська сільська рада</t>
  </si>
  <si>
    <t>Преображенська територіальна громада</t>
  </si>
  <si>
    <t>Преображенська сільська рада, Вільнянська сільська рада, Микільська сільська рада, Новоселівська сільська рада, Омельницька сільська рада</t>
  </si>
  <si>
    <t>Розівська територіальна громада</t>
  </si>
  <si>
    <t>Розівська селищна рада, Азовська сільська рада, Вишнюватська сільська рада, Зорянський старостинський округ, Кузнецівська сільська рада, Новозлатопільська сільська рада, Новомлинівська сільська рада, Солодководненська сільська рада</t>
  </si>
  <si>
    <t>Смирновська територіальна громада</t>
  </si>
  <si>
    <t>Смирновська сільська рада, Зразківська сільська рада, Титовська сільська рада</t>
  </si>
  <si>
    <t>Токмацька територіальна громада</t>
  </si>
  <si>
    <t>Токмак</t>
  </si>
  <si>
    <t>Токмацька міська рада, Жовтнева сільська рада, Новенська сільська рада, Новопрокопівська сільська рада, Остриківська сільська рада, Очеретуватська сільська рада</t>
  </si>
  <si>
    <t>Федорівська територіальна громада</t>
  </si>
  <si>
    <t>Федорівська сільська рада, Новоселівська сільська рада</t>
  </si>
  <si>
    <t>Івано-Франківська область</t>
  </si>
  <si>
    <t>Івано-Франківський район</t>
  </si>
  <si>
    <t>Єзупільська територіальна громада</t>
  </si>
  <si>
    <t>Єзупільська селищна рада, Ганнусівська сільська рада, Довгівська сільська рада, Поберезька сільська рада, Стриганецька сільська рада</t>
  </si>
  <si>
    <t>Івано-Франківська територіальна громада</t>
  </si>
  <si>
    <t>Івано-Франківськ</t>
  </si>
  <si>
    <t>Івано-Франківська міська рада, Вовчинецька сільська рада, Крихівецька сільська рада, Микитинецька сільська рада, Угорницька сільська рада, Хриплинська сільська рада, Каміннецька сільська рада, Тисменичанська сільська рада, Березівська сільська рада, Братковецька сільська рада, Добровлянська сільська рада, Драгомирчанська сільська рада, Колодіївська сільська рада, Підлузька сільська рада, Підпечерівська сільська рада, Радчанська сільська рада, Узинська сільська рада, Черніївська сільська рада, Чукалівська сільська рада</t>
  </si>
  <si>
    <t>Богородчанська територіальна громада</t>
  </si>
  <si>
    <t>Богородчани</t>
  </si>
  <si>
    <t>Богородчанська селищна рада, Іваниківська сільська рада, Глибоківська сільська рада, Глибівська сільська рада, Горохолинська сільська рада, Грабовецька сільська рада, Жураківська сільська рада, Заберезька сільська рада, Похівська сільська рада, Підгірська сільська рада, Саджавська сільська рада, Старунська сільська рада, Хмелівська сільська рада</t>
  </si>
  <si>
    <t>Букачівська територіальна громада</t>
  </si>
  <si>
    <t>Букачівська селищна рада, Вишнівська сільська рада, Козарівська сільська рада, Колоколинська сільська рада, Луковецько-Вишнівська сільська рада, Чагрівська сільська рада, Чернівська сільська рада</t>
  </si>
  <si>
    <t>Бурштинська територіальна громада</t>
  </si>
  <si>
    <t>Бурштин</t>
  </si>
  <si>
    <t>Бурштинська міська рада, Бовшівська сільська рада, Дем’янівська сільська рада, Задністрянська сільська рада, Коростовичівська сільська рада, Насташинська сільська рада, Озерянська сільська рада, Старомартинівська сільська рада, Тенетниківська сільська рада, Сарниківська сільська рада, Юнашківська сільська рада</t>
  </si>
  <si>
    <t>Більшівцівська територіальна громада</t>
  </si>
  <si>
    <t>Більшівцівська селищна рада, Дитятинська сільська рада, Жалиборівська сільська рада, Кукільницька сільська рада, Курівська сільська рада, Кінашівська сільська рада, Нараївська сільська рада, Новоскомарохівська сільська рада, Подільська сільська рада, Яблунівська сільська рада</t>
  </si>
  <si>
    <t>Галицька територіальна громада</t>
  </si>
  <si>
    <t>Галич</t>
  </si>
  <si>
    <t>Галицька міська рада, Блюдниківська сільська рада, Бринська сільська рада, Височанківська сільська рада, Вікторівська сільська рада, Демешківська сільська рада, Дорогівська сільська рада, Залуквянська сільська рада, Комарівська сільська рада, Крилосівська сільська рада, Мединська сільська рада, Перлівецька сільська рада, Сапогівська сільська рада, Козинська сільська рада</t>
  </si>
  <si>
    <t>Дзвиняцька територіальна громада</t>
  </si>
  <si>
    <t>Дзвиняцька сільська рада, Космацька сільська рада, Луквицька сільська рада, Міжгірська сільська рада, Росільнянська сільська рада</t>
  </si>
  <si>
    <t>Дубовецька територіальна громада</t>
  </si>
  <si>
    <t>Дубівці</t>
  </si>
  <si>
    <t>Дубовецька сільська рада, Деліївська сільська рада, Кінчаківська сільська рада, Ланівська сільська рада, Маріямпільська сільська рада, Медухівська сільська рада, Межигорецька сільська рада, Тумирська сільська рада, Тустанська сільська рада</t>
  </si>
  <si>
    <t>Загвіздянська територіальна громада</t>
  </si>
  <si>
    <t>Загвіздянська сільська рада, Підліська сільська рада</t>
  </si>
  <si>
    <t>Лисецька територіальна громада</t>
  </si>
  <si>
    <t>Лисець</t>
  </si>
  <si>
    <t>Лисецька селищна рада, Посіцька сільська рада, Старолисецька сільська рада, Стебниківська сільська рада</t>
  </si>
  <si>
    <t>Обертинська територіальна громада</t>
  </si>
  <si>
    <t>Обертин</t>
  </si>
  <si>
    <t>Обертинська селищна рада, Гавриляцька сільська рада, Гарасимівська сільська рада, Жуківська сільська рада, Хотимирська сільська рада, Яківська сільська рада</t>
  </si>
  <si>
    <t>Олешанська територіальна громада</t>
  </si>
  <si>
    <t>Олешанська сільська рада, Ісаківська сільська рада, Будзинська сільська рада, Делівська сільська рада, Долинська сільська рада, Живачівська сільська рада, Озерянська сільська рада, Петрівська сільська рада, Підвербцівська сільська рада</t>
  </si>
  <si>
    <t>Рогатинська територіальна громада</t>
  </si>
  <si>
    <t>Рогатин</t>
  </si>
  <si>
    <t>Рогатинська міська рада, Бабухівська сільська рада, Вербилівська сільська рада, Верхньолипицька сільська рада, Виспянська сільська рада, Воскресинцівська сільська рада, Григорівська сільська рада, Данильченська сільська рада, Дегівська сільська рада, Дичківська сільська рада, Добринівська сільська рада, Долинянська сільська рада, Жовчівська сільська рада, Заланівська сільська рада, Кліщівнянська сільська рада, Княгиницька сільська рада, Конюшківська сільська рада, Липівська сільська рада, Лучинецька сільська рада, Нижньолипицька сільська рада, Помонятівська сільська рада, Потіцька сільська рада, Пуківська сільська рада, Путятинська сільська рада, Підвинянська сільська рада, Підгородянська сільська рада, Підкамінська сільська рада, Світанківська сільська рада, Стратинська сільська рада, Уїздівська сільська рада, Фразька сільська рада, Черченська сільська рада, Чесниківська сільська рада, Явченська сільська рада</t>
  </si>
  <si>
    <t>Солотвин</t>
  </si>
  <si>
    <t>Солотвинська селищна рада, Бабченська сільська рада, Богрівська сільська рада, Гутянська сільська рада, Кривецька сільська рада, Кричківська сільська рада, Манявська сільська рада, Марківська сільська рада, Монастирчанська сільська рада, Порогівська сільська рада, Раковецька сільська рада, Яблунська сільська рада</t>
  </si>
  <si>
    <t>Старобогородчанська територіальна громада</t>
  </si>
  <si>
    <t>Старобогородчанська сільська рада, Нивочинська сільська рада</t>
  </si>
  <si>
    <t>Тисменицька територіальна громада</t>
  </si>
  <si>
    <t>Тисмениця</t>
  </si>
  <si>
    <t>Тисменицька міська рада, Тисменицька районна рада, Вільшаницька сільська рада, Клубовецька сільська рада, Липівська сільська рада, Марковецька сільська рада, Милуванська сільська рада, Новокривотульська сільська рада, Пшеничниківська сільська рада, Рошнівська сільська рада, Слобідська сільська рада, Старокривотульська сільська рада, Хом’яківська сільська рада, Чорнолізька сільська рада</t>
  </si>
  <si>
    <t>Тлумацька територіальна громада</t>
  </si>
  <si>
    <t>Тлумацька міська рада, Бортниківська сільська рада, Братишівська сільська рада, Вікнянська сільська рада, Гостівська сільська рада, Гриновецька сільська рада, Грушківська сільська рада, Колінцівська сільська рада, Королівська сільська рада, Кутищенська сільська рада, Надорожнянська сільська рада, Нижнівська сільська рада, Олешівська сільська рада, Остринська сільська рада, Палагицька сільська рада, Петрилівська сільська рада, Прибилівська сільська рада, Пужниківська сільська рада, Тарасівська сільська рада</t>
  </si>
  <si>
    <t>Угринівська територіальна громада</t>
  </si>
  <si>
    <t>Угринівська сільська рада, Клузівська сільська рада</t>
  </si>
  <si>
    <t>Ямницька територіальна громада</t>
  </si>
  <si>
    <t>Ямницька сільська рада, Майданська сільська рада, Павлівська сільська рада, Рибненська сільська рада, Сілецька сільська рада, Тязівська сільська рада</t>
  </si>
  <si>
    <t>Верховинський район</t>
  </si>
  <si>
    <t>Білоберізька територіальна громада</t>
  </si>
  <si>
    <t>Білоберізька сільська рада, Голошинська сільська рада, Гринявська сільська рада, Довгопільська сільська рада, Пробійнівська сільська рада, Стебнівська сільська рада, Устеріківська сільська рада, Хороцівська сільська рада, Яблуницька сільська рада, КОАТУУ: 2620883003), КОАТУУ: 2620888003)</t>
  </si>
  <si>
    <t>Верховинська територіальна громада</t>
  </si>
  <si>
    <t>Верховина</t>
  </si>
  <si>
    <t>Верховинська селищна рада, Ільцівська сільська рада, Буковецька сільська рада, Верхньоясенівська сільська рада, Голівська сільська рада, Замагірська сільська рада, Красницька сільська рада, Красноїльська сільська рада, Кривопільська сільська рада, Криворівнянська сільська рада, Перехресненська сільська рада</t>
  </si>
  <si>
    <t>Зеленська територіальна громада</t>
  </si>
  <si>
    <t>Зелене</t>
  </si>
  <si>
    <t>Зеленська сільська рада, Бистрецька сільська рада</t>
  </si>
  <si>
    <t>Калуський район</t>
  </si>
  <si>
    <t>Болехівська територіальна громада</t>
  </si>
  <si>
    <t>Болехів</t>
  </si>
  <si>
    <t>Болехівська міська рада, Гузіївська сільська рада, Козаківська сільська рада, Міжрічанська сільська рада, Поляницька сільська рада, Тисівська сільська рада</t>
  </si>
  <si>
    <t>Брошнів-Осадська територіальна громада</t>
  </si>
  <si>
    <t>Брошнів-Осадська селищна рада, Брошнівська сільська рада, Креховицька сільська рада, Раківська сільська рада, Кадобнянська сільська рада</t>
  </si>
  <si>
    <t>Верхнянська територіальна громада</t>
  </si>
  <si>
    <t>Верхнянська сільська рада, Довговойнилівська сільська рада, Завадківська сільська рада, Зборянська сільська рада, Негівська сільська рада, Станьківська сільська рада</t>
  </si>
  <si>
    <t>Вигодська територіальна громада</t>
  </si>
  <si>
    <t>Вигодська селищна рада, Вишківська сільська рада, Кропивницька сільська рада, Лолинська сільська рада, Новоселицька сільська рада, Новошинська сільська рада, Підлісківська сільська рада, Сенечівська сільська рада, Старомізунська сільська рада, Шевченківська сільська рада, Ілемнянська сільська рада, КОАТУУ: 2622087602)</t>
  </si>
  <si>
    <t>Витвицька територіальна громада</t>
  </si>
  <si>
    <t>Витвицька сільська рада, Кальнянська сільська рада, Розточківська сільська рада, Слобідсько-Болехівська сільська рада, Станковецька сільська рада</t>
  </si>
  <si>
    <t>Войнилівська територіальна громада</t>
  </si>
  <si>
    <t>Войнилівська селищна рада, Луківська сільська рада, Перевозецька сільська рада, Сівко-Войнилівська сільська рада, Томашівська сільська рада</t>
  </si>
  <si>
    <t>Долинська міська рада, Белеївська сільська рада, Великотур’янська сільська рада, Геринська сільська рада, Гошівська сільська рада, Княжолуцька сільська рада, Малотур’янська сільська рада, Надіївська сільська рада, Новичківська сільська рада, Оболонська сільська рада, Рахинянська сільська рада, Солуківська сільська рада, Тростянецька сільська рада, Тяпчанська сільська рада, Яворівська сільська рада, Підберезька сільська рада, Грабівська сільська рада, Лоп’янська сільська рада</t>
  </si>
  <si>
    <t>Дубівська сільська рада, Вільхівська сільська рада, Князівська сільська рада, Ріпненська сільська рада, Цінівська сільська рада, Ясеновецька сільська рада</t>
  </si>
  <si>
    <t>Калуська територіальна громада</t>
  </si>
  <si>
    <t>Калуш</t>
  </si>
  <si>
    <t>Калуська міська рада, Боднарівська сільська рада, Вістівська сільська рада, Голинська сільська рада, Копанківська сільська рада, Кропивницька сільська рада, Мостищенська сільська рада, Пійлівська сільська рада, Ріп’янська сільська рада, Студінська сільська рада, Сівко-Калуська сільська рада, Тужилівська сільська рада</t>
  </si>
  <si>
    <t>Новицька територіальна громада</t>
  </si>
  <si>
    <t>Новицька сільська рада, Добровлянська сільська рада, Завійська сільська рада, Підмихайлівська сільська рада, Середньоугринівська сільська рада, Берлогівська сільська рада</t>
  </si>
  <si>
    <t>Перегінська територіальна громада</t>
  </si>
  <si>
    <t>Перегінське</t>
  </si>
  <si>
    <t>Перегінська селищна рада, Осмолодська сільська рада, Красненська сільська рада, Небилівська сільська рада, Сливківська сільська рада, Ясенська сільська рада</t>
  </si>
  <si>
    <t>Рожнятівська територіальна громада</t>
  </si>
  <si>
    <t>Рожнятів</t>
  </si>
  <si>
    <t>Рожнятівська селищна рада, Вербівська сільська рада, Верхньострутинська сільська рада, Камінська сільська рада, Нижньострутинська сільська рада, Петранківська сільська рада, Рівнянська сільська рада, Сваричівська сільська рада</t>
  </si>
  <si>
    <t>Спаська територіальна громада</t>
  </si>
  <si>
    <t>Спаська сільська рада, Липовицька сільська рада, Лугівська сільська рада, Суходільська сільська рада</t>
  </si>
  <si>
    <t>Коломийський район</t>
  </si>
  <si>
    <t>Гвіздецька територіальна громада</t>
  </si>
  <si>
    <t>Гвіздецька селищна рада, Остапківська сільська рада, Старогвіздецька сільська рада, Кулачківська сільська рада</t>
  </si>
  <si>
    <t>Городенківська територіальна громада</t>
  </si>
  <si>
    <t>Городенка</t>
  </si>
  <si>
    <t>Городенківська міська рада, Вербівцівська сільська рада, Виноградська сільська рада, Вікнянська сільська рада, Глушківська сільська рада, Городницька сільська рада, Котиківська сільська рада, Луківська сільська рада, Михальчівська сільська рада, Незвиська сільська рада, Олієво-Королівська сільська рада, Острівецька сільська рада, Поточищенська сільська рада, Раковецька сільська рада, Рашківська сільська рада, Росохацька сільська рада, Семаківська сільська рада, Серафинецька сільська рада, Слобідська сільська рада, Сороківська сільська рада, Стрільченська сільська рада, Тишківська сільська рада, Топорівська сільська рада, Торговицька сільська рада, Чернятинська сільська рада, Чортовецька сільська рада, Ясенево-Пільнівська сільська рада</t>
  </si>
  <si>
    <t>Заболотівська територіальна громада</t>
  </si>
  <si>
    <t>Заболотівська селищна рада, Іллінецька сільська рада, Балинцівська сільська рада, Борщівська сільська рада, Ганьківська сільська рада, Олешківська сільська рада, Рудниківська сільська рада, Тростянецька сільська рада, Троїцька сільська рада, Тулуківська сільська рада, Шевченківська сільська рада</t>
  </si>
  <si>
    <t>Коломийська територіальна громада</t>
  </si>
  <si>
    <t>Коломия</t>
  </si>
  <si>
    <t>Коломийська міська рада, Іванівецька сільська рада, Воскресинцівська сільська рада, Корницька сільська рада, Королівська сільська рада, Раківчицька сільська рада, Товмачицька сільська рада, Шепарівцівська сільська рада, Саджавська сільська рада</t>
  </si>
  <si>
    <t>Коршівська територіальна громада</t>
  </si>
  <si>
    <t>Коршівська сільська рада, Жукотинська сільська рада, Ліснослобідська сільська рада, Черемхівська сільська рада</t>
  </si>
  <si>
    <t>Матеївецька територіальна громада</t>
  </si>
  <si>
    <t>Матеївецька сільська рада, Дебеславцівська сільська рада, Пилипівська сільська рада, Семаківська сільська рада, Трацька сільська рада</t>
  </si>
  <si>
    <t>Нижньовербізька територіальна громада</t>
  </si>
  <si>
    <t>Нижньовербізька сільська рада, Великоключівська сільська рада, Верхньовербізька сільська рада, Ковалівська сільська рада, Мишинська сільська рада, Спаська сільська рада</t>
  </si>
  <si>
    <t>Отинійська територіальна громада</t>
  </si>
  <si>
    <t>Отинія</t>
  </si>
  <si>
    <t>Отинійська селищна рада, Голосківська сільська рада, Виноградська сільська рада, Воронська сільська рада, Ліснохлібичинська сільська рада, Струпківська сільська рада, Сідлищенська сільська рада, Торговицька сільська рада, Угорницька сільська рада</t>
  </si>
  <si>
    <t>П'ядицька територіальна громада</t>
  </si>
  <si>
    <t>П’ядицька сільська рада, Великокам’янська сільська рада, Годи-Добровідська сільська рада, Малокам’янська сільська рада, Турківська сільська рада, Ценявська сільська рада</t>
  </si>
  <si>
    <t>Печеніжинська територіальна громада</t>
  </si>
  <si>
    <t>Печеніжинська селищна рада, Княждвірська сільська рада, Малоключівська сільська рада, Марківська сільська рада, Молодятинська сільська рада, Рунгурська сільська рада, Слобідська сільська рада, Сопівська сільська рада</t>
  </si>
  <si>
    <t>Підгайчиківська територіальна громада</t>
  </si>
  <si>
    <t>Підгайчиківська сільська рада, Джурківська сільська рада, Загайпільська сільська рада</t>
  </si>
  <si>
    <t>Снятинська територіальна громада</t>
  </si>
  <si>
    <t>Снятин</t>
  </si>
  <si>
    <t>Снятинська міська рада, Снятинська районна рада, Белелуївська сільська рада, Будилівська сільська рада, Видинівська сільська рада, Вовчківська сільська рада, Горішньозалучанська сільська рада, Джурівська сільська рада, Завальська сільська рада, Задубрівська сільська рада, Княженська сільська рада, Красноставська сільська рада, Новоселицька сільська рада, Попельниківська сільська рада, Потічківська сільська рада, Прутівська сільська рада, Підвисоцька сільська рада, Русівська сільська рада, Стецівська сільська рада, Тучапська сільська рада, Устянська сільська рада, Хутір-Будилівська сільська рада</t>
  </si>
  <si>
    <t>Чернелицька територіальна громада</t>
  </si>
  <si>
    <t>Чернелиця</t>
  </si>
  <si>
    <t>Чернелицька селищна рада, Вільхівська сільська рада, Далешівська сільська рада, Копачинецька сільська рада, Корнівська сільська рада, Кунисівська сільська рада</t>
  </si>
  <si>
    <t>Косівський район</t>
  </si>
  <si>
    <t>Космацька територіальна громада</t>
  </si>
  <si>
    <t>Космацька сільська рада, Брустурівська сільська рада, Прокуравська сільська рада</t>
  </si>
  <si>
    <t>Косівська територіальна громада</t>
  </si>
  <si>
    <t>Косів</t>
  </si>
  <si>
    <t>Косівська міська рада, Бабинська сільська рада, Вербовецька сільська рада, Городянська сільська рада, Микитинецька сільська рада, Пістинська сільська рада, Річківська сільська рада, Смоднянська сільська рада, Снідавська сільська рада, Соколівська сільська рада, Черганівська сільська рада, Шепітська сільська рада, Шешорівська сільська рада, Яворівська сільська рада</t>
  </si>
  <si>
    <t>Кутська територіальна громада</t>
  </si>
  <si>
    <t>Кути</t>
  </si>
  <si>
    <t>Кутська селищна рада, Великорожинська сільська рада, Малорожинська сільська рада, Розтоківська сільська рада, Слобідська сільська рада, Старокутська сільська рада, Тюдівська сільська рада</t>
  </si>
  <si>
    <t>Рожнівська територіальна громада</t>
  </si>
  <si>
    <t>Рожнівська сільська рада, Кобаківська сільська рада, Рибненська сільська рада, Хімчинська сільська рада</t>
  </si>
  <si>
    <t>Яблунівська територіальна громада</t>
  </si>
  <si>
    <t>Яблунівська селищна рада, Акрешорська сільська рада, Бане-Березівська сільська рада, Вижньоберезівська сільська рада, Лючанська сільська рада, Лючківська сільська рада, Нижньоберезівська сільська рада, Середньоберезівська сільська рада, Стопчатівська сільська рада, Текучанська сільська рада, Уторопська сільська рада</t>
  </si>
  <si>
    <t>Надвірнянський район</t>
  </si>
  <si>
    <t>Ворохтянська територіальна громада</t>
  </si>
  <si>
    <t>Ворохта</t>
  </si>
  <si>
    <t>Ворохтянська селищна рада, Татарівська сільська рада</t>
  </si>
  <si>
    <t>Делятинська територіальна громада</t>
  </si>
  <si>
    <t>Делятинська селищна рада, Білоославська сільська рада, Зарічанська сільська рада, Чорнопотоківська сільська рада, Чорноославська сільська рада</t>
  </si>
  <si>
    <t>Ланчинська територіальна громада</t>
  </si>
  <si>
    <t>Ланчинська селищна рада, Добротівська сільська рада, Середньомайданська сільська рада</t>
  </si>
  <si>
    <t>Надвірнянська територіальна громада</t>
  </si>
  <si>
    <t>Надвірна</t>
  </si>
  <si>
    <t>Надвірнянська міська рада, Верхньомайданська сільська рада, Гвіздська сільська рада, Краснянська сільська рада, Лоївська сільська рада, Ліснотарновецька сільська рада, Молодківська сільська рада, Назавизівська сільська рада, Парищенська сільська рада, Стримбівська сільська рада</t>
  </si>
  <si>
    <t>Пасічнянська територіальна громада</t>
  </si>
  <si>
    <t>Пасічнянська сільська рада, Битківська селищна рада, Зеленська сільська рада, Пнівська сільська рада</t>
  </si>
  <si>
    <t>Переріслянська територіальна громада</t>
  </si>
  <si>
    <t>Переріслянська сільська рада, Волосівська сільська рада, Гаврилівська сільська рада, Фитьківська сільська рада, Цуцилівська сільська рада</t>
  </si>
  <si>
    <t>Поляницька територіальна громада</t>
  </si>
  <si>
    <t>Поляниця</t>
  </si>
  <si>
    <t>Поляницька сільська рада, Яблуницька сільська рада, Бистрицька сільська рада</t>
  </si>
  <si>
    <t>Яремчанська територіальна громада</t>
  </si>
  <si>
    <t>Яремче</t>
  </si>
  <si>
    <t>Яремчанська міська рада, Микуличинська сільська рада</t>
  </si>
  <si>
    <t>Київська область</t>
  </si>
  <si>
    <t>Бориспільський район</t>
  </si>
  <si>
    <t>Бориспільська територіальна громада</t>
  </si>
  <si>
    <t>Бориспіль</t>
  </si>
  <si>
    <t>Бориспільська міська рада, Іванківська сільська рада, Глибоцька сільська рада, Кучаківська сільська рада, Любарецька сільська рада, Рогозівська сільська рада, Сеньківська сільська рада</t>
  </si>
  <si>
    <t>Вороньківська територіальна громада</t>
  </si>
  <si>
    <t>Вороньків</t>
  </si>
  <si>
    <t>Вороньківська сільська рада, Головурівська сільська рада, Мирненська сільська рада, Процівська сільська рада, Сошниківська сільська рада, Старівська сільська рада</t>
  </si>
  <si>
    <t>Гірська територіальна громада</t>
  </si>
  <si>
    <t>Гора</t>
  </si>
  <si>
    <t>Гірська сільська рада, Мартусівська сільська рада, Ревненська сільська рада</t>
  </si>
  <si>
    <t>Дівичківська територіальна громада</t>
  </si>
  <si>
    <t>Дівичківська сільська рада, Єрковецька сільська рада, Ковалинська сільська рада, Стовп'язька сільська рада</t>
  </si>
  <si>
    <t>Золочівська територіальна громада</t>
  </si>
  <si>
    <t>Гнідин</t>
  </si>
  <si>
    <t>Гнідинська сільська рада, Вишеньківська сільська рада</t>
  </si>
  <si>
    <t>Переяславська територіальна громада</t>
  </si>
  <si>
    <t>Переяслав-Хмельницький</t>
  </si>
  <si>
    <t>Переяслав-Хмельницька міська рада, Великокаратульська сільська рада, Вовчківська сільська рада, Гайшинська сільська рада, Гланишівська сільська рада, Дем’янецька сільська рада, Мазінська сільська рада</t>
  </si>
  <si>
    <t>Пристолична територіальна громада</t>
  </si>
  <si>
    <t>Щасливе</t>
  </si>
  <si>
    <t>Щасливська сільська рада, Великоолександрівська сільська рада, Дударківська сільська рада</t>
  </si>
  <si>
    <t>Студениківська територіальна громада</t>
  </si>
  <si>
    <t>Студениківська сільська рада, Козлівська сільська рада, Переяславська сільська рада, Пристромська сільська рада, Сомководолинська сільська рада, Соснівська сільська рада, Строковська сільська рада, Семенівська сільська рада</t>
  </si>
  <si>
    <t>Ташанська територіальна громада</t>
  </si>
  <si>
    <t>Ташанська сільська рада, Виповзька сільська рада, Горбанівська сільська рада, Денисівська сільська рада, Малокаратульська сільська рада, Полого-Вергунівська сільська рада, Помоклівська сільська рада, Улянівська сільська рада, Шевченковська сільська рада</t>
  </si>
  <si>
    <t>Циблівська територіальна громада</t>
  </si>
  <si>
    <t>Циблівська сільська рада, Лецьківська сільська рада, Полого-яненківська сільська рада, Світанківська сільська рада, Хоцьківська сільська рада</t>
  </si>
  <si>
    <t>Яготинська територіальна громада</t>
  </si>
  <si>
    <t>Яготин</t>
  </si>
  <si>
    <t>Яготинська міська рада, Богданівська сільська рада, Годунівська сільська рада, Двірківщинська сільська рада, Жоравська сільська рада, Засупоївська сільська рада, Капустинська сільська рада, Кулябівська сільська рада, Лемешівська сільська рада, Лозовоярівська сільська рада, Ничипорівська сільська рада, Панфильська сільська рада, Райківщинська сільська рада, Сотниківська сільська рада, Сулимівська сільська рада, Супоївська сільська рада, Фарбованська сільська рада, Червонівська сільська рада, Черняхівська сільська рада</t>
  </si>
  <si>
    <t>Броварський район</t>
  </si>
  <si>
    <t>Баришівська територіальна громада</t>
  </si>
  <si>
    <t>Баришівська селищна рада, Бзівська сільська рада, Веселинівська сільська рада, Волошинівська сільська рада, Гостролуцька сільська рада, Дернівська сільська рада, Коржівська сільська рада, Корніївська сільська рада, Лук'янівська сільська рада, Лукашівська сільська рада, Масківецька сільська рада, Морозівська сільська рада, Паришківська сільська рада, Перемозька сільська рада, Подільська сільська рада, Рудницька сільська рада, Сезенківська сільська рада, Селичівська сільська рада, Селищанська сільська рада</t>
  </si>
  <si>
    <t>Березанська територіальна громада</t>
  </si>
  <si>
    <t>Березань</t>
  </si>
  <si>
    <t>Березанська міська рада, Яблунівська сільська рада, Лехнівська сільська рада, Недрянська сільська рада, Пилипчанська сільська рада, Садівська сільська рада, Ярешківська сільська рада, КОАТУУ: 3225581802)</t>
  </si>
  <si>
    <t>Броварська територіальна громада</t>
  </si>
  <si>
    <t>Бровари</t>
  </si>
  <si>
    <t>Броварська міська рада, Княжицька сільська рада, Требухівська сільська рада</t>
  </si>
  <si>
    <t>Великодимерська територіальна громада</t>
  </si>
  <si>
    <t>Великодимерська селищна рада, Бобрицька сільська рада, Богданівська сільська рада, Гоголівська сільська рада, Жердівська сільська рада, Кулажинська сільська рада, Плосківська сільська рада, Руднянська сільська рада, Русанівська сільська рада, Світильнянська сільська рада, Шевченківська сільська рада</t>
  </si>
  <si>
    <t>Зазимська територіальна громада</t>
  </si>
  <si>
    <t>Зазимська сільська рада, Літківська сільська рада, Літочківська сільська рада, Погребська сільська рада, Пухівська сільська рада, Рожнівська сільська рада</t>
  </si>
  <si>
    <t>Згурівська територіальна громада</t>
  </si>
  <si>
    <t>Згурівка</t>
  </si>
  <si>
    <t>Згурівська селищна рада, Аркадіївська сільська рада, Безуглівська сільська рада, Великокрупільська сільська рада, Вознесенська сільська рада, Войтівська сільська рада, Жуківська сільська рада, Красненська сільська рада, Лизогубовослобідська сільська рада, Любомирівська сільська рада, Малоберезанська сільська рада, Малосупоївська сільська рада, Новоолександрівська сільська рада, Новооржицька сільська рада, Пасківщинська сільська рада, Середівська сільська рада, Старооржицька сільська рада, Турівська сільська рада, Усівська сільська рада, Черевківська сільська рада, Шевченківська сільська рада</t>
  </si>
  <si>
    <t>Калинівська селищна рада, Красилівська сільська рада, Рожівська сільська рада</t>
  </si>
  <si>
    <t>Калитянська територіальна громада</t>
  </si>
  <si>
    <t>Калитянська селищна рада, Семиполківська сільська рада, Заворицька сільська рада, Мокрецька сільська рада</t>
  </si>
  <si>
    <t>Бучанський район</t>
  </si>
  <si>
    <t>Ірпінська територіальна громада</t>
  </si>
  <si>
    <t>Ірпінь</t>
  </si>
  <si>
    <t>Ірпінська міська рада, Козинцівська сільська рада, Михайлівсько-Рубежівська сільська рада</t>
  </si>
  <si>
    <t>Бородянська територіальна громада</t>
  </si>
  <si>
    <t>Бородянська селищна рада, Дружнянська сільська рада, Дмитрівська сільська рада, Загальцівська сільська рада, Качалівська сільська рада, Майданівська сільська рада, Мирчанська сільська рада, Небратська сільська рада, Новогребельська сільська рада, Новозаліська сільська рада, Новокорогодська сільська рада, Пилиповицька сільська рада, Шибенська сільська рада</t>
  </si>
  <si>
    <t>Борщагівська територіальна громада</t>
  </si>
  <si>
    <t>Софіївська Борщагівка</t>
  </si>
  <si>
    <t>Софіївсько-Борщагівська сільська рада, Петропавлівсько-Борщагівська сільська рада</t>
  </si>
  <si>
    <t>Бучанська територіальна громада</t>
  </si>
  <si>
    <t>28.09.2018</t>
  </si>
  <si>
    <t>Бабинецька селищна рада, Бучанська міська рада, Ворзельська селищна рада, Блиставицька сільська рада, Здвижівська сільська рада, Луб’янська сільська рада, Гаврилівська сільська рада, Синяківська сільська рада, Мироцька сільська рада</t>
  </si>
  <si>
    <t>Білогородська територіальна громада</t>
  </si>
  <si>
    <t>Білогородка</t>
  </si>
  <si>
    <t>Білогородська сільська рада, Бобрицька сільська рада, Гореницька сільська рада, Музичанська сільська рада, Святопетрівська сільська рада</t>
  </si>
  <si>
    <t>Вишнева територіальна громада</t>
  </si>
  <si>
    <t>Вишневе</t>
  </si>
  <si>
    <t>Вишнева міська рада, Крюківщинська сільська рада</t>
  </si>
  <si>
    <t>Гостомельська територіальна громада</t>
  </si>
  <si>
    <t>Гостомель</t>
  </si>
  <si>
    <t>Гостомельська селищна рада, Озерська сільська рада, Горенська сільська рада</t>
  </si>
  <si>
    <t>Дмитрівська територіальна громада</t>
  </si>
  <si>
    <t>Дмитрівка</t>
  </si>
  <si>
    <t>Дмитрівська сільська рада, Личанська сільська рада, Бузівська сільська рада, Петрушківська сільська рада, Шпитьківська сільська рада</t>
  </si>
  <si>
    <t>Коцюбинська територіальна громада</t>
  </si>
  <si>
    <t>Коцюбинське</t>
  </si>
  <si>
    <t>Коцюбинська селищна рада</t>
  </si>
  <si>
    <t>Макарівська територіальна громада</t>
  </si>
  <si>
    <t>Макарів</t>
  </si>
  <si>
    <t>Макарівська селищна рада, Кодрянська селищна рада, Андріївська сільська рада, Борівська сільська рада, Великокарашинська сільська рада, Гавронщинська сільська рада, Забуянська сільська рада, Колонщинська сільська рада, Комарівська сільська рада, Копилівська сільська рада, Королівська сільська рада, Липівська сільська рада, Людвинівська сільська рада, Маковищанська сільська рада, Мар’янівська сільська рада, Мотижинська сільська рада, Наливайківська сільська рада, Небелицька сільська рада, Ніжиловицька сільська рада, Пашківська сільська рада, Плахтянська сільська рада, Рожівська сільська рада, Ситняківська сільська рада, Фасівська сільська рада, Червонослобідська сільська рада, Юрівська сільська рада</t>
  </si>
  <si>
    <t>Немішаївська територіальна громада</t>
  </si>
  <si>
    <t>Немішаєве</t>
  </si>
  <si>
    <t>Немішаївська селищна рада, Клавдієво-Тарасівська селищна рада, Микулицька сільська рада</t>
  </si>
  <si>
    <t>Пісківська територіальна громада</t>
  </si>
  <si>
    <t>24.04.2016</t>
  </si>
  <si>
    <t>Пісківська селищна рада, Мигалківська сільська рада</t>
  </si>
  <si>
    <t>Білоцерківський район</t>
  </si>
  <si>
    <t>Білоцерківська територіальна громада</t>
  </si>
  <si>
    <t>Біла Церква</t>
  </si>
  <si>
    <t>Білоцерківська міська рада, Терезинська селищна рада, Вільнотарасівська сільська рада, Глушківська сільська рада, Дроздівська сільська рада, Пилипчанська сільська рада, Піщанська сільська рада, Сидорівська сільська рада, Томилівська сільська рада, Храпачівська сільська рада, Шкарівська сільська рада</t>
  </si>
  <si>
    <t>Володарська територіальна громада</t>
  </si>
  <si>
    <t>Володарка</t>
  </si>
  <si>
    <t>Володарська селищна рада, Березнянська сільська рада, Біліївська сільська рада, Гайворонська сільська рада, Городище-Пустоварівська сільська рада, Завадівська сільська рада, Зрайківська сільська рада, Капустинська сільська рада, Косівська сільська рада, Лобачівська сільська рада, Логвинська сільська рада, Мармуліївська сільська рада, Матвіїська сільська рада, Ожегівська сільська рада, Пархомівська сільська рада, Петрашівська сільська рада, Рачківська сільська рада, Рогізнянська сільська рада, Рубченківська сільська рада, Рудосільська сільська рада, Тарганська сільська рада</t>
  </si>
  <si>
    <t>Гребінківська територіальна громада</t>
  </si>
  <si>
    <t>Гребінки</t>
  </si>
  <si>
    <t>Гребінківська селищна рада, Дослідницька селищна територіальна громада, Вільшансько-Новоселицька сільська рада, Ксаверівська сільська рада, Лосятинська сільська рада, Пінчуківська сільська рада, Саливонківська сільська рада, Соколівська сільська рада, Тростинсько-Новоселицька сільська рада</t>
  </si>
  <si>
    <t>Ковалівська територіальна громада</t>
  </si>
  <si>
    <t>Ковалівська сільська рада, Вінницько-Ставська сільська рада, Мар'янівська сільська рада, Пологівська сільська рада, Пшеничненська сільська рада, Устимівська сільська рада, Кищинська сільська рада, Паляничинська сільська рада, Червоненська сільська рада</t>
  </si>
  <si>
    <t>Маловільшанська територіальна громада</t>
  </si>
  <si>
    <t>Мала Вільшанка</t>
  </si>
  <si>
    <t>Маловільшанська сільська рада, Биково-Гребельська сільська рада, Коженицька сільська рада, Озернянська сільська рада, Поправська сільська рада, Потіївська сільська рада, Сорокотязька сільська рада, Фастівська сільська рада, Фесюрівська сільська рада, Чупирянська сільська рада, Тадіївська сільська рада</t>
  </si>
  <si>
    <t>Медвинська територіальна громада</t>
  </si>
  <si>
    <t>Медвинська сільська рада, Бранепільська сільська рада, Дмитренківська сільська рада, Митаївська сільська рада, Побережківська сільська рада, Щербашенецька сільська рада</t>
  </si>
  <si>
    <t>Рокитнянська територіальна громада</t>
  </si>
  <si>
    <t>Рокитне</t>
  </si>
  <si>
    <t>Рокитнянська селищна рада, Бирюківська сільська рада, Бушевська сільська рада, Житньогірська сільська рада, Запрудянська сільська рада, Луб’янська сільська рада, Маківська сільська рада, Насташівська сільська рада, Ольшаницька сільська рада, Острівська сільська рада, Ромашківська сільська рада, Савинецька сільська рада, Синявська сільська рада, Телешівська сільська рада, Шарківська сільська рада</t>
  </si>
  <si>
    <t>Сквирська територіальна громада</t>
  </si>
  <si>
    <t>Сквира</t>
  </si>
  <si>
    <t>Сквирська міська рада, Антонівська сільська рада, Буківська сільська рада, Великоєрчиківська сільська рада, Горобіївська сільська рада, Домантівська сільська рада, Дулицька сільська рада, Каленнівська сільська рада, Кам’яногребельська сільська рада, Красноліська сільська рада, Кривошиїнська сільська рада, Малоєрчиківська сільська рада, Малолисовецька сільська рада, Мовчанівська сільська рада, Оріховецька сільська рада, Пустоварівська сільська рада, Рогізнянська сільська рада, Рудянська сільська рада, Самгородоцька сільська рада, Селезенівська сільська рада, Тарасівська сільська рада, Тхорівська сільська рада, Чубинецька сільська рада, Шаліївська сільська рада, Шамраївська сільська рада, Шапіївська сільська рада</t>
  </si>
  <si>
    <t>Ставищенська територіальна громада</t>
  </si>
  <si>
    <t>Ставище</t>
  </si>
  <si>
    <t>Ставищенська селищна рада, Іванівська сільська рада, Антонівська сільська рада, Бесідська сільська рада, Брилівська сільська рада, Василиська сільська рада, Винарівська сільська рада, Гейсиська сільська рада, Гостромогильська сільська рада, Журавлиська сільська рада, Красилівська сільська рада, Кривецька сільська рада, Полковницька сільська рада, Попружнянська сільська рада, Розкішнянська сільська рада, Розумницька сільська рада, Сніжківська сільська рада, Станіславчицька сільська рада, Стрижавська сільська рада, Сухоярська сільська рада, Торчицька сільська рада, Юрківська сільська рада, Ясенівська сільська рада</t>
  </si>
  <si>
    <t>Таращанська територіальна громада</t>
  </si>
  <si>
    <t>Тараща</t>
  </si>
  <si>
    <t>Таращанська міська рада, Великоберезянська сільська рада, Великововнянська сільська рада, Веселокутська сільська рада, Володимирівська сільська рада, Дубівська сільська рада, Калиновецька сільська рада, Кирданівська сільська рада, Кислівська сільська рада, Косяківська сільська рада, Крив’янська сільська рада, Крутогорбівська сільська рада, Ківшоватська сільська рада, Лук'янівська сільська рада, Лучанська сільська рада, Лісовицька сільська рада, Плосківська сільська рада, Ріжківська сільська рада, Салиська сільська рада, Северинівська сільська рада, Станишівська сільська рада, Степківська сільська рада, Чернинська сільська рада, Петрівська сільська рада</t>
  </si>
  <si>
    <t>Тетіївська територіальна громада</t>
  </si>
  <si>
    <t>Тетіївська міська рада - Виконавчий комітет, Бурковецька сільська рада, Височанська сільська рада, Галайківська сільська рада, Голодьківська сільська рада, Горошківська сільська рада, Денихівська сільська рада, Дзвеняцька сільська рада, Дібрівська сільська рада, Кашперівська сільська рада, Клюківська сільська рада, Кошівська сільська рада, Михайлівська сільська рада, Ненадихівська сільська рада, Одайпільська сільська рада, П'ятигірська сільська рада, Росішківська сільська рада, Скибинецька сільська рада, Стадницька сільська рада, Степівська сільська рада, Тайницька сільська рада, Теліжинецька сільська рада, Черепинська сільська рада</t>
  </si>
  <si>
    <t>Узинська територіальна громада</t>
  </si>
  <si>
    <t>Узинська міська рада, Іванівська сільська рада, Василівська сільська рада, Йосипівська сільська рада, Макіївська сільська рада, Малоантонівська сільська рада, Михайлівська сільська рада, Олійниково-Слобідська сільська рада, Острійківська сільська рада, Розаліївська сільська рада, Сухоліська сільська рада, Тарасівська сільська рада</t>
  </si>
  <si>
    <t>Фурсівська територіальна громада</t>
  </si>
  <si>
    <t>Фурсівська сільська рада, Матюшівська сільська рада, Трушківська сільська рада, Яблунівська сільська рада, Великополовецька сільська рада, Пищиківська сільська рада</t>
  </si>
  <si>
    <t>Вишгородський район</t>
  </si>
  <si>
    <t>Іванківська територіальна громада</t>
  </si>
  <si>
    <t>Іванків</t>
  </si>
  <si>
    <t>Іванківська селищна рада, Блідчанська сільська рада, Варівська сільська рада, Горностайпільська сільська рада, Димарська сільська рада, Дитятківська сільська рада, Жміївська сільська рада, Заруддянська сільська рада, Кропивнянська сільська рада, Кухарівська сільська рада, Макарівська сільська рада, Мусійківська сільська рада, Обуховицька сільська рада, Оливська сільська рада, Олізарівська сільська рада, Оранська сільська рада, Прибірська сільська рада, Пісківська сільська рада, Розважівська сільська рада, Сидоровицька сільська рада, Старосоколівська сільська рада, Страхоліська сільська рада, Ладижицька сільська рада, Термахівська сільська рада, Тетерівська сільська рада, Феневицька сільська рада, Шпилівська сільська рада</t>
  </si>
  <si>
    <t>Вишгородська територіальна громада</t>
  </si>
  <si>
    <t>Вишгород</t>
  </si>
  <si>
    <t>Вишгородська міська рада, Хотянівська сільська рада</t>
  </si>
  <si>
    <t>Димерська територіальна громада</t>
  </si>
  <si>
    <t>Димер</t>
  </si>
  <si>
    <t>Димерська селищна рада, Абрамівська сільська рада, Богданівська сільська рада, Вахівська сільська рада, Глібівська сільська рада, Демидівська сільська рада, Катюжанська сільська рада, Козаровицька сільська рада, Литвинівська сільська рада, Любимівська сільська рада, Ровівська сільська рада, Руднє-Димерська сільська рада, Сухолуцька сільська рада, Толокунська сільська рада, Ясногородська сільська рада</t>
  </si>
  <si>
    <t>Петрівська територіальна громада</t>
  </si>
  <si>
    <t>Нові Петрівці</t>
  </si>
  <si>
    <t>Новопетрівська сільська рада, Лютізька сільська рада, Старопетрівська сільська рада</t>
  </si>
  <si>
    <t>Поліська територіальна громада</t>
  </si>
  <si>
    <t>Красятичі</t>
  </si>
  <si>
    <t>Красятицька селищна рада, Вовчківська сільська рада, Володарська сільська рада, Залишанська сільська рада, Зеленополянська сільська рада, Луговицька сільська рада, Максимовицька сільська рада, Мар"янівська сільська рада, Млачівська сільська рада, Радинська сільська рада, Стещинська сільська рада, Шкневська сільська рада</t>
  </si>
  <si>
    <t>Пірнівська територіальна громада</t>
  </si>
  <si>
    <t>Пірнове</t>
  </si>
  <si>
    <t>Пірнівська сільська рада, Вищедубечанська сільська рада, Воропаївська сільська рада, Жукинська сільська рада, Лебедівська сільська рада, Нижчедубечанська сільська рада, Новосілківська сільська рада, Сувидська сільська рада</t>
  </si>
  <si>
    <t>Славутицька територіальна громада</t>
  </si>
  <si>
    <t>Славутич</t>
  </si>
  <si>
    <t>Славутицька міська рада</t>
  </si>
  <si>
    <t>Обухівський район</t>
  </si>
  <si>
    <t>Богуславська територіальна громада</t>
  </si>
  <si>
    <t>Богуславська міська рада, Ісайківська сільська рада, Біївецька сільська рада, Вільховецька сільська рада, Дибинецька сільська рада, Киданівська сільська рада, Мисайлівська сільська рада, Москаленківська сільська рада, Розкопанецька сільська рада, Саварська сільська рада, Синицька сільська рада, Тептіївська сільська рада, Хохітвянська сільська рада, Шупиківська сільська рада</t>
  </si>
  <si>
    <t>Васильків</t>
  </si>
  <si>
    <t>Васильківська міська рада, Барахтівська сільська рада, Великобугаївська сільська рада, Великовільшанська сільська рада, Здорівська сільська рада, Кодаківська сільська рада, Луб’янська сільська рада, Митницька сільська рада, Погребівська сільська рада, Тростинська сільська рада, Застугнянська сільська рада, Шевченківська сільська рада, Яцьківська сільська рада</t>
  </si>
  <si>
    <t>Кагарлицька територіальна громада</t>
  </si>
  <si>
    <t>Кагарлик</t>
  </si>
  <si>
    <t>Кагарлицька міська рада, Бендюгівська сільська рада, Буртівська сільська рада, Горохівська сільська рада, Горохуватська сільська рада, Демівщинська сільська рада, Зеленоярська сільська рада, Зікрачівська сільська рада, Кадомська сільська рада, Леонівська сільська рада, Липовецька сільська рада, Ліщинська сільська рада, Мирівська сільська рада, Новосілківська сільська рада, Переселенська сільська рада, Расавська сільська рада, Слобідська сільська рада, Ставівська сільська рада, Сущанська сільська рада, Халчанська сільська рада, Черняхівська сільська рада, Шпендівська сільська рада, Шубівська сільська рада</t>
  </si>
  <si>
    <t>Козинська територіальна громада</t>
  </si>
  <si>
    <t>Козин</t>
  </si>
  <si>
    <t>Козинська селищна рада, Великодмитровицька сільська рада, Підгірцівська сільська рада, Старобезрадичівська сільська рада</t>
  </si>
  <si>
    <t>Миронівська територіальна громада</t>
  </si>
  <si>
    <t>Миронівська міська рада, Ємчиська сільська рада, Владиславська сільська рада, Вікторівська сільська рада, Зеленьківська  сільська  рада, Карапишівська сільська рада, Кип’ячківська сільська рада, Козинська сільська рада, Коритищенська сільська рада, Македонська сільська рада, Маслівська сільська рада, Олександрівська сільська рада, Полівська сільська рада, Потіцька сільська рада, Пустовітська сільська рада, Росавська сільська рада, Тулинська сільська рада, Центральненська сільська рада, Шандрівська сільська рада, Юхнівська сільська рада, Яхнівська сільська рада, Іванівська сільська рада, Михайлівська сільська рада</t>
  </si>
  <si>
    <t>Обухів</t>
  </si>
  <si>
    <t>Обухівська міська рада, Германівська сільська рада, Григорівська сільська рада, Дерев’янський сільський старостинський округ Обухівської міської об'єднаної територіальної громади Київської області, Деремезнянська сільська рада, Долинянська сільська рада, Копачівська сільська рада, Краснослобідська сільська рада, Красненська сільська рада, Маловільшанська сільська рада, Нещерівський сільський старостинський округ Обухівської міської ОТГ, Перегонівська сільська рада, Першотравенська сільська рада, Семенівська сільська рада</t>
  </si>
  <si>
    <t>Ржищівська територіальна громада</t>
  </si>
  <si>
    <t>23.08.2018</t>
  </si>
  <si>
    <t>Ржищівська міська рада, Балико-Щучинська сільська рада, Великоприцьківська сільська рада, Гребенівська сільська рада, Кузьминецька сільська рада, Півецька сільська рада, Стайківська сільська рада, Стрітівська сільська рада, Яблунівська сільська рада, Грушівська сільська рада, Малобукринська сільська рада, Піївська сільська рада</t>
  </si>
  <si>
    <t>Українка</t>
  </si>
  <si>
    <t>Українська міська рада, Верем’яцька сільська рада, Витачівська сільська рада, Жуківцівська сільська рада, Трипільська сільська рада, Халеп'янська сільська рада, Щербанівська сільська рада</t>
  </si>
  <si>
    <t>Феодосіївська територіальна громада</t>
  </si>
  <si>
    <t>Ходосівка</t>
  </si>
  <si>
    <t>Ходосівська сільська рада, Лісниківська сільська рада, Хотівська сільська рада, Іванковичівська сільська рада, Гвоздівська сільська рада, Рославичівська сільська рада</t>
  </si>
  <si>
    <t>Фастівський район</t>
  </si>
  <si>
    <t>Бишівська територіальна громада</t>
  </si>
  <si>
    <t>Бишів</t>
  </si>
  <si>
    <t>БИШІВСЬКА СІЛЬСЬКА РАДА, Гружчанська сільська рада, Козичанська сільська рада, Лишнянська сільська рада, Мостищанська сільська рада, Опачицька сільська рада, Чорногородська сільська рада, Яблунівська сільська рада, Ясногородська сільська рада</t>
  </si>
  <si>
    <t>Боярська територіальна громада</t>
  </si>
  <si>
    <t>Боярка</t>
  </si>
  <si>
    <t>Боярська міська рада, Забірська сільська рада, Княжицька сільська рада, Малютянська сільська рада, Тарасівська сільська рада, Дзвінківська сільська рада, Новосілківська сільська рада</t>
  </si>
  <si>
    <t>Гатненська територіальна громада</t>
  </si>
  <si>
    <t>Гатне</t>
  </si>
  <si>
    <t>Гатненська сільська рада, Віто-Поштова сільська рада</t>
  </si>
  <si>
    <t>Глевахівська територіальна громада</t>
  </si>
  <si>
    <t>Глевахівська селищна рада, Крушинська сільська рада, Мархалівська сільська рада, Путрівська сільська рада</t>
  </si>
  <si>
    <t>Кожанська територіальна громада</t>
  </si>
  <si>
    <t>Кожанка</t>
  </si>
  <si>
    <t>Кожанська селищна рада, Волицька сільська рада, Дмитрівська сільська рада, Малополовецька сільська рада, Пилипівська сільська рада, Скригалівська сільська рада, Триліська сільська рада, Яхнівська сільська рада</t>
  </si>
  <si>
    <t>Томашівська територіальна громада</t>
  </si>
  <si>
    <t>Томашівська сільська рада, Великогуляківська сільська рада, Дорогинська сільська рада, Дідівщинська сільська рада, Пришивальницька сільська рада, Вільнянська сільська рада, Соснівська сільська рада</t>
  </si>
  <si>
    <t>Фастівська територіальна громада</t>
  </si>
  <si>
    <t>Фастів</t>
  </si>
  <si>
    <t>Фастівська міська рада, Борівська селищна рада, Оленівська сільська рада, Бортниківська сільська рада, Великоснітинська сільська рада, Веприцька сільська рада, Малоснітинська сільська рада, Мотовилівськослобідська сільська рада, Фастівецька сільська рада, Мотовилівська сільська рада</t>
  </si>
  <si>
    <t>Чабанівська територіальна громада</t>
  </si>
  <si>
    <t>Чабани</t>
  </si>
  <si>
    <t>Чабанівська селищна рада</t>
  </si>
  <si>
    <t>Кіровоградська область</t>
  </si>
  <si>
    <t>Голованівський район</t>
  </si>
  <si>
    <t>Благовіщенське</t>
  </si>
  <si>
    <t>Благовіщенська міська рада, Богданівська сільська рада, Великотроянівська сільська рада, Вільхівська сільська рада, Грушківська сільська рада, Данилово-Балківська сільська рада, Йосипівська сільська рада, Кам’янокриничанська сільська рада, Кам'янобрідська сільська рада, Лозуватська сільська рада, Луполівська сільська рада, Мечиславська сільська рада, Новоселицька сільська рада, Розношенська сільська рада, Сабатинівська сільська рада, Синицівська сільська рада, Синьківська сільська рада, Шамраївська сільська рада</t>
  </si>
  <si>
    <t>Вільшанка</t>
  </si>
  <si>
    <t>Вільшанська селищна рада, Березовобалківська сільська рада, Бузникуватська сільська рада, Вівсяниківська сільська рада, Добрівська сільська рада, Добрянська сільська рада, Дорожинська сільська рада, Йосипівська сільська рада, Коритно-Забузька сільська рада, Куцобалківська сільська рада, Маловільшанська сільська рада, Плоско-Забузька сільська рада, Станкуватська сільська рада, Чистопільська сільська рада</t>
  </si>
  <si>
    <t>Гайворонська територіальна громада</t>
  </si>
  <si>
    <t>Гайворон</t>
  </si>
  <si>
    <t>Гайворонська міська рада, Бандурівська сільська рада, Берестягівська сільська рада, Вікнинська сільська рада, Долинівська сільська рада, Казавчинська сільська рада, Мощенська сільська рада, Покровська сільська рада, Солгутівська сільська рада, Соломіївська сільська рада, Тополівська сільська рада, Хащуватська сільська рада, Червоненська сільська рада</t>
  </si>
  <si>
    <t>Голованівська територіальна громада</t>
  </si>
  <si>
    <t>Голованівськ</t>
  </si>
  <si>
    <t>Голованівська селищна рада, Ємилівська сільська рада, Вербівська сільська рада, Грузька сільська рада, Журавлинська сільська рада, Клинівська сільська рада, Красногірська сільська рада, Межирічківська сільська рада, Молдовська сільська рада, Наливайківська сільська рада, Роздольська сільська рада, Розкішненська сільська рада, Свірнівська сільська рада, Троянська сільська рада, Шепилівська сільська рада</t>
  </si>
  <si>
    <t>Заваллівська територіальна громада</t>
  </si>
  <si>
    <t>Завалля</t>
  </si>
  <si>
    <t>Заваллівська селищна рада, Сальківська селищна рада, Жакчицька сільська рада, Могильненська сільська рада, Таужненська сільська рада, Чемерпільська сільська рада</t>
  </si>
  <si>
    <t>Надлацька територіальна громада</t>
  </si>
  <si>
    <t>Надлак</t>
  </si>
  <si>
    <t>Надлацька сільська рада, Іванівська сільська рада, Вільшанська сільська рада, Кальниболотська сільська рада, Покровська сільська рада</t>
  </si>
  <si>
    <t>Новоархангельська територіальна громада</t>
  </si>
  <si>
    <t>Новоархангельськ</t>
  </si>
  <si>
    <t>Новоархангельська селищна рада, Ганнівська сільська рада, Кам’янецька сільська рада, Мар’янівська сільська рада, Свердликівська сільська рада, Скалівська сільська рада, Скалівсько-Хутірська сільська рада, Торговицька сільська рада</t>
  </si>
  <si>
    <t>Перегонівська територіальна громада</t>
  </si>
  <si>
    <t>Перегонівка</t>
  </si>
  <si>
    <t>Перегонівська сільська рада, Крутеньківська сільська рада, Лебединська сільська рада, Семидубська сільська рада</t>
  </si>
  <si>
    <t>Побузька територіальна громада</t>
  </si>
  <si>
    <t>Побузьке</t>
  </si>
  <si>
    <t>Побузька селищна рада, Капітанська сільська рада, Липовеньківська сільська рада, Люшнюватська сільська рада, Пушківська сільська рада, Сухоташлицька сільська рада</t>
  </si>
  <si>
    <t>Підвисоцька територіальна громада</t>
  </si>
  <si>
    <t>Підвисоке</t>
  </si>
  <si>
    <t>Підвисоцька сільська рада, Копенкуватська сільська рада, Мартинівська сільська рада, Небелівська сільська рада, Нерубайська сільська рада, Покотилівська сільська рада, Розсохуватецька сільська рада, Тернівська сільська рада, Ятранська сільська рада</t>
  </si>
  <si>
    <t>Кропивницький район</t>
  </si>
  <si>
    <t>Аджамська територіальна громада</t>
  </si>
  <si>
    <t>Аджамка</t>
  </si>
  <si>
    <t>Аджамська сільська рада, Веселівська сільська рада, Новоолександрівська сільська рада, Червоноярська сільська рада</t>
  </si>
  <si>
    <t>Бобринецька територіальна громада</t>
  </si>
  <si>
    <t>Бобринецька міська рада, Червонодолинська сільська рада</t>
  </si>
  <si>
    <t>Великосеверинівська територіальна громада</t>
  </si>
  <si>
    <t>Великосеверинівська сільська рада, Високобайрацька сільська рада, Оситнязька сільська рада, Созонівська сільська рада</t>
  </si>
  <si>
    <t>Гурівська територіальна громада</t>
  </si>
  <si>
    <t>Гурівська сільська рада, Іванівська сільська рада, Боківська сільська рада, Братолюбівська сільська рада, Варварівська сільська рада, Василівська сільська рада, Пишненська сільська рада</t>
  </si>
  <si>
    <t>Дмитрівська сільська рада, Іванковецька сільська рада, Макариська сільська рада, Цибулівська сільська рада</t>
  </si>
  <si>
    <t>Долинська</t>
  </si>
  <si>
    <t>Долинська міська рада, Молодіжненська селищна рада, Березівська сільська рада, Лаврівська сільська рада, Маловодянська сільська рада, Богданівська сільська рада, Новогригорівська Друга сільська рада, Новогригорівська Перша сільська рада, Новоолександрівська сільська рада, Олександрівська сільська рада, Першотравневська сільська рада, Суходільська сільська рада</t>
  </si>
  <si>
    <t>Знам’янська територіальна громада</t>
  </si>
  <si>
    <t>Знам’янка</t>
  </si>
  <si>
    <t>Знам’янська міська рада, Знам’янська Друга селищна рада, Петрівська сільська рада</t>
  </si>
  <si>
    <t>Катеринівська територіальна громада</t>
  </si>
  <si>
    <t>Володимирівська сільська рада, Грузьківська сільська рада, Могутненська сільська рада, Обознівська сільська рада, Овсяниківська сільська рада, Олексіївська сільська рада</t>
  </si>
  <si>
    <t>Кетрисанівська територіальна громада</t>
  </si>
  <si>
    <t>Кетрисанівка</t>
  </si>
  <si>
    <t>Кетрисанівська сільська рада, Апрелівська сільська рада, Благодатненська сільська рада, Бобринківська сільська рада, Буховецька сільська рада, Василівська сільська рада, Верхньоінгульська сільська рада, Веселівська сільська рада, Витязівська сільська рада, Златопільська сільська рада, Костомарівська сільська рада, Кривоносівська сільська рада, Мар’янівська сільська рада, Миколо-бабанська сільська рада, Новоградівська сільська рада, Новомиколаївська сільська рада, Олексіївська сільська рада, Павлогірківська сільська рада, Рощахівська сільська рада, Солонцюватська сільська рада, Сугокліївська сільська рада, Тарасівська сільська рада, Федіївська сільська рада, Чарівненська сільська рада</t>
  </si>
  <si>
    <t>Компаніївська територіальна громада</t>
  </si>
  <si>
    <t>Компаніївська селищна рада, Виноградівська сільська рада, Водянська сільська рада, Гарманівська сільська рада, Голубієвицька сільська рада, Губівська сільська рада, Коротяцька сільська рада, Лозуватська сільська рада, Мар’ївська сільська рада, Нечаївська сільська рада, Першотравенська сільська рада, Петрівська сільська рада, Полтавська сільська рада, Сасівська сільська рада, Софіївська сільська рада, Червонослобідська сільська рада, Червоновершківська сільська рада</t>
  </si>
  <si>
    <t>Кропивницька територіальна громада</t>
  </si>
  <si>
    <t>Кропивницький</t>
  </si>
  <si>
    <t>Кропивницька міська рада, Новенська селищна рада</t>
  </si>
  <si>
    <t>Новгородківська територіальна громада</t>
  </si>
  <si>
    <t>Новгородка</t>
  </si>
  <si>
    <t>Новгородківська селищна рада, Інгуло-Кам’янська сільська рада, Верблюзька сільська рада, Вершино-Кам’янська сільська рада, Куцівська сільська рада, Митрофанівська сільська рада, Новоандріївська сільська рада, Новомиколаївська сільська рада, Петрокорбівська сільська рада, Спасівська сільська рада, Тарасівська сільська рада</t>
  </si>
  <si>
    <t>Олександрівка</t>
  </si>
  <si>
    <t>Олександрівська селищна рада, Єлизаветградківська селищна рада, Лісівська селищна рада, Івангородська сільська рада, Бовтиська сільська рада, Букварська сільська рада, Бірківська сільська рада, Веселівська сільська рада, Вищеверещаківська сільська рада, Голиківська сільська рада, Красносілківська сільська рада, Красносільська сільська рада, Михайлівська сільська рада, Несватківська сільська рада, Підлісненська сільська рада, Родниківська сільська рада, Розумівська сільська рада, Соснівська сільська рада, Ставидлянська сільська рада, Староосотська сільська рада, Триліська сільська рада, Цвітненська сільська рада, Ясинівська сільська рада</t>
  </si>
  <si>
    <t>Первозванівська територіальна громада</t>
  </si>
  <si>
    <t>Первозванівська сільська рада, Бережинська сільська рада, Гаївська сільська рада, Калинівська сільська рада, Клинцівська сільська рада, Покровська сільська рада, Степова сільська рада, Федорівська сільська рада</t>
  </si>
  <si>
    <t>Соколівська територіальна громада</t>
  </si>
  <si>
    <t>Соколівська сільська рада, Івано-Благодатненська сільська рада, Іванівська сільська рада, Вишняківська сільська рада, Вільненська сільська рада, Карлівська сільська рада, Миколаївська сільська рада, Назарівська сільська рада, Диминська сільська рада</t>
  </si>
  <si>
    <t>Суботцівська територіальна громада</t>
  </si>
  <si>
    <t>Суботці</t>
  </si>
  <si>
    <t>Суботцівська сільська рада, Богданівська сільська рада, Володимирівська сільська рада, Казарнянська сільська рада, Мошоринська сільська рада, Трепівська сільська рада</t>
  </si>
  <si>
    <t>Устинівська територіальна громада</t>
  </si>
  <si>
    <t>Устинівка</t>
  </si>
  <si>
    <t>Устинівська селищна рада, Інгульська сільська рада, Березівська сільська рада, Брусівська сільська рада, Ганно-Леонтовичівська сільська рада, Ганно-Требинівська сільська рада, Димитровська сільська рада, Докучаєвська сільська рада, Жовтнева сільська рада, Криничненська сільська рада, Криничуватська сільська рада, Олександрівська сільська рада, Седнівська сільська рада, Сонцівська сільська рада, Степанівська сільська рада</t>
  </si>
  <si>
    <t>Новоукраїнський район</t>
  </si>
  <si>
    <t>Ганнівська територіальна громада</t>
  </si>
  <si>
    <t>29.04.2017</t>
  </si>
  <si>
    <t>Ганнівська сільська рада, Григорівська сільська рада, Кропивницька сільська рада, Приютівська сільська рада, Шишкинська сільська рада</t>
  </si>
  <si>
    <t>Глодоська територіальна громада</t>
  </si>
  <si>
    <t>Глодоська сільська рада, Лісківська сільська рада, Новомиколаївська сільська рада</t>
  </si>
  <si>
    <t>Добровеличківська територіальна громада</t>
  </si>
  <si>
    <t>Добровеличківська селищна рада, Братолюбівська сільська рада, Гнатівська сільська рада, Дружелюбівська сільська рада, Карбівська сільська рада, Липнязька сільська рада, Марківська сільська рада, Новолутківська сільська рада, Олександрівська сільська рада, Тернівська сільська рада, Троянська сільська рада, Юр’ївська сільська рада</t>
  </si>
  <si>
    <t>Злинська територіальна громада</t>
  </si>
  <si>
    <t>Злинська сільська рада, Плетеноташлицька сільська рада, Розсохуватська сільська рада</t>
  </si>
  <si>
    <t>Маловисківська територіальна громада</t>
  </si>
  <si>
    <t>Маловисківська міська рада, Лозуватська сільська рада, Мануйлівська сільська рада, Миролюбівська сільська рада, Олександрівська сільська рада, Паліївська сільська рада, Первомайська сільська рада</t>
  </si>
  <si>
    <t>Мар’янівська територіальна громада</t>
  </si>
  <si>
    <t>Мар’янівська сільська рада, Великовисківська сільська рада, Оникіївська сільська рада, Веселівська сільська рада</t>
  </si>
  <si>
    <t>Новомиргородська територіальна громада</t>
  </si>
  <si>
    <t>Новомиргород</t>
  </si>
  <si>
    <t>Новомиргородська міська рада, Капітанівська селищна рада, Дібрівська сільська рада, Жовтнева сільська рада, Йосипівська сільська рада, Кам’янська сільська рада, Канізька сільська рада, Коробчинська сільська рада, Костянтинівська сільська рада, Листопадівська сільська рада, Мартоноська сільська рада, Мар’ївська сільська рада, Оситнянська сільська рада, Оситнязька сільська рада, Панчівська сільська рада, Петроострівська сільська рада, Пурпурівська сільська рада, Рубаномостівська сільська рада, Тишківська сільська рада, Туріянська сільська рада, Шпаківська сільська рада</t>
  </si>
  <si>
    <t>Новоукраїнська територіальна громада</t>
  </si>
  <si>
    <t>Новоукраїнська міська рада, Захарівська сільська рада, Мар’янопільська сільська рада, Сотницько-Балківська сільська рада, Фурманівська сільська рада</t>
  </si>
  <si>
    <t>Помічнянська територіальна громада</t>
  </si>
  <si>
    <t>Помічнянська міська рада, Помічнянська сільська рада</t>
  </si>
  <si>
    <t>Піщанобрідська територіальна громада</t>
  </si>
  <si>
    <t>Піщанобрідська сільська рада, Глинянська сільська рада, Любомирська сільська рада, Миколаївська сільська рада, Олексіївська сільська рада, Перчунівська сільська рада, Червонополянська сільська рада</t>
  </si>
  <si>
    <t>Рівнянська територіальна громада</t>
  </si>
  <si>
    <t>Рівне</t>
  </si>
  <si>
    <t>Рівнянська сільська рада, Іванівська сільська рада, Комишуватська сільська рада, Малопомічнянська сільська рада, Малотимошівська сільська рада, Новоєгорівська сільська рада, Семенастівська сільська рада</t>
  </si>
  <si>
    <t>Смолінська територіальна громада</t>
  </si>
  <si>
    <t>Смолінська селищна рада, Березівська сільська рада, Копанська сільська рада, Нововознесенська сільська рада, Новогригорівська сільська рада, Хмелівська сільська рада, Якимівська сільська рада</t>
  </si>
  <si>
    <t>Тишківська територіальна громада</t>
  </si>
  <si>
    <t>Тишківська сільська рада, Гаївська сільська рада, Федорівська сільська рада</t>
  </si>
  <si>
    <t>Олександрійський район</t>
  </si>
  <si>
    <t>Великоандрусівська територіальна громада</t>
  </si>
  <si>
    <t>Великоандрусівська сільська рада, Іванівська сільська рада, Глинська сільська рада, Григорівська сільська рада, Захарівська сільська рада, Микільська сільська рада, Подорожненська сільська рада, Федірківська сільська рада</t>
  </si>
  <si>
    <t>Новопразька територіальна громада</t>
  </si>
  <si>
    <t>Новопразька селищна рада, Світлопільська сільська рада, Шарівська сільська рада, Пантазіївська сільська рада</t>
  </si>
  <si>
    <t>Олександрійська територіальна громада</t>
  </si>
  <si>
    <t>Олександрія</t>
  </si>
  <si>
    <t>Олександрійська міська рада, Ізмайлівська сільська рада, Головківська сільська рада, Звенигородська сільська рада</t>
  </si>
  <si>
    <t>Онуфріївська територіальна громада</t>
  </si>
  <si>
    <t>Онуфріївка</t>
  </si>
  <si>
    <t>Онуфріївська селищна рада, Павлиська селищна рада, Василівська сільська рада, Вишнівцівська сільська рада, Деріївська сільська рада, Зибківська сільська рада, Камбурліївська сільська рада, Куцеволівська сільська рада, Мар’ївська сільська рада, Млинківська сільська рада, Омельницька сільська рада, Попівська сільська рада, Успенська сільська рада</t>
  </si>
  <si>
    <t>Пантаївська територіальна громада</t>
  </si>
  <si>
    <t>Пантаївка</t>
  </si>
  <si>
    <t>Пантаївська селищна рада, Бандурівська сільська рада, Диківська сільська рада</t>
  </si>
  <si>
    <t>Петрівська селищна рада, Балахівська селищна рада, Іванівська сільська рада, Іскрівська сільська рада, Богданівська сільська рада, Водянська сільська рада, Ганнівська сільська рада, Зеленська сільська рада, Йосипівська сільська рада, Луганська сільська рада, Малинівська сільська рада, Новостародубська сільська рада, Петрівська сільська рада, Червонокостянтинівська сільська рада, Чечеліївська сільська рада</t>
  </si>
  <si>
    <t>Попельнастівська територіальна громада</t>
  </si>
  <si>
    <t>Попельнастівська сільська рада, Добронадіївська сільська рада, Долинська сільська рада, Дівочепільська сільська рада, Куколівська сільська рада, Михайлівська сільська рада, Олександрівська сільська рада, Травневська сільська рада, Улянівська сільська рада, Червонокам’янська сільська рада, Щасливська сільська рада</t>
  </si>
  <si>
    <t>Приютівська територіальна громада</t>
  </si>
  <si>
    <t>Приютівська селищна рада, Андріївська сільська рада, Войнівська сільська рада, Костянтинівська сільська рада, Косівська сільська рада, Лікарівська сільська рада, Недогарська сільська рада, Новоселівська сільська рада, Протопопівська сільська рада</t>
  </si>
  <si>
    <t>Світловодська територіальна громада</t>
  </si>
  <si>
    <t>Світловодськ</t>
  </si>
  <si>
    <t>Власівська селищна рада, Світловодська міська рада, Великоскельовська сільська рада, Миронівська сільська рада, Озерська сільська рада, Павлівська сільська рада</t>
  </si>
  <si>
    <t>Луганська область</t>
  </si>
  <si>
    <t>Сватівський район</t>
  </si>
  <si>
    <t>Білокуракинська територіальна громада</t>
  </si>
  <si>
    <t>Білокуракинська селищна рада, Бунчуківська сільська рада, Дем’янівська сільська рада, Курячівська сільська рада, Лизинська сільська рада, Нещеретівська сільська рада, Олександропільська сільська рада, Олексіївська сільська рада, Павлівська сільська рада, Просторівська сільська рада, Тимошинська сільська рада</t>
  </si>
  <si>
    <t>Коломийчиська територіальна громада</t>
  </si>
  <si>
    <t>Коломийчиська сільська рада, Ковалівська сільська рада, Куземівська сільська рада, Райгородська сільська рада, Стельмахівська сільська рада</t>
  </si>
  <si>
    <t>Красноріченська територіальна громада</t>
  </si>
  <si>
    <t>Красноріченська селищна рада, Бараниківська сільська рада, Макеївська сільська рада, Невська сільська рада, Нововодянська сільська рада, Новоолександрівська сільська рада</t>
  </si>
  <si>
    <t>Лозно-Олександрівська територіальна громада</t>
  </si>
  <si>
    <t>Лозно-Олександрівська селищна рада, Мирненська сільська рада, Солідарненська сільська рада, Шарівська сільська рада, Вівчарівська сільська рада, Привільська сільська рада</t>
  </si>
  <si>
    <t>Нижньодуванська територіальна громада</t>
  </si>
  <si>
    <t>10.05.2017</t>
  </si>
  <si>
    <t>Нижньодуванська селищна рада, Верхньодуванська сільська рада, Оборотнівська сільська рада, Преображенська сільська рада, Новочервоненська сільська рада, Тарасівська сільська рада</t>
  </si>
  <si>
    <t>Сватівська територіальна громада</t>
  </si>
  <si>
    <t>Сватове</t>
  </si>
  <si>
    <t>Сватівська міська рада, Круглівська сільська рада, Гончарівська сільська рада, Маньківська сільська рада, Мілуватська сільська рада, Містківська сільська рада, Первомайська сільська рада, Петрівська сільська рада, Рудівська сільська рада, Свистунівська сільська рада, Новомикільська сільська рада</t>
  </si>
  <si>
    <t>Троїцька селищна рада, Арапівська сільська рада, Багачанська сільська рада, Воєводська сільська рада, Демино-Олександрівська сільська рада, Лантратівська сільська рада, Новознам’янська сільська рада, Новоолександрівська сільська рада, Покровська сільська рада, Розпасіївська сільська рада, Розсипненська сільська рада, Тимонівська сільська рада, Тополівська сільська рада, Яменська сільська рада</t>
  </si>
  <si>
    <t>Старобільський район</t>
  </si>
  <si>
    <t>Біловодська територіальна громада</t>
  </si>
  <si>
    <t>Біловодська селищна рада, Євсузька сільська рада, Бараниківська сільська рада, Брусівська сільська рада, Городищенська сільська рада, Данилівська сільська рада, Кононівська сільська рада, Литвинівська сільська рада, Нижньобараниківська сільська рада, Новолимарівська сільська рада, Новоолександрівська сільська рада, Плугатарська сільська рада, Семикозівська сільська рада, Шуліківська сільська рада</t>
  </si>
  <si>
    <t>Білолуцька територіальна громада</t>
  </si>
  <si>
    <t>Білолуцьк</t>
  </si>
  <si>
    <t>Білолуцька селищна рада, Козлівська сільська рада, Можняківська сільська рада, Новобілянська сільська рада, Павленківська сільська рада, Танюшівська сільська рада</t>
  </si>
  <si>
    <t>Марківська територіальна громада</t>
  </si>
  <si>
    <t>Марківська селищна рада, Бондарівська сільська рада, Гераськівська сільська рада, Кабичівська сільська рада, Краснопільська сільська рада, Кризька сільська рада, Ліснополянська сільська рада, Просянська сільська рада, Сичанська сільська рада</t>
  </si>
  <si>
    <t>Міловська територіальна громада</t>
  </si>
  <si>
    <t>Мілове</t>
  </si>
  <si>
    <t>Міловська селищна рада, Великоцька сільська рада, Зориківська сільська рада, Микільська сільська рада, Морозівська сільська рада, Мусіївська сільська рада, Новострільцівська сільська рада, Стрільцівська сільська рада</t>
  </si>
  <si>
    <t>Новопсковська територіальна громада</t>
  </si>
  <si>
    <t>Новопсковська селищна рада, Ганусівська сільська рада, Донцівська сільська рада, Заайдарівська сільська рада, Закотненська сільська рада, Кам’янська сільська рада, Новорозсошанська сільська рада, Осинівська сільська рада, Пісківська сільська рада, Риб'янцівська сільська рада, Рогівська сільська рада</t>
  </si>
  <si>
    <t>Старобільська територіальна громада</t>
  </si>
  <si>
    <t>Старобільск</t>
  </si>
  <si>
    <t>Старобільська міська рада, Верхньопокровська сільська рада, Калмиківська  громада., Курячівська сільська рада, Лиманська сільська рада, Нижньопокровська сільська рада, Новоборівська сільська рада, Половинкинська сільська рада, Підгорівська сільська рада, Світлівська сільська рада, Титарівська сільська рада</t>
  </si>
  <si>
    <t>Чмирівська територіальна громада</t>
  </si>
  <si>
    <t>Чмирівська сільська рада, Бутівська сільська рада, Веселівська сільська рада, Вишнева сільська рада, Караяшницька сільська рада, Садківська сільська рада, Шпотинська сільська рада</t>
  </si>
  <si>
    <t>Шульгинська територіальна громада</t>
  </si>
  <si>
    <t>Шульгинська сільська рада, Байдівська сільська рада, Малохатська сільська рада, Хворостянівська сільська рада</t>
  </si>
  <si>
    <t>Сєвєродонецький район</t>
  </si>
  <si>
    <t>Гірська міська рада, Золотівська міська рада, Нижнєнська селищна рада, Новотошківська селищна рада, Тошківська селищна рада, Кримська сільська рада, КОАТУУ: 4423881502), КОАТУУ: 4423881102)</t>
  </si>
  <si>
    <t>Кремінська територіальна громада</t>
  </si>
  <si>
    <t>Кремінна</t>
  </si>
  <si>
    <t>Кремінська міська рада, Новокраснянська сільська рада, Червонопопівська сільська рада</t>
  </si>
  <si>
    <t>Лисичанська територіальна громада</t>
  </si>
  <si>
    <t>Лисичанськ</t>
  </si>
  <si>
    <t>Білогорівська селищна рада, Вовчоярівська селищна рада, Лисичанська міська рада, Малорязанцівська селищна рада, Мирнодолинська селищна рада, Новодружеська міська рада, Привільська міська рада</t>
  </si>
  <si>
    <t>Попаснянська територіальна громада</t>
  </si>
  <si>
    <t>Попасна</t>
  </si>
  <si>
    <t>Попаснянська міська рада, Врубівська селищна рада, Комишувахська селищна рада, Троїцька сільська рада</t>
  </si>
  <si>
    <t>Рубіжанська територіальна громада</t>
  </si>
  <si>
    <t>Рубіжне</t>
  </si>
  <si>
    <t>Рубіжанська міська рада, Булгаківська сільська рада, Варварівська сільська рада, Голубівська сільська рада, Кудряшівська сільська рада, Михайлівська сільська рада</t>
  </si>
  <si>
    <t>Сєвєродонецька територіальна громада</t>
  </si>
  <si>
    <t>Сєвєродонецьк</t>
  </si>
  <si>
    <t>Сєвєродонецька міська рада, Борівська селищна рада, Сиротинська селищна рада, Єпіфанівська сільська рада, Боровенська сільська рада, Новоастраханська сільська рада, Смолянинівська сільська рада, Чабанівська сільська рада</t>
  </si>
  <si>
    <t>Щастинський район</t>
  </si>
  <si>
    <t>Нижньотеплівська територіальна громада</t>
  </si>
  <si>
    <t>Нижньотеплівська сільська рада, Великочернігівська сільська рада, Верхньобогданівська сільська рада, Теплівська сільська рада, Червоножовтнева сільська рада</t>
  </si>
  <si>
    <t>Новоайдарська територіальна громада</t>
  </si>
  <si>
    <t>Новоайдарська селищна рада, Бахмутівська сільська рада, Гречишкинська сільська рада, Денежниківська сільська рада, Дмитрівська сільська рада, Колядівська сільська рада, Муратівська сільська рада, Новоохтирська сільська рада, Олексіївська сільська рада, Побєдівська сільська рада, Райгородська сільська рада, Співаківська сільська рада, Штормівська сільська рада</t>
  </si>
  <si>
    <t>Станично-Луганська територіальна громада</t>
  </si>
  <si>
    <t>Станиця Луганська</t>
  </si>
  <si>
    <t>Станично-Луганська селищна рада, Валуйська сільська рада, Комишненська сільська рада, Вільхівська сільська рада</t>
  </si>
  <si>
    <t>Широківська сільська рада, Гарасимівська сільська рада, Красноталівська сільська рада, Розквітненська сільська рада, Талівська сільська рада, Чугинська сільська рада</t>
  </si>
  <si>
    <t>Щастинська територіальна громада</t>
  </si>
  <si>
    <t>Петропавлівська селищна рада, Щастинська міська рада, Трьохізбенська сільська рада, Передільська сільська рада</t>
  </si>
  <si>
    <t>Львівська область</t>
  </si>
  <si>
    <t>Дрогобицький район</t>
  </si>
  <si>
    <t>Бориславська територіальна громада</t>
  </si>
  <si>
    <t>Борислав</t>
  </si>
  <si>
    <t>Бориславська міська рада, Попелівська сільська рада, Урізька сільська рада, Ясенице-Сільнянська сільська рада</t>
  </si>
  <si>
    <t>Дрогобицька територіальна громада</t>
  </si>
  <si>
    <t>Дрогобич</t>
  </si>
  <si>
    <t>Дрогобицька міська рада, Стебницька міська рада, Болехівська сільська рада, Броницька сільська рада, Верхньогаївська сільська рада, Волянська сільська рада, Дережицька сільська рада, Добрівлянська сільська рада, Долішньолужецька сільська рада, Лішнянська сільська рада, Медвежанська сільська рада, Михайлевицька сільська рада, Нагуєвицька сільська рада, Нижньогаївська сільська рада, Бистрицька сільська рада, Почаєвицька сільська рада, Раневицька сільська рада, Рихтицька сільська рада, Снятинська сільська рада, Ступницька сільська рада, Унятицька сільська рада</t>
  </si>
  <si>
    <t>Меденицька територіальна громада</t>
  </si>
  <si>
    <t>Меденицька селищна рада, Верхньодорожівська сільська рада, Волощанська сільська рада, Вороблевицька сільська рада, Грушівська сільська рада, Летнянська сільська рада, Літинська сільська рада, Опарівська сільська рада, Ролівська сільська рада, Ріпчицька сільська рада, Солонська сільська рада</t>
  </si>
  <si>
    <t>Східницька територіальна громада</t>
  </si>
  <si>
    <t>Східниця</t>
  </si>
  <si>
    <t>Підбузька селищна рада, Східницька селищна рада, Бистрицька-Гірська сільська рада, Довжанська-Гірська сільська рада, Довжанська сільська рада, Залокотська сільська рада, Новокропивницька сільська рада, Опаківська сільська рада, Рибницька сільська рада, Смільнянська сільська рада, Старокропивницька сільська рада, Головська сільська рада, Ластівківська сільська рада</t>
  </si>
  <si>
    <t>Трускавецька територіальна громада</t>
  </si>
  <si>
    <t>Трускавець</t>
  </si>
  <si>
    <t>Трускавецька міська рада, Доброгостівська сільська рада, Модрицька сільська рада, Станильська сільська рада, Уличненська сільська рада, Орівська сільська рада</t>
  </si>
  <si>
    <t>Золочівський район</t>
  </si>
  <si>
    <t>Бродівська територіальна громада</t>
  </si>
  <si>
    <t>Броди</t>
  </si>
  <si>
    <t>Бродівська міська рада, Гаївська сільська рада, Комарівська сільська рада, Лешнівська сільська рада, Пониквянська сільська рада, Пониковицька сільська рада, Смільнівська сільська рада, Станіславчицька сільська рада, Суховільська сільська рада, Шнирівська сільська рада, Язлівчицька сільська рада</t>
  </si>
  <si>
    <t>Буська територіальна громада</t>
  </si>
  <si>
    <t>Буськ</t>
  </si>
  <si>
    <t>Буська міська рада, Олеська селищна рада, Боложинівська сільська рада, Гумниська сільська рада, Заводська сільська рада, Купченська сільська рада, Кутівська сільська рада, Кізлівська сільська рада, Милятинська сільська рада, Новосілківська сільська рада, Ожидівська сільська рада, Переволочнянська сільська рада, Побужанська сільська рада, Соколянська сільська рада, Соколівська сільська рада, Топорівська сільська рада, Тур’янська сільська рада, Чанизька сільська рада, Яблунівська сільська рада</t>
  </si>
  <si>
    <t>Заболотцівська територіальна громада</t>
  </si>
  <si>
    <t>Заболотцівська сільська рада, Підгорецька сільська рада, Ражнівська сільська рада, Ясенівська сільська рада</t>
  </si>
  <si>
    <t>Золочів</t>
  </si>
  <si>
    <t>Золочівська міська рада, Єлиховицька сільська рада, Білокамінська сільська рада, Великовільшаницька сільська рада, Вороняцька сільська рада, Гологірська сільська рада, Гончарівська сільська рада, Княжівська сільська рада, Колтівська сільська рада, Новосілківська сільська рада, Почапівська сільська рада, Підгородненська сільська рада, Підлипецька сільська рада, Руда-Колтівська сільська рада, Сасівська сільська рада, Скварявська сільська рада, Струтинська сільська рада, Червоненська сільська рада, Ясеновецька сільська рада</t>
  </si>
  <si>
    <t>Красненська територіальна громада</t>
  </si>
  <si>
    <t>Красне</t>
  </si>
  <si>
    <t>Красненська селищна рада, Балучинська сільська рада, Задвір’янська сільська рада, Куткірська сільська рада, Андріївська сільська рада, Полтв’янська сільська рада, Сторонибабська сільська рада, Утішківська сільська рада, Бортківська сільська рада</t>
  </si>
  <si>
    <t>Поморянська територіальна громада</t>
  </si>
  <si>
    <t>Поморяни</t>
  </si>
  <si>
    <t>Поморянська селищна рада, Бібщанська сільська рада, Жуківська сільська рада, Коропецька сільська рада, Полянська сільська рада, Ремезівцівська сільська рада, Сновицька сільська рада, Шпиколоська сільська рада</t>
  </si>
  <si>
    <t>Підкамінська територіальна громада</t>
  </si>
  <si>
    <t>Підкамінь</t>
  </si>
  <si>
    <t>Підкамінська селищна рада, Батьківська сільська рада, Вербівчицька сільська рада, Голубицька сільська рада, Маркопільська сільська рада, Наквашанська сільська рада, Паликоровівська сільська рада, Пеняківська сільська рада, Поповецька сільська рада, Черницька сільська рада</t>
  </si>
  <si>
    <t>Львівський район</t>
  </si>
  <si>
    <t>Бібрська територіальна громада</t>
  </si>
  <si>
    <t>Бібрська міська рада, Новострілищанська селищна рада, Великоглібовицька сільська рада, Ланівська сільська рада, Романівська сільська рада, Свірзька сільська рада, Стрілківська сільська рада, Суходільська сільська рада, Баковецька сільська рада, Кніселівська сільська рада, Соколівська сільська рада</t>
  </si>
  <si>
    <t>Великолюбінська територіальна громада</t>
  </si>
  <si>
    <t>Великолюбінська селищна рада, Завидовицька сільська рада, Коропузька сільська рада</t>
  </si>
  <si>
    <t>Глинянська територіальна громада</t>
  </si>
  <si>
    <t>Глиняни</t>
  </si>
  <si>
    <t>Глинянська міська рада, Великополюхівська сільська рада, Заставнянська сільська рада, Куровицька сільська рада, Перегноївська сільська рада, Підгайчиківська сільська рада, Словітська сільська рада</t>
  </si>
  <si>
    <t>Городоцька міська рада, Бартатівська сільська рада, Братковицька сільська рада, Галичанівська сільська рада, Градівська сільська рада, Добрянська сільська рада, Долинянська сільська рада, Дубаневицька сільська рада, Повітненська сільська рада, Керницька сільська рада, Мильчицька сільська рада, Мшанська сільська рада, Речичанська сільська рада, Родатицька сільська рада, Тучапська сільська рада, Угрівська сільська рада, Шоломиницька сільська рада</t>
  </si>
  <si>
    <t>Давидівська територіальна громада</t>
  </si>
  <si>
    <t>Давидівська сільська рада, Винничківська сільська рада, Звенигородська сільська рада, Кротошинська сільська рада, Миколаївська сільська рада, Пасіки-Зубрицька сільська рада, Старосільська сільська рада, Чишківська сільська рада</t>
  </si>
  <si>
    <t>Добросинсько-Магерівська територіальна громада</t>
  </si>
  <si>
    <t>Добросинська сільська рада, Магерівська селищна рада, Бишківська сільська рада, Замківська сільська рада, Кам’яногірська сільська рада, Кунинська сільська рада, Лавриківська сільська рада, Погариська сільська рада, Підліссянська сільська рада</t>
  </si>
  <si>
    <t>Жовківська територіальна громада</t>
  </si>
  <si>
    <t>Жовква</t>
  </si>
  <si>
    <t>Жовківська міська рада, Воле-Висоцька сільська рада, Глинська сільська рада, Замочківська сільська рада, Зіболківська сільська рада, Крехівська сільська рада, Кулявська сільська рада, Любельська сільська рада, Мацошинська сільська рада, Мокротинська сільська рада, Новоскварявська сільська рада, Сопошинська сільська рада, Староскварявська сільська рада, Туринківська сільська рада</t>
  </si>
  <si>
    <t>Жовтанецька територіальна громада</t>
  </si>
  <si>
    <t>Жовтанецька сільська рада, Великоколоднівська сільська рада, Вирівська сільська рада, Ременівська сільська рада</t>
  </si>
  <si>
    <t>Зимноводівська територіальна громада</t>
  </si>
  <si>
    <t>Зимноводівська сільська рада, Лапаївська сільська рада, Скнилівська сільська рада, Суховільська сільська рада</t>
  </si>
  <si>
    <t>Кам’янка-Бузька територіальна громада</t>
  </si>
  <si>
    <t>Кам’янка-Бузька міська рада, Батятицька сільська рада, Дернівська сільська рада, Желдецька сільська рада, Зубівмостівська сільська рада, Прибужанівська сільська рада, Стрептівська сільська рада</t>
  </si>
  <si>
    <t>Комарнівська територіальна громада</t>
  </si>
  <si>
    <t>Комарно</t>
  </si>
  <si>
    <t>Комарнівська міська рада, Бучалівська сільська рада, Грімненська сільська рада, Кліцьківська сільська рада, Монастирецька сільська рада, Новосільська сільська рада, Переможненська сільська рада, Підзвіринецька сільська рада, Татаринівська сільська рада, Тулиголівська сільська рада</t>
  </si>
  <si>
    <t>Куликівська територіальна громада</t>
  </si>
  <si>
    <t>Куликів</t>
  </si>
  <si>
    <t>Куликівська селищна рада, Артасівська сільська рада, Великодорошівська сільська рада, Надичівська сільська рада, Смереківська сільська рада</t>
  </si>
  <si>
    <t>Львівська територіальна громада</t>
  </si>
  <si>
    <t>Львів</t>
  </si>
  <si>
    <t>Дублянська міська рада, Львівська міська рада, Брюховицька селищна рада, Винниківська міська рада, Шевченківська районна рада, Франківська районна рада, Личаківська районна рада, Сихівська районна рада, Галицька районна рада, Залізнична районна рада, Рудненська селищна рада, Грибовицька сільська рада, Грядівська сільська рада, Зашківська сільська рада, Малехівська сільська рада, Лисиничівська сільська рада, Рясне-Руська сільська рада</t>
  </si>
  <si>
    <t>Мурованська територіальна громада</t>
  </si>
  <si>
    <t>Сороки-Львівська сільська рада, Гамаліївська сільська рада, Ямпільська сільська рада</t>
  </si>
  <si>
    <t>Новояричівська територіальна громада</t>
  </si>
  <si>
    <t>Новий Яричів</t>
  </si>
  <si>
    <t>Новояричівська селищна рада, Запитівська селищна рада, Банюнинська сільська рада, Великосілківська сільська рада, Дідилівська сільська рада, Неслухівська сільська рада, Старояричівська сільська рада, Убинівська сільська рада, Борщовицька сільська рада, Пикуловичівська сільська рада</t>
  </si>
  <si>
    <t>Оброшинська територіальна громада</t>
  </si>
  <si>
    <t>Оброшине</t>
  </si>
  <si>
    <t>Оброшинська сільська рада, Конопницька сільська рада, Ставчанська сільська рада</t>
  </si>
  <si>
    <t>Перемишлянська територіальна громада</t>
  </si>
  <si>
    <t>Перемишляни</t>
  </si>
  <si>
    <t>Перемишлянська міська рада, Іванівська сільська рада, Бачівська сільська рада, Болотнянська сільська рада, Борщівська сільська рада, Брюховицька сільська рада, Білецька сільська рада, Вишнівчицька сільська рада, Вовківська сільська рада, Добряницька сільська рада, Дунаївська сільська рада, Дусанівська сільська рада, Кореличівська сільська рада, Короснянська сільська рада, Лагодівська сільська рада, Липовецька сільська рада, Осталовицька сільська рада, Подусівська сільська рада, Подусільнянська сільська рада, Станимирська сільська рада, Ушковицька сільська рада, Чемеринецька сільська рада</t>
  </si>
  <si>
    <t>Пустомитівська територіальна громада</t>
  </si>
  <si>
    <t>Пустомити</t>
  </si>
  <si>
    <t>Пустомитівська міська рада, Містківська сільська рада, Семенівська сільська рада</t>
  </si>
  <si>
    <t>Підберізцівська територіальна громада</t>
  </si>
  <si>
    <t>Підберізцівська сільська рада, Верхньобілківська сільська рада, Миклашівська сільська рада, Чорнушовицька сільська рада, Чижиківська сільська рада</t>
  </si>
  <si>
    <t>Рава-Руська територіальна громада</t>
  </si>
  <si>
    <t>Рава-Руська</t>
  </si>
  <si>
    <t>Рава-Руська міська рада, Волицька сільська рада, Гійченська сільська рада, Дев’ятирська сільська рада, Забірська сільська рада, Липницька сільська рада, Новокам’янська сільська рада, Потелицька сільська рада, Річківська сільська рада</t>
  </si>
  <si>
    <t>Сокільницька територіальна громада</t>
  </si>
  <si>
    <t>Сокільники</t>
  </si>
  <si>
    <t>Сокільницька сільська рада, Годовицько-Басівська сільська рада</t>
  </si>
  <si>
    <t>Солонківська територіальна громада</t>
  </si>
  <si>
    <t>Солонківська сільська рада, Вовківська сільська рада, Жирівська сільська рада, Зубрянська сільська рада, Поршнянська сільська рада, Раковецька сільська рада</t>
  </si>
  <si>
    <t>Щирецька територіальна громада</t>
  </si>
  <si>
    <t>Щирецька селищна рада, Гуменецька сільська рада, Дмитрівська сільська рада, Пісківська сільська рада, Соколівська сільська рада</t>
  </si>
  <si>
    <t>Самбірський район</t>
  </si>
  <si>
    <t>Боринська територіальна громада</t>
  </si>
  <si>
    <t>Бориня</t>
  </si>
  <si>
    <t>Боринська селищна рада, Боберківська сільська рада, Бітлянська сільська рада, Верхньояблунська сільська рада, Верхньогусненська сільська рада, Верхненська сільська рада, Верхньовисоцька сільська рада, Карпатська сільська рада, Комарницька сільська рада, Кривківська сільська рада, Либохорська сільська рада, Нижньояблунська сільська рада, Нижньотурівська сільська рада, Нижньовисоцька сільська рада, Риківська сільська рада, Сянківська сільська рада, Шандровецька сільська рада</t>
  </si>
  <si>
    <t>Бісковицька територіальна громада</t>
  </si>
  <si>
    <t>Бісковицька сільська рада, Верхівецька сільська рада, Викотівська сільська рада, Воле-Баранецька сільська рада, Воютицька сільська рада, П’яновицька сільська рада, Садковицька сільська рада, Лютовиська сільська рада, Сусідовицька сільська рада</t>
  </si>
  <si>
    <t>Добромильська територіальна громада</t>
  </si>
  <si>
    <t>Добромиль</t>
  </si>
  <si>
    <t>Добромильська міська рада, Нижанковицька селищна рада, Болозівська сільська рада, Боршевицька сільська рада, Грушатицька сільська рада, Дроздовицька сільська рада, Княжпільська сільська рада, Конівська сільська рада, Міженецька сільська рада, Новоміська сільська рада, Солянуватська сільська рада, Тернавська сільська рада, Трушевицька сільська рада</t>
  </si>
  <si>
    <t>Новокалинівська територіальна громада</t>
  </si>
  <si>
    <t>Новокалинівська міська рада, Дублянська селищна рада, Бабинська сільська рада, Великобілинська сільська рада, Великоозиминська сільська рада, Гординянська сільська рада, Калинівська сільська рада, Корналовицька сільська рада, Корничська сільська рада, Лукавська сільська рада, Містковицька сільська рада</t>
  </si>
  <si>
    <t>Ралівська територіальна громада</t>
  </si>
  <si>
    <t>Ралівка</t>
  </si>
  <si>
    <t>Ралівська сільська рада, Блажівська сільська рада, Вільшаницька сільська рада, Городищенська сільська рада, Кульчицька сільська рада, Монастирецька сільська рада, Чукв’янська сільська рада</t>
  </si>
  <si>
    <t>Рудківська територіальна громада</t>
  </si>
  <si>
    <t>Рудківська міська рада, Вощанцівська сільська рада, Купновицька сільська рада, Луківська сільська рада, Михайлевицька сільська рада, Никловицька сільська рада, Новосілко-Гостиннівська сільська рада, Погірцівська сільська рада, Підгайчиківська сільська рада, Роздільненська сільська рада, Сусолівська сільська рада, Чайковицька сільська рада, Вишнянська сільська рада</t>
  </si>
  <si>
    <t>Самбірська територіальна громада</t>
  </si>
  <si>
    <t>Самбір</t>
  </si>
  <si>
    <t>Самбірська міська рада, Стрілковицька сільська рада</t>
  </si>
  <si>
    <t>Старосамбірська територіальна громада</t>
  </si>
  <si>
    <t>Старий Самбір</t>
  </si>
  <si>
    <t>Старосамбірська міська рада, Старосолянська селищна рада, Білицька сільська рада, Великолінинська сільська рада, Великосільська сільська рада, Волошинівська сільська рада, Волянська сільська рада, Страшевицька сільська рада, Стрільбицька сільська рада, Тершівська сільська рада, Торчиновицька сільська рада</t>
  </si>
  <si>
    <t>Стрілківська територіальна громада</t>
  </si>
  <si>
    <t>Стрілки</t>
  </si>
  <si>
    <t>Стрілківська сільська рада, Верхньолужоцька сільська рада, Головецька сільська рада, Грозівська сільська рада, Мшанецька сільська рада, Ріп’янська сільська рада, Тисовицька сільська рада, Топільницька сільська рада, Тур’ївська сільська рада, Ясенице-Замківська сільська рада</t>
  </si>
  <si>
    <t>Турківська територіальна громада</t>
  </si>
  <si>
    <t>Турка</t>
  </si>
  <si>
    <t>Турківська міська рада, Ільницька сільська рада, Ісаївська сільська рада, Вовченська сільська рада, Завадівська сільська рада, Лімнянська сільська рада, Присліпська сільська рада, Розлуцька сільська рада, Хащівська сільська рада, Шум’яцька сільська рада, Явірська сільська рада, Ясеницька сільська рада, КОАТУУ: 4625580602), КОАТУУ: 4625587802)</t>
  </si>
  <si>
    <t>Хирівська територіальна громада</t>
  </si>
  <si>
    <t>Хирів</t>
  </si>
  <si>
    <t>Хирівська міська рада, Великосушицька сільська рада, Мурованська сільська рада, Скелівська сільська рада, Слохинівська сільська рада, Стар’явська сільська рада, Терлівська сільська рада, Чаплівська сільська рада</t>
  </si>
  <si>
    <t>Стрийський район</t>
  </si>
  <si>
    <t>Гніздичівська територіальна громада</t>
  </si>
  <si>
    <t>Гніздичівська селищна рада, Лівчицька сільська рада, Облазницька сільська рада, Рудянська сільська рада</t>
  </si>
  <si>
    <t>Грабовецько-Дулібівська територіальна громада</t>
  </si>
  <si>
    <t>Дулібська сільська рада, Стинавська сільська рада, Грабовецька сільська рада, Гірненська сільська рада, Довголуцька сільська рада, Конюхівська сільська рада, Любинцівська сільська рада, Монастирецька сільська рада, Нижньостинавська сільська рада</t>
  </si>
  <si>
    <t>Жидачівська територіальна громада</t>
  </si>
  <si>
    <t>Жидачів</t>
  </si>
  <si>
    <t>Жидачівська міська рада, Бережницька сільська рада, Вільховецька сільська рада, Зарічанська сільська рада, Млиниська сільська рада</t>
  </si>
  <si>
    <t>Журавненська територіальна громада</t>
  </si>
  <si>
    <t>Журавне</t>
  </si>
  <si>
    <t>Журавнівська селищна рада, Володимирецька сільська рада, Зарічненська сільська рада, Любшанська сільська рада, Мельницька сільська рада, Монастирецька сільська рада, Сидорівська сільська рада, Чертізька сільська рада</t>
  </si>
  <si>
    <t>Козівська територіальна громада</t>
  </si>
  <si>
    <t>Козьова</t>
  </si>
  <si>
    <t>Козівська сільська рада, Верхнячківська сільська рада, Довжківська сільська рада, Жупанівська сільська рада, Завадківська сільська рада, Задільська сільська рада, Климецька сільська рада, Орявська сільська рада, Плав’янська сільська рада, Риківська сільська рада, Росохацька сільська рада, Сможенська сільська рада, Тухольківська сільська рада, Красненська сільська рада, Мохнатська сільська рада</t>
  </si>
  <si>
    <t>Миколаїв</t>
  </si>
  <si>
    <t>Миколаївська міська рада, Більченська сільська рада, Великогорожанська сільська рада, Гонятичівська сільська рада, Гірська сільська рада, Дроговизька сільська рада, Колодрубівська сільська рада, Криницька сільська рада, Новосілко-Опарська сільська рада, Раделицька сільська рада, Рудниківська сільська рада</t>
  </si>
  <si>
    <t>Моршинська територіальна громада</t>
  </si>
  <si>
    <t>Моршин</t>
  </si>
  <si>
    <t>Моршинська міська рада, Воля-Задеревацька сільська рада, Долішненська сільська рада, Лисовицька сільська рада, Станківська сільська рада</t>
  </si>
  <si>
    <t>Новороздільська територіальна громада</t>
  </si>
  <si>
    <t>Новий Розділ</t>
  </si>
  <si>
    <t>Новороздільська міська рада, Роздільська селищна рада, Берездівецька сільська рада, Березинська сільська рада, Горішненська сільська рада, Станківецька сільська рада</t>
  </si>
  <si>
    <t>Розвадівська територіальна громада</t>
  </si>
  <si>
    <t>Розвадівська сільська рада, Веринська сільська рада, Держівська сільська рада, Київецька сільська рада, Крупська сільська рада, Пісочнянська сільська рада</t>
  </si>
  <si>
    <t>Сколівська територіальна громада</t>
  </si>
  <si>
    <t>Сколе</t>
  </si>
  <si>
    <t>Сколівська міська рада, Верхньосиньовидненська селищна рада, Гребенівська сільська рада, Кам’янська сільська рада, Коростівська сільська рада, Корчинська сільська рада, Крушельницька сільська рада, Нижньосиньовидненська сільська рада, Підгородецька сільська рада, Труханівська сільська рада, Ямельницька сільська рада</t>
  </si>
  <si>
    <t>Славська територіальна громада</t>
  </si>
  <si>
    <t>Славська селищна рада, Волосянківська сільська рада, Головецька сільська рада, Лавочненська сільська рада, Либохорівська сільська рада, Нижньорожанківська сільська рада, Опорецька сільська рада, Тухлянська сільська рада, Хітарська сільська рада</t>
  </si>
  <si>
    <t>Стрийська територіальна громада</t>
  </si>
  <si>
    <t>Стрий</t>
  </si>
  <si>
    <t>Дашавська селищна рада, Стрийська міська рада, Братківська сільська рада, Дідушицька сільська рада, Вівнянська сільська рада, Голобутівська сільська рада, Добрянська сільська рада, Добрівлянська сільська рада, Жулинська сільська рада, Завадівська сільська рада, Загірненська сільська рада, Заплатинська сільська рада, Йосиповицька сільська рада, Кавська сільська рада, Ланівська сільська рада, Лисятицька сільська рада, Миртюківська сільська рада, Нежухівська сільська рада, Подорожненська сільська рада, Підгірцівська сільська рада, П’ятничанська сільська рада, Розгірченська сільська рада, Семигинівська сільська рада, Сихівська сільська рада, Стриганцівська сільська рада, Стрілківська сільська рада, Угерська сільська рада, Ходовицька сільська рада</t>
  </si>
  <si>
    <t>Тростянецька сільська рада, Бродківська сільська рада, Демнянська сільська рада, Красівська сільська рада, Стільська сільська рада, Тернопільська сільська рада, КОАТУУ: ), КОАТУУ: )</t>
  </si>
  <si>
    <t>Ходорівська територіальна громада</t>
  </si>
  <si>
    <t>Ходорівська міська рада, Бортниківська сільська рада, Вербицька сільська рада, Вибранівська сільська рада, Грусятицька сільська рада, Дев’ятниківська сільська рада, Жирівська сільська рада, Загірочківська сільська рада, Молодинчецька сільська рада, Отиневицька сільська рада, Піддністрянська сільська рада, Чорноострівська сільська рада, КОАТУУ: 4621584902)</t>
  </si>
  <si>
    <t>Червоноградський район</t>
  </si>
  <si>
    <t>Белзька територіальна громада</t>
  </si>
  <si>
    <t>Белз</t>
  </si>
  <si>
    <t>Белзька міська рада, Угнівська міська рада, Ванівська сільська рада, Домашівська сільська рада, Жужелянська сільська рада, Карівська сільська рада, Корчівська сільська рада, Мурованська сільська рада, Хлівчанська сільська рада</t>
  </si>
  <si>
    <t>Великомостівська територіальна громада</t>
  </si>
  <si>
    <t>Великомостівська міська рада, Бутинська сільська рада, Двірцівська сільська рада, Реклинецька сільська рада, Боянецька сільська рада, Купичвільська сільська рада</t>
  </si>
  <si>
    <t>Добротвірська територіальна громада</t>
  </si>
  <si>
    <t>Добротвір</t>
  </si>
  <si>
    <t>Добротвірська селищна рада, Незнанівська сільська рада, Полоничнівська сільська рада, Стародобротвірська сільська рада, Сілецька сільська рада</t>
  </si>
  <si>
    <t>Лопатинська територіальна громада</t>
  </si>
  <si>
    <t>Лопатинська селищна рада, Барилівська сільська рада, Березівська сільська рада, Завидчанська сільська рада, Куликівська сільська рада, Кустинська сільська рада, Миколаївська сільська рада, Нивицька сільська рада, Сморжівська сільська рада, Стремільченська сільська рада, Увинська сільська рада, Хмільнівська сільська рада</t>
  </si>
  <si>
    <t>Радехівська територіальна громада</t>
  </si>
  <si>
    <t>Радехівська міська рада, Бишівська сільська рада, Вузлівська сільська рада, Дмитрівська сільська рада, Корчинська сільська рада, Кривецька сільська рада, Немилівська сільська рада, Нововитківська сільська рада, Оглядівська сільська рада, Павлівська сільська рада, Пиратинська сільська рада, Половецька сільська рада, Розжалівська сільська рада, Середпільцівська сільська рада, Синьківська сільська рада, Станинська сільська рада, Стоянівська сільська рада, Сушнівська сільська рада, Тетевчицька сільська рада, Яструбичівська сільська рада</t>
  </si>
  <si>
    <t>Сокальська територіальна громада</t>
  </si>
  <si>
    <t>Сокаль</t>
  </si>
  <si>
    <t>Сокальська міська рада, Жвирківська селищна рада, Боб'ятинська сільська рада, Варязька сільська рада, Волицька сільська рада, Княжівська сільська рада, Лучицька сільська рада, Опільська сільська рада, Перв’ятицька сільська рада, Переспівська сільська рада, Поторицька сільська рада, Савчинська сільська рада, Свитазівська сільська рада, Скоморохівська сільська рада, Смиківська сільська рада, Стенятинська сільська рада, Тартаківська сільська рада, Телязька сільська рада, Тудорковицька сільська рада, Хоробрівська сільська рада</t>
  </si>
  <si>
    <t>Червоноградська територіальна громада</t>
  </si>
  <si>
    <t>Червоноград</t>
  </si>
  <si>
    <t>Червоноградська міська рада, Гірницька селищна рада, Соснівська міська рада, Поздимирська сільська рада, Волсвинська сільська рада, Межирічанська сільська рада, Острівська сільська рада, Сілецька сільська рада</t>
  </si>
  <si>
    <t>Яворівський район</t>
  </si>
  <si>
    <t>Івано-Франкове</t>
  </si>
  <si>
    <t>Івано-Франківська селищна рада, Бірківська сільська рада, Великопільська сільська рада, Вороцівська сільська рада, Домажирська сільська рада, Лозинська сільська рада, Мальчицька сільська рада, Порічанська сільська рада, Ясниська сільська рада</t>
  </si>
  <si>
    <t>Мостиська територіальна громада</t>
  </si>
  <si>
    <t>Мостиська міська рада, Арламівськоволянська сільська рада, Берегівська сільська рада, Годинівська сільська рада, Гостинцівська сільська рада, Зав’язанцівська сільська рада, Крисовицька сільська рада, Крукеницька сільська рада, Липниківська сільська рада, Малнівська сільська рада, Малнівськоволянська сільська рада, Пнікутська сільська рада, Підлісківська сільська рада, Раденицька сільська рада, Соколянська сільська рада, Стоянцівська сільська рада, Твіржанська сільська рада, Хлиплівська сільська рада, Чернівська сільська рада</t>
  </si>
  <si>
    <t>Новояворівська територіальна громада</t>
  </si>
  <si>
    <t>Судововишнянська територіальна громада</t>
  </si>
  <si>
    <t>Судововишнянська міська рада, Дидятицька сільська рада, Дмитровицька сільська рада, Довгомостиська сільська рада, Маломокрянська сільська рада</t>
  </si>
  <si>
    <t>Шегинівська територіальна громада</t>
  </si>
  <si>
    <t>Шегинівська сільська рада, Балицька сільська рада, Тщенецька сільська рада, Гусаківська сільська рада, Золотковицька сільська рада, Мишлятицька сільська рада, Мостиська Друга сільська рада, Поповицька сільська рада, Хідновицька сільська рада</t>
  </si>
  <si>
    <t>Яворівська територіальна громада</t>
  </si>
  <si>
    <t>Яворів</t>
  </si>
  <si>
    <t>Яворівська міська рада, Краковецька селищна рада, Немирівська селищна рада, Бунівська сільська рада, Верблянська сільська рада, Віжомлянська сільська рада, Дрогомишльська сільська рада, Завадівська сільська рада, Залузька сільська рада, Калинівська сільська рада, Любинська сільська рада, Нагачівська сільська рада, Наконечнянська сільська рада, Рогізненська сільська рада, Свидницька сільська рада, Середкевичівська сільська рада, Смолинська сільська рада, Чернилявська сільська рада</t>
  </si>
  <si>
    <t>Миколаївська область</t>
  </si>
  <si>
    <t>Баштанський район</t>
  </si>
  <si>
    <t>Інгульська територіальна громада</t>
  </si>
  <si>
    <t>Інгулка</t>
  </si>
  <si>
    <t>Інгульська сільська рада, Доброкриничанська сільська рада, Костичівська сільська рада, Лоцкинська сільська рада, Мар’ївська сільська рада, Новоолександрівська сільська рада</t>
  </si>
  <si>
    <t>Баштанська територіальна громада</t>
  </si>
  <si>
    <t>Баштанська міська рада, Добренська сільська рада, Новопавлівська сільська рада, Новосергіївська сільська рада, Новоіванівська сільська рада, Плющівська сільська рада, Пісківська сільська рада, Христофорівська сільська рада, Явкинська сільська рада</t>
  </si>
  <si>
    <t>Березнегуватська територіальна громада</t>
  </si>
  <si>
    <t>Березнегуватська селищна рада, Білокриницька сільська рада, Висунська сільська рада, Калузька сільська рада, Лепетиська сільська рада, Любомирівська сільська рада, Маліївська сільська рада, Мурахівська сільська рада, Нововолодимирівська сільська рада, Новоочаківська сільська рада, Новосевастопольська сільська рада, Новоукраїнська сільська рада, Озерівська сільська рада, Сергіївська сільська рада, Федорівська сільська рада</t>
  </si>
  <si>
    <t>Володимирівська територіальна громада</t>
  </si>
  <si>
    <t>Володимирівська сільська рада, Олександрівська сільська рада, Скобелевська сільська рада, Червонознам’янська сільська рада</t>
  </si>
  <si>
    <t>Вільнозапорізька територіальна громада</t>
  </si>
  <si>
    <t>Вільнозапорізька сільська рада, Новополтавська сільська рада, Новохристофорівська сільська рада, Новоюр’ївська сільська рада, Шевченківська сільська рада, КОАТУУ: 4824586005)</t>
  </si>
  <si>
    <t>Горохівська сільська рада, Баратівська сільська рада, Новотимофіївська сільська рада, Олександрівська сільська рада, Суворовська сільська рада</t>
  </si>
  <si>
    <t>Казанківська територіальна громада</t>
  </si>
  <si>
    <t>Казанківська селищна рада, Великоолександрівська сільська рада, Веселобалківська сільська рада, Дмитро-Білівська сільська рада, Дмитрівська сільська рада, Каширівська сільська рада, Лагодівська сільська рада, Миколаївська сільська рада, Миколо-Гулаківська сільська рада, Михайлівська сільська рада, Новоданилівська сільська рада, Новолазарівська сільська рада, Новофедорівська сільська рада, Троїцько-Сафонівська сільська рада</t>
  </si>
  <si>
    <t>Новобузька територіальна громада</t>
  </si>
  <si>
    <t>Новобузька міська рада, Новомихайлівська сільська рада, Розанівська сільська рада</t>
  </si>
  <si>
    <t>Привільненська територіальна громада</t>
  </si>
  <si>
    <t>Привільне</t>
  </si>
  <si>
    <t>Привільненська сільська рада, Єрмолівська сільська рада, Кашперо-Миколаївська сільська рада, Лук'янівська сільська рада, Старогороженська сільська рада</t>
  </si>
  <si>
    <t>Снігурівська територіальна громада</t>
  </si>
  <si>
    <t>Снігурівська міська рада, Афанасіївська сільська рада, Василівська сільська рада, Калинівська сільська рада, Кобзарцівська сільська рада, Нововасилівська сільська рада, Павлівська сільська рада, Першотравнева сільська рада, Тамаринська сільська рада</t>
  </si>
  <si>
    <t>Софіївська сільська рада, Березнегуватська сільська рада, Кам’янська сільська рада, Баратівська сільська рада, Новомиколаївська сільська рада</t>
  </si>
  <si>
    <t>Червонодолинська сільська рада, Новопетрівська сільська рада</t>
  </si>
  <si>
    <t>Вознесенський район</t>
  </si>
  <si>
    <t>Єланецька територіальна громада</t>
  </si>
  <si>
    <t>Єланець</t>
  </si>
  <si>
    <t>Єланецька селищна рада, Великосолонівська сільська рада, Великосербулівська сільська рада, Водяно-Лоринська сільська рада, Возсіятська сільська рада, Калинівська сільська рада, Малодворянська сільська рада, Маложенівська сільська рада, Малоукраїнська сільська рада, Нововасилівська сільська рада, Ольгопольська сільська рада, Ясногородська сільська рада</t>
  </si>
  <si>
    <t>Братська територіальна громада</t>
  </si>
  <si>
    <t>Братське</t>
  </si>
  <si>
    <t>Братська селищна рада, Іллічівська сільська рада, Кривопустоська сільська рада, Миколаївська сільська рада, Новокостянтинівська сільська рада, Новоолександрівська сільська рада, Петропавлівська сільська рада, Сергіївська сільська рада, Улянівська сільська рада, Шевченківська сільська рада</t>
  </si>
  <si>
    <t>Бузька територіальна громада</t>
  </si>
  <si>
    <t>Бузька сільська рада, Вознесенська сільська рада, Григорівська сільська рада, Таборівська сільська рада</t>
  </si>
  <si>
    <t>Веселинівська територіальна громада</t>
  </si>
  <si>
    <t>Веселинівська селищна рада, Токарівська селищна рада, Варюшинська сільська рада, Зеленівська сільська рада, Луб’янська сільська рада, Миколаївська сільська рада, Новосвітлівська сільська рада, Подільська сільська рада, Покровська сільська рада, Порічанська сільська рада, Ставківська сільська рада</t>
  </si>
  <si>
    <t>Вознесенська територіальна громада</t>
  </si>
  <si>
    <t>17.08.2018</t>
  </si>
  <si>
    <t>Вознесенська міська рада, Новогригорівська сільська рада</t>
  </si>
  <si>
    <t>Доманівська територіальна громада</t>
  </si>
  <si>
    <t>Доманівська селищна рада, Володимирівська сільська рада, Зеленоярська сільська рада, Маринівська сільська рада, Петропавлівська сільська рада, Царедарівська сільська рада, Щасливська сільська рада</t>
  </si>
  <si>
    <t>Дорошівська територіальна громада</t>
  </si>
  <si>
    <t>Дорошівська сільська рада, Білоусівська сільська рада, Щербанівська сільська рада, Мічурінська сільська рада</t>
  </si>
  <si>
    <t>Мостівська територіальна громада</t>
  </si>
  <si>
    <t>Мостівська сільська рада, Козубівська сільська рада, Олександрівська сільська рада, Сухобалківська сільська рада</t>
  </si>
  <si>
    <t>Новомар'ївська територіальна громада</t>
  </si>
  <si>
    <t>Новомар’ївська сільська рада, Ганнівська сільська рада, Григорівська сільська рада, Кам’яно-Костуватська сільська рада, Костуватська сільська рада, Миролюбівська сільська рада</t>
  </si>
  <si>
    <t>Олександрівська селищна рада, Воронівська сільська рада, Трикратівська сільська рада</t>
  </si>
  <si>
    <t>Прибужанівська територіальна громада</t>
  </si>
  <si>
    <t>Прибужанівська сільська рада, Дмитрівська сільська рада, Новосілківська сільська рада, Тімірязєвська сільська рада, Яструбинівська сільська рада</t>
  </si>
  <si>
    <t>Прибузька територіальна громада</t>
  </si>
  <si>
    <t>Прибузька сільська рада, Акмечетська сільська рада, Богданівська сільська рада</t>
  </si>
  <si>
    <t>Южноукраїнська територіальна громада</t>
  </si>
  <si>
    <t>Южноукраїнськ</t>
  </si>
  <si>
    <t>Костянтинівська селищна рада, Южноукраїнська міська рада, Іванівська сільська рада</t>
  </si>
  <si>
    <t>Миколаївський район</t>
  </si>
  <si>
    <t>Березанська селищна рада, Василівська сільська рада, Дмитрівська сільська рада, Калинівська сільська рада, Краснянська сільська рада, Краснопільська сільська рада, Лиманівська сільська рада, Матіясівська сільська рада, Ташинська сільська рада, Щасливська сільська рада</t>
  </si>
  <si>
    <t>Веснянська територіальна громада</t>
  </si>
  <si>
    <t>Веснянська сільська рада, Безводненська сільська рада, Кир’яківська сільська рада, Кривобалківська сільська рада, Надбузька сільська рада, Петрівська сільська рада</t>
  </si>
  <si>
    <t>Воскресенська селищна рада, Грейгівська сільська рада, Калинівська сільська рада, Михайло-Ларинська сільська рада, Пересадівська сільська рада</t>
  </si>
  <si>
    <t>Галицинівська територіальна громада</t>
  </si>
  <si>
    <t>Галицинівська сільська рада, Лиманівська сільська рада, Прибузька сільська рада, Українківська сільська рада</t>
  </si>
  <si>
    <t>Коблівська територіальна громада</t>
  </si>
  <si>
    <t>Коблівська сільська рада, Анатолівська сільська рада, Новофедорівська сільська рада, Рибаківська сільська рада, Тузлівська сільська рада, Українська сільська рада</t>
  </si>
  <si>
    <t>Костянтинівська сільська рада, Баловненська сільська рада, Гур’ївська сільська рада, Кандибинська сільська рада, Новопетрівська сільська рада, Себинська сільська рада</t>
  </si>
  <si>
    <t>Куцурубська територіальна громада</t>
  </si>
  <si>
    <t>Куцурубська сільська рада, Іванівська сільська рада, Дмитрівська сільська рада, Острівська сільська рада, Парутинська сільська рада, Солончаківська сільська рада</t>
  </si>
  <si>
    <t>Миколаївська міська рада, Центральна районна рада, Ленінська районна рада, Корабельна районна рада, Заводська районна рада</t>
  </si>
  <si>
    <t>Мішково-Погорілівська територіальна громада</t>
  </si>
  <si>
    <t>Мішково-Погорілівська сільська рада, Коларівська сільська рада</t>
  </si>
  <si>
    <t>Нечаянська територіальна громада</t>
  </si>
  <si>
    <t>Нечаянська сільська рада, Благодарівська сільська рада, Данилівська сільська рада</t>
  </si>
  <si>
    <t>Новоодеська територіальна громада</t>
  </si>
  <si>
    <t>Нова Одеса</t>
  </si>
  <si>
    <t>Новоодеська міська рада, Димівська сільська рада, Дільнична сільська рада, Михайлівська сільська рада, Новосафронівська сільська рада, Підлісненська сільська рада, Троїцька сільська рада</t>
  </si>
  <si>
    <t>Ольшанська територіальна громада</t>
  </si>
  <si>
    <t>ОЛЬШАНСЬКА  ГРОМАДА, Ковалівська сільська рада, Трихатська сільська рада, Шостаківська сільська рада, Яснополянська сільська рада</t>
  </si>
  <si>
    <t>Очаківська територіальна громада</t>
  </si>
  <si>
    <t>Очаків</t>
  </si>
  <si>
    <t>Очаківська міська рада, Покровська сільська рада</t>
  </si>
  <si>
    <t>Первомайська територіальна громада</t>
  </si>
  <si>
    <t>Первомайське</t>
  </si>
  <si>
    <t>Первомайська селищна рада, Бармашівська сільська рада, Новомиколаївська сільська рада, Партизанська сільська рада, Киселівська сільська рада</t>
  </si>
  <si>
    <t>Радсадівська територіальна громада</t>
  </si>
  <si>
    <t>Радсадівська сільська рада, Зарічченська сільська рада, Козирська сільська рада</t>
  </si>
  <si>
    <t>Степівська територіальна громада</t>
  </si>
  <si>
    <t>Степове</t>
  </si>
  <si>
    <t>Степівська сільська рада, Криничанська сільська рада, Михайлівська сільська рада, Катеринівська сільська рада, Кубряцька сільська рада, Широколанівська сільська рада</t>
  </si>
  <si>
    <t>Сухоєланецька територіальна громада</t>
  </si>
  <si>
    <t>Сухоєланецька сільська рада, Антонівська сільська рада, Бузька сільська рада, Воронцівська сільська рада, Новошмідтівська сільська рада</t>
  </si>
  <si>
    <t>Чорноморська територіальна громада</t>
  </si>
  <si>
    <t>Чорноморська сільська рада, Кам’янська сільська рада, Рівненська сільська рада</t>
  </si>
  <si>
    <t>Шевченківська територіальна громада</t>
  </si>
  <si>
    <t>Шевченківська сільська рада, Зеленогайська сільська рада, Котляревська сільська рада, Миколаївська сільська рада, Мирнівська сільська рада, Полігонівська сільська рада, Краснознам’янська сільська рада, Новокиївська сільська рада, Центральна сільська рада</t>
  </si>
  <si>
    <t>Первомайський район</t>
  </si>
  <si>
    <t>Арбузинська територіальна громада</t>
  </si>
  <si>
    <t>Арбузинська селищна рада, Агрономійська сільська рада, Кавунівська сільська рада, Новокрасненська сільська рада, Новоселівська сільська рада</t>
  </si>
  <si>
    <t>Благодатненська територіальна громада</t>
  </si>
  <si>
    <t>Благодатненська сільська рада, Воєводська сільська рада, Любоіванівська сільська рада, Новогригорівська сільська рада, Рябоконівська сільська рада, Садівська сільська рада, Семенівська сільська рада</t>
  </si>
  <si>
    <t>Врадіївська територіальна громада</t>
  </si>
  <si>
    <t>Врадіївка</t>
  </si>
  <si>
    <t>Врадіївська селищна рада, Іванівська сільська рада, Адамівська сільська рада, Великовеселівська сільська рада, Доброжанівська сільська рада, Краснопільська сільська рада, Кумарівська сільська рада, Нововасилівська сільська рада, Новомихайлівська сільська рада, Новопавлівська сільська рада, Покровська сільська рада, Сирівська сільська рада</t>
  </si>
  <si>
    <t>Кам'яномостівська територіальна громада</t>
  </si>
  <si>
    <t>Кам’яномостівська сільська рада, Кодимська сільська рада, Кримківська сільська рада, Кумарівська сільська рада, Полтавська сільська рада, Степківська сільська рада</t>
  </si>
  <si>
    <t>Кривоозерська територіальна громада</t>
  </si>
  <si>
    <t>Криве Озеро</t>
  </si>
  <si>
    <t>Кривоозерська селищна рада, Багачівська сільська рада, Берізківська сільська рада, Бурилівська сільська рада, Великомечетнянська сільська рада, Красненьківська сільська рада, Кривоозерська сільська рада, Курячелозівська сільська рада, Ленінська сільська рада, Луканівська сільська рада, Мазурівська сільська рада, Маломечетнянська сільська рада, Ониськівська сільська рада, Очеретнянська сільська рада, Секретарська сільська рада, Тридубська сільська рада</t>
  </si>
  <si>
    <t>Мигіївська територіальна громада</t>
  </si>
  <si>
    <t>Мигіївська сільська рада, Лисогірська сільська рада, Романово-Балківська сільська рада, Софіївська сільська рада</t>
  </si>
  <si>
    <t>Синюхинобрідська територіальна громада</t>
  </si>
  <si>
    <t>Синюхин Брід</t>
  </si>
  <si>
    <t>Синюхино-Брідська сільська рада, Болеславчицька сільська рада, Довгопристанська сільська рада, Лукашівська сільська рада, Підгір’ївська сільська рада, Тарасівська сільська рада, Чаусівська сільська рада</t>
  </si>
  <si>
    <t>Одеська область</t>
  </si>
  <si>
    <t>Ізмаїльський район</t>
  </si>
  <si>
    <t>Ізмаїльська територіальна громада</t>
  </si>
  <si>
    <t>Ізмаїл</t>
  </si>
  <si>
    <t>Ізмаїльська міська рада</t>
  </si>
  <si>
    <t>Вилківська територіальна громада</t>
  </si>
  <si>
    <t>Вилківська міська рада, Десантненська сільська рада, Мирнівська сільська рада, Приморська сільська рада</t>
  </si>
  <si>
    <t>Кілійська територіальна громада</t>
  </si>
  <si>
    <t>Кілійська міська рада, Василівська сільська рада, Лісківська сільська рада, Новоселівська сільська рада, Трудівська сільська рада, Фурманівська сільська рада, Червоноярська сільська рада, Шевченківська сільська рада, Дмитрівська сільська рада</t>
  </si>
  <si>
    <t>Ренійська територіальна громада</t>
  </si>
  <si>
    <t>Рені</t>
  </si>
  <si>
    <t>Ренійська міська рада, Долинська сільська рада, Котловинська сільська рада, Лиманська сільська рада, Нагірненська сільська рада, Новосільська сільська рада, Орлівська сільська рада, Плавнівська сільська рада</t>
  </si>
  <si>
    <t>Саф'янівська територіальна громада</t>
  </si>
  <si>
    <t>Саф’яни</t>
  </si>
  <si>
    <t>Саф’янівська сільська рада, Багатянська сільська рада, Бросківська сільська рада, Каланчацька сільська рада, Кам’янська сільська рада, Кислицька сільська рада, Комишівська сільська рада, Ларжанська сільська рада, Лощинівська сільська рада, Матроська сільська рада, Муравлівська сільська рада, Новонекрасівська сільська рада, Озерненська сільська рада, Першотравнева сільська рада, Старонекрасівська сільська рада, Утконосівська сільська рада</t>
  </si>
  <si>
    <t>Суворовська територіальна громада</t>
  </si>
  <si>
    <t>Суворове</t>
  </si>
  <si>
    <t>Суворівська селищна рада, Кирничанська сільська рада, Новопокровська сільська рада, Острівненська сільська рада, Приозерненьска  сільська рада, Старотроянівська сільська рада</t>
  </si>
  <si>
    <t>Березівський район</t>
  </si>
  <si>
    <t>Іванівська селищна рада, Баранівська сільська рада, Бузинівська сільська рада, Білчанська сільська рада, Северинівська сільська рада</t>
  </si>
  <si>
    <t>Андрієво-Іванівська територіальна громада</t>
  </si>
  <si>
    <t>Андрієво-Іванівська сільська рада, Ісаївська сільська рада, Левадівська сільська рада, Настасіївська сільська рада, Скосарівська сільська рада</t>
  </si>
  <si>
    <t>Березівська міська рада, Вікторівська сільська рада, Гуляївська сільська рада, Демидівська сільська рада, Златоустівська сільська рада, Михайло-Олександрівська сільська рада, Степанівська сільська рада, Червоноволодимирівська сільська рада, Яснопільська сільська рада</t>
  </si>
  <si>
    <t>Великобуялицька територіальна громада</t>
  </si>
  <si>
    <t>Великобуялицька сільська рада, Петрівська селищна рада</t>
  </si>
  <si>
    <t>Знам'янська сільська рада, Радісненська селищна рада, Великозименівська сільська рада, Воробіївська сільська рада, Цибулівська сільська рада, Новоєлизаветівська сільська рада</t>
  </si>
  <si>
    <t>Коноплянська територіальна громада</t>
  </si>
  <si>
    <t>Коноплянська сільська рада, Калинівська сільська рада, Михайлопільська сільська рада, Катерино-Платонівська сільська рада</t>
  </si>
  <si>
    <t>Курісовська територіальна громада</t>
  </si>
  <si>
    <t>Курісове</t>
  </si>
  <si>
    <t>Курісовська сільська рада, Каїрська сільська рада, Новомиколаївська сільська рада, Сербківська сільська рада</t>
  </si>
  <si>
    <t>Миколаївка</t>
  </si>
  <si>
    <t>Миколаївська селищна рада, Антонюківська сільська рада, Новопетрівська сільська рада, Олексіївська сільська рада, Ульяновська сільська рада</t>
  </si>
  <si>
    <t>Новокальчевська територіальна громада</t>
  </si>
  <si>
    <t>Новокальчевська сільська рада, Виноградненська сільська рада, Ряснопільська сільська рада</t>
  </si>
  <si>
    <t>Петровірівська територіальна громада</t>
  </si>
  <si>
    <t>Петровірівська сільська рада, Новосвітівська сільська рада, Орджонікідзевська сільська рада</t>
  </si>
  <si>
    <t>Раухівська територіальна громада</t>
  </si>
  <si>
    <t>Раухівка</t>
  </si>
  <si>
    <t>Раухівська селищна рада, Заводівська сільська рада, Маринівська сільська рада, Новоселівська сільська рада, Шевченківська сільська рада</t>
  </si>
  <si>
    <t>Розквітівська територіальна громада</t>
  </si>
  <si>
    <t>Розквітівська сільська рада, Анатолівська сільська рада, Ставківська сільська рада</t>
  </si>
  <si>
    <t>Старомаяківська територіальна громада</t>
  </si>
  <si>
    <t>Старі Маяки</t>
  </si>
  <si>
    <t>Старомаяківська сільська рада, Вікторівська сільська рада, Миколаївська сільська рада, Новоандріївська сільська рада, Червонокутська сільська рада</t>
  </si>
  <si>
    <t>Стрюківська територіальна громада</t>
  </si>
  <si>
    <t>с. Стрюкове</t>
  </si>
  <si>
    <t>Стрюківська сільська рада, Петрівська сільська рада, Шабельницька сільська рада</t>
  </si>
  <si>
    <t>Чогодарівська територіальна громада</t>
  </si>
  <si>
    <t>Чогодарівська сільська рада, Бранкованівська сільська рада, Малігонівська сільська рада</t>
  </si>
  <si>
    <t>Ширяївська територіальна громада</t>
  </si>
  <si>
    <t>Ширяївська селищна рада, Макарівська сільська рада, Мар’янівська сільська рада, Осинівська сільська рада</t>
  </si>
  <si>
    <t>Болградський район</t>
  </si>
  <si>
    <t>Арцизька територіальна громада</t>
  </si>
  <si>
    <t>Арциз</t>
  </si>
  <si>
    <t>Арцизька міська рада, Виноградівська сільська рада, Главанська сільська рада, Деленська сільська рада, Задунаївська сільська рада, Кам’янська сільська рада, Надеждівська сільська рада, Новоіванівська сільська рада, Прямобалківська сільська рада, Холмська сільська рада</t>
  </si>
  <si>
    <t>Болградська територіальна громада</t>
  </si>
  <si>
    <t>Болград</t>
  </si>
  <si>
    <t>Болградська міська рада, Виноградівська сільська рада, Владиченська сільська рада, Залізничненська сільська рада, Оксамитненська сільська рада, Табаківська сільська рада</t>
  </si>
  <si>
    <t>Бородінська територіальна громада</t>
  </si>
  <si>
    <t>Бородіно</t>
  </si>
  <si>
    <t>Бородінська селищна рада, Євгенівська сільська рада, Веселодолинська сільська рада, Височанська сільська рада, Вознесенська Друга сільська рада, Ганнівська сільська рада, Ламбрівська сільська рада, Лісненська сільська рада, Миколаївська сільська рада, Надрічненська сільська рада, Новотарутинська сільська рада, Перемогівська сільська рада, Петрівська Друга сільська рада, Петрівська Перша сільська рада, Підгірненська сільська рада, Рівненська сільська рада, Юр’ївська сільська рада</t>
  </si>
  <si>
    <t>Василівська сільська рада, Баннівська сільська рада, Голицька сільська рада, Каракуртська сільська рада, Калчівська сільська рада</t>
  </si>
  <si>
    <t>Городненська територіальна громада</t>
  </si>
  <si>
    <t>Городнє</t>
  </si>
  <si>
    <t>Городнєнська сільська рада, Новотроянівська сільська рада, Дмитрівська сільська рада, Олександрівська сільська рада</t>
  </si>
  <si>
    <t>Криниченська територіальна громада</t>
  </si>
  <si>
    <t>Криничне</t>
  </si>
  <si>
    <t>Криничненська сільська рада</t>
  </si>
  <si>
    <t>Кубейська територіальна громада</t>
  </si>
  <si>
    <t>Червоноармійське</t>
  </si>
  <si>
    <t>Кубейська сільська рада, Виноградненська сільська рада, Оріхівська сільська рада</t>
  </si>
  <si>
    <t>Павлівка</t>
  </si>
  <si>
    <t>Павлівська сільська рада, Вознесенська Перша сільська рада, Долинівська сільська рада, Новокапланівська сільська рада</t>
  </si>
  <si>
    <t>Тарутинська територіальна громада</t>
  </si>
  <si>
    <t>Тарутине</t>
  </si>
  <si>
    <t>Тарутинська селищна рада, Березинська селищна рада, Серпневська селищна рада, Виноградівська сільська рада, Вільненська сільська рада, Калачівська сільська рада, Красненська сільська рада, Малоярославецька-Друга сільська рада, Ярівська сільська рада</t>
  </si>
  <si>
    <t>Теплиця</t>
  </si>
  <si>
    <t>Теплицька сільська рада, Веселокутська сільська рада, Мирнопільська сільська рада</t>
  </si>
  <si>
    <t>Білгород-Дністровський район</t>
  </si>
  <si>
    <t>Білгород-Дністровська територіальна громада</t>
  </si>
  <si>
    <t>Білгород-Дністровський</t>
  </si>
  <si>
    <t>Білгород-Дністровська міська рада</t>
  </si>
  <si>
    <t>Дивізійська територіальна громада</t>
  </si>
  <si>
    <t>Дивізія</t>
  </si>
  <si>
    <t>Дивізійська сільська рада, Вишнівська сільська рада, Жовтоярська сільська рада, Кочкуватська сільська рада, Рибальська сільська рада</t>
  </si>
  <si>
    <t>Кароліно-Бугазька територіальна громада</t>
  </si>
  <si>
    <t>Кароліно-Бугаз</t>
  </si>
  <si>
    <t>Затоківська селищна рада, Кароліно-Бугазька сільська рада</t>
  </si>
  <si>
    <t>Кулевчанська територіальна громада</t>
  </si>
  <si>
    <t>Кулевча</t>
  </si>
  <si>
    <t>Кулевчанська сільська рада, Розівська сільська рада, Сергіївська сільська рада</t>
  </si>
  <si>
    <t>Лиманська сільська рада, Трапівська сільська рада, Приморська сільська рада</t>
  </si>
  <si>
    <t>Маразліївська територіальна громада</t>
  </si>
  <si>
    <t>Маразліївська сільська рада, Великомар’янівська сільська рада, Монашівська сільська рада, Широківська сільська рада</t>
  </si>
  <si>
    <t>Мологівська територіальна громада</t>
  </si>
  <si>
    <t>Мологівська сільська рада, Андріївська сільська рада, Випасненська сільська рада</t>
  </si>
  <si>
    <t>Петропавлівка</t>
  </si>
  <si>
    <t>Петропавлівська сільська рада, Міняйлівська сільська рада, Старосільська сільська рада, Фараонівська сільська рада, Олександрівська сільська рада</t>
  </si>
  <si>
    <t>Плахтіївська територіальна громада</t>
  </si>
  <si>
    <t>Плахтіївка</t>
  </si>
  <si>
    <t>Плахтіївська сільська рада, Надеждинська сільська рада, Ярославська сільська рада</t>
  </si>
  <si>
    <t>Саратська територіальна громада</t>
  </si>
  <si>
    <t>Сарата</t>
  </si>
  <si>
    <t>Саратська селищна рада, Введенська сільська рада, Долинська сільська рада, Зорянська сільська рада, Мирнопільська сільська рада, Михайлівська сільська рада, Новоселівська сільська рада, Світлодолинська сільська рада</t>
  </si>
  <si>
    <t>Сергіївська територіальна громада</t>
  </si>
  <si>
    <t>Сергіївка</t>
  </si>
  <si>
    <t>Сергіївська селищна рада, Миколаївська сільська рада, Приморська сільська рада</t>
  </si>
  <si>
    <t>Старокозацька територіальна громада</t>
  </si>
  <si>
    <t>Старокозацька сільська рада, Володимирівська сільська рада, Карналіївська сільська рада, Козацька сільська рада, Краснокосянська сільська рада, Крутоярівська сільська рада, Новоцаричанська сільська рада, Петрівська сільська рада, Підгірненська сільська рада, Руськоіванівська сільська рада, Семенівська сільська рада, Староцаричанська сільська рада</t>
  </si>
  <si>
    <t>Татарбунарська територіальна громада</t>
  </si>
  <si>
    <t>Татарбунари</t>
  </si>
  <si>
    <t>Татарбунарська міська рада, Баштанівська сільська рада, Борисівська сільська рада, Білоліська сільська рада, Глибоківська сільська рада, Дмитрівська сільська рада, Нерушайська сільська рада, Струмківська сільська рада</t>
  </si>
  <si>
    <t>Тузлівська територіальна громада</t>
  </si>
  <si>
    <t>Тузлівська сільська рада, Базар’янська сільська рада, Безім’янська сільська рада</t>
  </si>
  <si>
    <t>Успенівська територіальна громада</t>
  </si>
  <si>
    <t>Успенівка</t>
  </si>
  <si>
    <t>Успенівська сільська рада, Забарівська сільська рада, Кривобалківська сільська рада, Миколаївка-Новоросійська сільська рада, Ройлянська сільська рада</t>
  </si>
  <si>
    <t>Шабівська територіальна громада</t>
  </si>
  <si>
    <t>Шабівська сільська рада, Адамівська сільська рада, Бритівська сільська рада, Салганська сільська рада, Софіївська сільська рада</t>
  </si>
  <si>
    <t>Одеський район</t>
  </si>
  <si>
    <t>Авангардівська територіальна громада</t>
  </si>
  <si>
    <t>Авангардівська селищна рада, Хлібодарська селищна рада, Новодолинська сільська рада, Прилиманська сільська рада</t>
  </si>
  <si>
    <t>Біляївська територіальна громада</t>
  </si>
  <si>
    <t>Біляївська міська рада, Мирненська сільська рада, Граденицька сільська рада, Кагарлицька сільська рада, Майорівська сільська рада</t>
  </si>
  <si>
    <t>Великодальницька територіальна громада</t>
  </si>
  <si>
    <t>Великий Дальник</t>
  </si>
  <si>
    <t>Великодальницька сільська рада, Петродолинська сільська рада</t>
  </si>
  <si>
    <t>Великодолинська територіальна громада</t>
  </si>
  <si>
    <t>Великодолинське</t>
  </si>
  <si>
    <t>Великодолинська селищна рада, Молодіжненська сільська рада</t>
  </si>
  <si>
    <t>Вигодянська територіальна громада</t>
  </si>
  <si>
    <t>Вигода</t>
  </si>
  <si>
    <t>Вигодянська сільська рада, Березанська сільська рада, Василівська сільська рада, Кам’янська сільська рада, Секретарівська сільська рада</t>
  </si>
  <si>
    <t>Визирська територіальна громада</t>
  </si>
  <si>
    <t>Визирська сільська рада, Дмитрівська сільська рада, Калинівська сільська рада, Кордонська сільська рада, Любопільська сільська рада, Першотравнева сільська рада</t>
  </si>
  <si>
    <t>Дальницька територіальна громада</t>
  </si>
  <si>
    <t>Дальницька сільська рада, Барабойська сільська рада, Доброолександрівська сільська рада, Мар’янівська сільська рада, Новоградківська сільська рада, Роксоланівська сільська рада</t>
  </si>
  <si>
    <t>Дачненська територіальна громада</t>
  </si>
  <si>
    <t>Дачне</t>
  </si>
  <si>
    <t>Дачненська сільська рада, Єгорівська сільська рада</t>
  </si>
  <si>
    <t>Доброславська територіальна громада</t>
  </si>
  <si>
    <t>Доброслав (Комінтернівське)</t>
  </si>
  <si>
    <t>Доброславська селищна рада, Кремидівська сільська рада, Шомполівська сільська рада, Трояндівська сільська рада</t>
  </si>
  <si>
    <t>Красносільська територіальна громада</t>
  </si>
  <si>
    <t>Красносільська сільська рада, Свердловська сільська рада, Павлинська сільська рада</t>
  </si>
  <si>
    <t>Маяківська територіальна громада</t>
  </si>
  <si>
    <t>Маяківська сільська рада, Удобненська сільська рада, Йосипівська сільська рада, Надлиманська сільська рада</t>
  </si>
  <si>
    <t>Нерубайська територіальна громада</t>
  </si>
  <si>
    <t>Нерубайське</t>
  </si>
  <si>
    <t>Нерубайська сільська рада, Холоднобалківська сільська рада</t>
  </si>
  <si>
    <t>Овідіопольська територіальна громада</t>
  </si>
  <si>
    <t>Овідіополь</t>
  </si>
  <si>
    <t>Овідіопольська селищна рада, Калаглійська сільська рада, Миколаївська сільська рада</t>
  </si>
  <si>
    <t>Одеська територіальна громада</t>
  </si>
  <si>
    <t>Одеса</t>
  </si>
  <si>
    <t>Одеська міська рада</t>
  </si>
  <si>
    <t>Таїровська територіальна громада</t>
  </si>
  <si>
    <t>Таїровська селищна рада, Сухолиманська сільська рада</t>
  </si>
  <si>
    <t>Теплодарська територіальна громада</t>
  </si>
  <si>
    <t>Теплодар</t>
  </si>
  <si>
    <t>Теплодарська міська рада</t>
  </si>
  <si>
    <t>Усатівська територіальна громада</t>
  </si>
  <si>
    <t>Усатове</t>
  </si>
  <si>
    <t>Усатівська сільська рада, Іллінська сільська рада, Августівська сільська рада, Маринівська сільська рада</t>
  </si>
  <si>
    <t>Фонтанська територіальна громада</t>
  </si>
  <si>
    <t>Фонтанка</t>
  </si>
  <si>
    <t>Фонтанська сільська рада, Крижанівська сільська рада, Новодофінівська сільська рада, Олександрівська сільська рада</t>
  </si>
  <si>
    <t>Чорноморськ (Iллічівськ)</t>
  </si>
  <si>
    <t>Чорноморська Іллічівська) міська рада</t>
  </si>
  <si>
    <t>Южненська територіальна громада</t>
  </si>
  <si>
    <t>Южне</t>
  </si>
  <si>
    <t>Новобілярська селищна рада, Южненська міська рада, Сичавська сільська рада</t>
  </si>
  <si>
    <t>Яськівська територіальна громада</t>
  </si>
  <si>
    <t>Яськівська сільська рада, Троїцька сільська рада</t>
  </si>
  <si>
    <t>Подільський район</t>
  </si>
  <si>
    <t>Ананьївська територіальна громада</t>
  </si>
  <si>
    <t>Ананьїв</t>
  </si>
  <si>
    <t>Ананьївська міська рада, Ананьївська Друга сільська рада, Ананьївська Перша сільська рада, Байтальська сільська рада, Гандрабурівська сільська рада, Жеребківська сільська рада, Коханівська сільська рада, Кохівська сільська рада, Новогеоргіївська сільська рада, Новоолександрівська сільська рада, Новоселівська сільська рада, Романівська сільська рада, Точилівська сільська рада, Шимківська сільська рада</t>
  </si>
  <si>
    <t>Балтська територіальна громада</t>
  </si>
  <si>
    <t>Балтська міська рада, Бендзарівська сільська рада, Борсуківська сільська рада, Білинська сільська рада, Гольм’янська сільська рада, Кармалюківська сільська рада, Козацька сільська рада, Коритненська сільська рада, Лісничівська сільська рада, Миронівська сільська рада, Обжильська сільська рада, Оленівська сільська рада, Пасатська сільська рада, Пасицелівська сільська рада, Переймівська сільська рада, Перелітська сільська рада, Плосківська сільська рада, Саражинська сільська рада, Сінненська сільська рада, Ухожанська сільська рада, Чернеченська сільська рада</t>
  </si>
  <si>
    <t>Долинське</t>
  </si>
  <si>
    <t>Долинська сільська рада, Олександрівська сільська рада</t>
  </si>
  <si>
    <t>Зеленогірська територіальна громада</t>
  </si>
  <si>
    <t>Зеленогірська селищна рада, Гвоздавська сільська рада, Познанська сільська рада, Ясенівська сільська рада</t>
  </si>
  <si>
    <t>Кодимська територіальна громада</t>
  </si>
  <si>
    <t>Кодима</t>
  </si>
  <si>
    <t>Кодимська міська рада, Івашківська сільська рада, Баштанківська сільська рада, Будеївська сільська рада, Грабівська сільська рада, Загнітківська сільська рада, Крутівська сільська рада, Лабушненська сільська рада, Лисогірська сільська рада, Олексіївська сільська рада, Петрівська сільська рада, Пиріжнянська сільська рада, Писарівська сільська рада, Сербівська сільська рада, Смолянська сільська рада, Шершенецька сільська рада</t>
  </si>
  <si>
    <t>Куяльницька територіальна громада</t>
  </si>
  <si>
    <t>Куяльницька сільська рада, Борщівська сільська рада, Бочманівська сільська рада, Великофонтанська сільська рада, Гоноратська сільська рада, Качурівська сільська рада, Климентівська сільська рада, Косівська сільська рада, Любомирська сільська рада, Мардарівська сільська рада, Нестоїтська сільська рада, Новоселівська сільська рада, Олексіївська сільська рада, Петрівська сільська рада, Ставківська сільська рада, Станіславська сільська рада, Старокульнянська сільська рада</t>
  </si>
  <si>
    <t>Любашівська територіальна громада</t>
  </si>
  <si>
    <t>Любашівська селищна рада, Іванівська сільська рада, Агафіївська сільська рада, Бобрицька сільська рада, Боківська сільська рада, Кричунівська сільська рада, Маловасилівська сільська рада, Новокарбівська сільська рада, Новоселівська сільська рада, Покровська сільська рада, Сергіївська сільська рада, Троїцька сільська рада</t>
  </si>
  <si>
    <t>Окнянська територіальна громада</t>
  </si>
  <si>
    <t>Окнянська селищна рада, Антонівська сільська рада, Гавиноська сільська рада, Гулянська сільська рада, Довжанська сільська рада, Дубівська сільська рада, Малаївська сільська рада, Маяківська сільська рада, Новосамарська сільська рада, Римарівська сільська рада, Ставрівська сільська рада, Топалівська сільська рада, Федосіївська сільська рада, Цеханівська сільська рада, Чорнянська сільська рада</t>
  </si>
  <si>
    <t>Подільська територіальна громада</t>
  </si>
  <si>
    <t>Подільськ</t>
  </si>
  <si>
    <t>Подільська міська рада, Липецька сільська рада, КОАТУУ: 5122983803)</t>
  </si>
  <si>
    <t>Піщана</t>
  </si>
  <si>
    <t>Піщанська сільська рада, Гербинська сільська рада, Пужайківська сільська рада, Шляхівська сільська рада</t>
  </si>
  <si>
    <t>Савранська територіальна громада</t>
  </si>
  <si>
    <t>Саврань</t>
  </si>
  <si>
    <t>Савранська селищна рада, Байбузівська сільська рада, Бакшанська сільська рада, Вільшанська сільська рада, Дубинівська сільська рада, Кам’янська сільська рада, Капустянська сільська рада, Концебівська сільська рада, Неділківська сільська рада, Осичківська сільська рада, Полянецька сільська рада</t>
  </si>
  <si>
    <t>Слобідська територіальна громада</t>
  </si>
  <si>
    <t>Слобідка</t>
  </si>
  <si>
    <t>Слобідська селищна рада, Малослобідська сільська рада, Тимківська сільська рада</t>
  </si>
  <si>
    <t>Роздільнянський район</t>
  </si>
  <si>
    <t>Великомихайлівська селищна рада, Великокомарівська сільська рада, Гребениківська сільська рада, Комарівська сільська рада, Новоолександрівська сільська рада, Новопетрівська сільська рада, Новоселівська сільська рада, Полезненська сільська рада, Соше-Острівська сільська рада, Стоянівська сільська рада, Юрківська сільська рада</t>
  </si>
  <si>
    <t>Великоплосківська територіальна громада</t>
  </si>
  <si>
    <t>Великоплосківська сільська рада, Новосавицька сільська рада, Слов’яносербська сільська рада, Тростянецька сільська рада</t>
  </si>
  <si>
    <t>Затишанська територіальна громада</t>
  </si>
  <si>
    <t>Затишанська селищна рада, Перехрестівська сільська рада, Торосівська сільська рада</t>
  </si>
  <si>
    <t>Захарівська територіальна громада</t>
  </si>
  <si>
    <t>Захарівка (Фрунзівка)</t>
  </si>
  <si>
    <t>Захарівська селищна рада, Василівська сільська рада, Войничівська сільська рада, Йосипівська сільська рада, Карабанівська сільська рада, Мар’янівська сільська рада, Новозаріцька сільська рада, Онилівська сільська рада, Павлівська сільська рада, Росіянівська сільська рада</t>
  </si>
  <si>
    <t>Новоборисівська територіальна громада</t>
  </si>
  <si>
    <t>Новоборисівська сільська рада, Мигаївська сільська рада, Першотравнева сільська рада, Петрівська сільська рада</t>
  </si>
  <si>
    <t>Роздільнянська територіальна громада</t>
  </si>
  <si>
    <t>Роздільна</t>
  </si>
  <si>
    <t>Роздільнянська міська рада, Роздільнянська районна рада, Єреміївська сільська рада, Бецилівська сільська рада, Буцинівська сільська рада, Виноградарська сільська рада, Калантаївська сільська рада, Кам’янська сільська рада, Кошарська сільська рада, Новоукраїнська сільська рада, Понятівська сільська рада, Старостинська сільська рада</t>
  </si>
  <si>
    <t>Степанівська територіальна громада</t>
  </si>
  <si>
    <t>Степанівка</t>
  </si>
  <si>
    <t>Степанівська сільська рада, Гаївська сільська рада, Марківська сільська рада, Яковлівська сільська рада</t>
  </si>
  <si>
    <t>Цебриківська територіальна громада</t>
  </si>
  <si>
    <t>Цебриківська селищна рада, Вишневська сільська рада, Саханська сільська рада</t>
  </si>
  <si>
    <t>Полтавська область</t>
  </si>
  <si>
    <t>Кременчуцький район</t>
  </si>
  <si>
    <t>Глобинська територіальна громада</t>
  </si>
  <si>
    <t>Глобинська міська рада, Івановоселищенська сільська рада, Бабичівська сільська рада, Борисівська сільська рада, Кринківська сільська рада, Жуківська сільська рада, Заможненська сільська рада, Землянківська сільська рада, Зубанівська сільська рада, Куп'єватівська сільська рада, Манжеліївська сільська рада, Обознівська сільська рада, Опришківська сільська рада, Петрівська сільська рада, Пирогівська сільська рада, Пузиківська сільська рада, Пустовійтівська сільська рада, Троїцька сільська рада, Федорівська сільська рада</t>
  </si>
  <si>
    <t>Горішньоплавнівська територіальна громада</t>
  </si>
  <si>
    <t>Горішні Плавні</t>
  </si>
  <si>
    <t>Горішньоплавнівська міська рада, Дмитрівська сільська рада, Григоро-Бригадирівська сільська рада, Келебердянська сільська рада, Салівська сільська рада</t>
  </si>
  <si>
    <t>Градизька територіальна громада</t>
  </si>
  <si>
    <t>Градизьк</t>
  </si>
  <si>
    <t>Градизька селищна рада, Броварківська сільська рада, Бугаївська сільська рада, Горбівська сільська рада, Гриньківська сільська рада, Погребівська сільська рада, Пронозівська сільська рада, Святилівська сільська рада</t>
  </si>
  <si>
    <t>Кам'янопотоківська територіальна громада</t>
  </si>
  <si>
    <t>Кам’яні Потоки</t>
  </si>
  <si>
    <t>Кам’янопотоківська сільська рада, Білецьківська сільська рада</t>
  </si>
  <si>
    <t>Козельщинська територіальна громада</t>
  </si>
  <si>
    <t>Козельщинська селищна рада, Бреусівська сільська рада, Мануйлівська сільська рада, Високовакулівська сільська рада, Лутовинівська сільська рада, Мальцівська сільська рада, Михайликівська  сільська  рада, Оленівська сільська рада, Пашківська сільська рада, Пригарівська сільська рада, Приліпська сільська рада, Рибалківська сільська рада, Солоницька сільська рада, Хорішківська сільська рада</t>
  </si>
  <si>
    <t>Кременчуцька територіальна громада</t>
  </si>
  <si>
    <t>Кременчук</t>
  </si>
  <si>
    <t>Кременчуцька міська рада, Потоківська сільська рада</t>
  </si>
  <si>
    <t>Новогалещинська територіальна громада</t>
  </si>
  <si>
    <t>Новогалещинська селищна  рада, Василівська сільська рада, Пісківська сільська рада, Бондарівська сільська рада</t>
  </si>
  <si>
    <t>Оболонська територіальна громада</t>
  </si>
  <si>
    <t>Оболонська сільська рада, Іванівська сільська рада, Горошинська сільська рада, Наріжанська сільська рада, Погребняківська сільська рада, Пузирівська сільська рада, Худоліївська сільська рада</t>
  </si>
  <si>
    <t>Омельницька територіальна громада</t>
  </si>
  <si>
    <t>Омельницька сільська рада, Демидівська сільська рада, Запсільська сільська рада, Рокитненська сільська рада</t>
  </si>
  <si>
    <t>Пришибська територіальна громада</t>
  </si>
  <si>
    <t>Пришибська сільська рада, Кобелячківська сільська рада, Комендантівська сільська рада</t>
  </si>
  <si>
    <t>Піщанська сільська рада, Гориславська сільська рада, Майбородівська сільська рада, Максимівська сільська рада, Недогарківська сільська рада, Червонознам’янська сільська рада, Ялинцівська сільська рада</t>
  </si>
  <si>
    <t>Семенівська селищна рада, Богданівська сільська рада, Біляківська сільська рада, Василівська сільська рада, Липнягівська сільська рада, Вереміївська сільська рада, Веселоподільська сільська рада, Заїчинська сільська рада, Криворудська сільська рада, Очеретуватська сільська рада, Жовтнева сільська рада, Степанівська сільська рада, Товстівська сільська рада, Устимівська сільська рада</t>
  </si>
  <si>
    <t>Лубенський район</t>
  </si>
  <si>
    <t>Гребінківська міська рада, Березівська сільська рада, Григорівська сільська рада, Короваївська сільська рада, Кулажинська сільська рада, Майорщинська сільська рада, Мар'янівська сільська рада, Наталівська сільська рада, Овсюківська сільська рада, Олександрівська сільська рада, Почаївська сільська рада, Рудківська сільська рада, Сербинівська сільська рада, Слободо-Петрівська сільська рада, Стукалівська сільська рада, Тарасівська сільська рада, Тополівська сільська рада</t>
  </si>
  <si>
    <t>Лубенська територіальна громада</t>
  </si>
  <si>
    <t>Лубни</t>
  </si>
  <si>
    <t>Лубенська міська рада, Ісковецька сільська рада, Березотіцька сільська рада, Березівська сільська рада, Вищебулатецька сільська рада, Вовчицька сільська рада, Войнихівська сільська рада, Засульська сільська рада, Калайдинцівська сільська рада, Литвяківська сільська рада, Мацківська сільська рада, Мгарська сільська рада, Михнівська сільська рада, Новаківська сільська рада, Окіпська сільська рада, Оріхівська сільська рада, Снітинська сільська рада, Тишківська сільська рада, Хорошківська сільська рада, Шершнівська сільська рада</t>
  </si>
  <si>
    <t>Новооржицька територіальна громада</t>
  </si>
  <si>
    <t>Новооржицька селищна рада, Вишнева сільська рада, Воронинцівська сільська рада, Лазірківська сільська рада, Черевківська сільська рада, Бієвецька сільська рада, Духівська сільська рада, Остапівська сільська рада, Тарандинцівська сільська рада</t>
  </si>
  <si>
    <t>Оржицька територіальна громада</t>
  </si>
  <si>
    <t>Оржиця</t>
  </si>
  <si>
    <t>Оржицька селищна рада, Оржицька районна рада, Селецька сільська рада, Денисівська сільська рада, Зарізька сільська рада, Золотухинська сільська рада, Круподеринська сільська рада, Лукімська сільська рада, Онішківська сільська рада, Плехівська сільська рада, Райозерська сільська рада, Савинська сільська рада, Сазонівська сільська рада, Староіржавецька сільська рада, Чевельчанська сільська рада, Чутівська сільська рада, Яблунівська сільська рада</t>
  </si>
  <si>
    <t>Пирятинська територіальна громада</t>
  </si>
  <si>
    <t>Пирятинська міська рада, Березоворудська сільська рада, Білоцерківська сільська рада, Великокручанська сільська рада, Вікторійська сільська рада, Грабарівська сільська рада, Давидівська сільська рада, Дейманівська сільська рада, Каплинцівська сільська рада, Малютинська сільська рада, Олександрівська сільська рада, Сасинівська сільська рада, Смотриківська сільська рада, Теплівська сільська рада, Харківецька сільська рада, Куріньківська сільська рада</t>
  </si>
  <si>
    <t>Хорольська територіальна громада</t>
  </si>
  <si>
    <t>Хорол</t>
  </si>
  <si>
    <t>Хорольська міська рада, Грушинська сільська рада, Ковалівська сільська рада, Новоаврамівська сільська рада, Андріївська сільська рада, Березняківська сільська рада, Вишняківська сільська рада, Клепачівська сільська рада, Мусіївська сільська рада, Новачиська сільська рада, Петракіївська сільська рада, Петрівська сільська рада, Покровськобагачанська сільська рада, Староаврамівська сільська рада, Тарасівська сільська рада, Трубайцівська сільська рада, Хильківська сільська рада, Шишацька сільська рада, Штомпелівська сільська рада, Ялосовецька сільська рада</t>
  </si>
  <si>
    <t>Чорнухинська територіальна громада</t>
  </si>
  <si>
    <t>Чорнухинська селищна рада, Богодарівська сільська рада, Білоусівська сільська рада, Вороньківська сільська рада, Гільцівська сільська рада, Кізлівська сільська рада, Луговиківська сільська рада, Мелехівська сільська рада, Мокіївська сільська рада, Постав-муківська сільська рада, Харсіцька сільська рада, Хейлівщинська сільська рада</t>
  </si>
  <si>
    <t>Миргородський район</t>
  </si>
  <si>
    <t>Білоцерківська сільська рада, Балакліївська сільська рада, Бірківська сільська рада, Корнієнківська сільська рада, Подільська сільська рада, Рокитянська сільська рада</t>
  </si>
  <si>
    <t>Великобагачанська територіальна громада</t>
  </si>
  <si>
    <t>Великобагачанська селищна рада, Багачанська Перша сільська рада, Кротівщинська сільська рада, Радивонівська сільська рада, Степанівська сільська рада, Широкодолинська сільська рада, Якимівська сільська рада</t>
  </si>
  <si>
    <t>Великобудищанська територіальна громада</t>
  </si>
  <si>
    <t>Великобудищанська сільська рада, Бобрицька сільська рада, Вельбівська сільська рада, Веприцька сільська рада, Книшівська сільська рада, Мартинівська сільська рада, Плішивецька сільська рада</t>
  </si>
  <si>
    <t>Великосорочинська територіальна громада</t>
  </si>
  <si>
    <t>Великосорочинська сільська рада, Великообухівська сільська рада, Великобайрацька сільська рада, Полив’янська сільська рада, Савинцівська сільська рада, Солонцівська сільська рада, Ковалівська сільська рада</t>
  </si>
  <si>
    <t>Гадяцька територіальна громада</t>
  </si>
  <si>
    <t>19.09.2018</t>
  </si>
  <si>
    <t>Гадяцька міська рада, Біленченківська сільська рада, Сарівська сільська рада, Харковецька сільська рада</t>
  </si>
  <si>
    <t>Гоголівська територіальна громада</t>
  </si>
  <si>
    <t>Гоголівська селищна рада, Матяшівська сільська рада, Михайлівська сільська рада, Устивицька сільська рада</t>
  </si>
  <si>
    <t>Заводська територіальна громада</t>
  </si>
  <si>
    <t>Заводське (Червонозаводське)</t>
  </si>
  <si>
    <t>Заводська міська рада, Бодаквянська сільська рада, Пісківська сільська рада</t>
  </si>
  <si>
    <t>Комишнянська територіальна громада</t>
  </si>
  <si>
    <t>Комишня</t>
  </si>
  <si>
    <t>Комишнянська селищна рада, Зуєвецька сільська рада, Клюшниківська сільська рада, Остапівська сільська рада, Попівська сільська рада, Черевківська сільська рада, Черкащанська сільська рада</t>
  </si>
  <si>
    <t>Краснолуцька територіальна громада</t>
  </si>
  <si>
    <t>Краснолуцька сільська рада, Гречанівська сільська рада, Малопобиванська сільська рада, Римарівська сільська рада, Сватківська сільська рада, Ціпківська сільська рада</t>
  </si>
  <si>
    <t>Лохвицька територіальна громада</t>
  </si>
  <si>
    <t>Лохвицька міська рада, Безсалівська сільська рада, Бербеницька сільська рада, Білогорільська сільська рада, Васильківська сільська рада, Гирявоісковецька сільська рада, Жабківська сільська рада, Лучанська сільська рада, Погарщинська сільська рада, Ригівська сільська рада, Свиридівська сільська рада, Токарівська сільська рада, Харківецька сільська рада, Яхниківська сільська рада</t>
  </si>
  <si>
    <t>Лютенська територіальна громада</t>
  </si>
  <si>
    <t>Лютенька</t>
  </si>
  <si>
    <t>Лютенська сільська рада, Лисівська сільська рада, Рашівська сільська рада, Соснівська сільська рада</t>
  </si>
  <si>
    <t>Миргородська територіальна громада</t>
  </si>
  <si>
    <t>Миргород</t>
  </si>
  <si>
    <t>Миргородська міська рада, Біликівська сільська рада, Вовнянська сільська рада, Гаркушинська сільська рада, Дібрівська сільська рада, Зубівська сільська рада, Кибинська сільська рада, Петрівцівська сільська рада, Слобідська сільська рада, Хомутецька сільська рада, Шахворостівська сільська рада, Ярмаківська сільська рада</t>
  </si>
  <si>
    <t>Петрівсько-Роменська територіальна громада</t>
  </si>
  <si>
    <t>Петрівсько-Роменська сільська рада, Березоволуцька сільська рада, Ручківська сільська рада, Середняківська сільська рада</t>
  </si>
  <si>
    <t>Ромоданівська територіальна громада</t>
  </si>
  <si>
    <t>Ромоданівська селищна рада, Новооріхівська сільська рада</t>
  </si>
  <si>
    <t>Сенчанська територіальна громада</t>
  </si>
  <si>
    <t>Сенчанська сільська рада, Ісковецька сільська рада, Вирішальненська сільська рада, Корсунівська сільська рада, Жданівська сільська рада, Шеківська сільська рада</t>
  </si>
  <si>
    <t>Сергіївська сільська рада, Качанівська сільська рада, Розбишівська сільська рада</t>
  </si>
  <si>
    <t>Шишацька територіальна громада</t>
  </si>
  <si>
    <t>Шишацька селищна рада, Баранівська сільська рада, Великобузівська сільська рада, Великоперевізька сільська рада, Воскобійницька сільська рада, Гоголівська сільська рада, Жоржівська сільська рада, Ковердинобалківська сільська рада, Михайликівська сільська рада, Покровська сільська рада, Пришибська сільська рада, Сагайдацька сільська рада, Федунська сільська рада, Яреськівська сільська рада</t>
  </si>
  <si>
    <t>Полтавський район</t>
  </si>
  <si>
    <t>Білицька територіальна громада</t>
  </si>
  <si>
    <t>Білики</t>
  </si>
  <si>
    <t>Білицька селищна рада, Бутенківська сільська рада, Дрижиногреблянська сільська рада, Жуківська сільська рада, Марківська сільська рада, Червоноквітівська сільська рада, Чорбівська сільська рада</t>
  </si>
  <si>
    <t>Великорублівська територіальна громада</t>
  </si>
  <si>
    <t>Велика Рублівка</t>
  </si>
  <si>
    <t>Великорублівська сільська рада, Ковалевська сільська рада, Козлівщинська сільська рада, Малорублівська сільська рада, Микілківська сільська рада, Милорадівська сільська рада</t>
  </si>
  <si>
    <t>Диканьська територіальна громада</t>
  </si>
  <si>
    <t>Диканька</t>
  </si>
  <si>
    <t>Диканська селищна рада, Андріївська сільська рада, Байрацька сільська рада, Балясненська сільська рада, Великорудківська сільська рада, Великобудищанська сільська рада, Водянобалківська сільська рада, Дібрівська сільська рада, Надеждинська сільська рада, Нелюбівська сільська рада, Орданівська сільська рада, Петро-Давидівська сільська рада, Стасівська сільська рада</t>
  </si>
  <si>
    <t>Драбинівська територіальна громада</t>
  </si>
  <si>
    <t>Драбинівська сільська рада, Богданівська сільська рада, Галущиногреблянська сільська рада, Крутобалківська сільська рада, Кустолівська сільська рада, Сухомаячківська сільська рада</t>
  </si>
  <si>
    <t>Зіньківська територіальна громада</t>
  </si>
  <si>
    <t>Зіньківська міська рада, Артелярщинська сільська рада, Бірківська сільська рада, Великопавлівська сільська рада, Високівська сільська рада, Власівська сільська рада, Дейкалівська сільська рада, Загрунівська сільська рада, Кирило-Ганнівська сільська рада, Лютенсько-Будищанська сільська рада, Новоселівська сільська рада, Першотравнева сільська рада, Пишненківська сільська рада, Покровська сільська рада, Проценківська сільська рада, Ставківська сільська рада, Тарасівська сільська рада, Удовиченківська сільська рада, Шилівська сільська рада</t>
  </si>
  <si>
    <t>Карлівська територіальна громада</t>
  </si>
  <si>
    <t>Карлівка</t>
  </si>
  <si>
    <t>Карлівська міська рада, Голобородьківська сільська рада, Лип’янська сільська рада, Максимівська сільська рада, Попівська сільська рада</t>
  </si>
  <si>
    <t>Кобеляцька територіальна громада</t>
  </si>
  <si>
    <t>Кобеляки</t>
  </si>
  <si>
    <t>Кобеляцька міська рада, Іванівська сільська рада, Бродщинська сільська рада, Василівська сільська рада, Вільховатська сільська рада, Дашківська сільська рада, Канавська сільська рада, Красненська сільська рада, Кунівська сільська рада, Кіровська сільська рада, Лучківська сільська рада, Золотарівська сільська рада, Озерянська сільська рада, Орлицька сільська рада, Придніпрянська сільська рада, Підгорянська сільська рада, Світлогірська сільська рада, Сухинівська сільська рада, Шенгурівська сільська рада</t>
  </si>
  <si>
    <t>Коломацька територіальна громада</t>
  </si>
  <si>
    <t>Куликівська сільська рада, Василівська сільська рада, Степненська сільська рада, Старицьківська сільська рада</t>
  </si>
  <si>
    <t>Котелевська територіальна громада</t>
  </si>
  <si>
    <t>Котельва</t>
  </si>
  <si>
    <t>Котелевська селищна рада, Більська сільська рада, Деревківська сільська рада, Сидоряченська сільська рада</t>
  </si>
  <si>
    <t>Ланнівська територіальна громада</t>
  </si>
  <si>
    <t>Ланнівська сільська рада, Верхньоланнівська сільська рада, Климівська сільська рада, Нижньоланнівська сільська рада, Федорівська сільська рада</t>
  </si>
  <si>
    <t>Мартинівська територіальна громада</t>
  </si>
  <si>
    <t>Халтурине</t>
  </si>
  <si>
    <t>Халтуринська сільська рада, Варварівська сільська рада, Білухівська сільська рада</t>
  </si>
  <si>
    <t>Мачухівська територіальна громада</t>
  </si>
  <si>
    <t>Мачухівська сільська рада, Калашниківська сільська рада, Судіївська сільська рада, Полузірська сільська рада, Плосківська сільська рада</t>
  </si>
  <si>
    <t>Машівська територіальна громада</t>
  </si>
  <si>
    <t>Машівська селищна рада, Абрамівська сільська рада, Базилівщинська сільська рада, Дмитрівська сільська рада, Кошманівська сільська рада, Новотагамлицький старостинський округ, Сахнівщинська сільська рада, Селещинська сільська рада</t>
  </si>
  <si>
    <t>Михайлівська сільська рада, Андріївська сільська рада, Коновалівська сільська рада, Кустолово-Суходільська сільська рада, Малонехворощанська сільська рада, Павлівська сільська рада, Ряськівська сільська рада</t>
  </si>
  <si>
    <t>Нехворощанська територіальна громада</t>
  </si>
  <si>
    <t>Нехворощанська сільська рада, Лівенська сільська рада, Маячківська сільська рада, Соколово-Балківська сільська рада, Шедіївська сільська рада</t>
  </si>
  <si>
    <t>Новосанжарська територіальна громада</t>
  </si>
  <si>
    <t>Новосанжарська селищна рада, Великокобелячківська сільська рада, Великосолонцівська сільська рада, Зачепилівська сільська рада, Клюсівська сільська рада, Кунцівська сільська рада, Лелюхівська сільська рада, Малоперещепинська сільська рада, Малокобелячківська сільська рада, Пологівська сільська рада, Попівська сільська рада, Руденківська сільська рада, Старосанжарська сільська рада, Стовбино-Долинська сільська рада, Судівська сільська рада, Супротивнобалківська сільська рада</t>
  </si>
  <si>
    <t>Новоселівська територіальна громада</t>
  </si>
  <si>
    <t>Новоселівська сільська рада, Надержинщинська сільська рада, Нестеренківська сільська рада, Рунівщинська сільська рада, Черкасівська сільська рада</t>
  </si>
  <si>
    <t>Опішнянська територіальна громада</t>
  </si>
  <si>
    <t>Опішнянська селищна рада, Батьківська сільська рада, Малобудищанська сільська рада, Попівська сільська рада, Човно-Федорівська сільська рада</t>
  </si>
  <si>
    <t>Полтавська територіальна громада</t>
  </si>
  <si>
    <t>Полтава</t>
  </si>
  <si>
    <t>Полтавська міська рада, Ленінська районна рада, Октябрська районна рада, Київська районна рада, Абазівська сільська рада, Бричківська сільська рада, Валківська сільська рада, Гожулівська сільська рада, Ковалівська сільська рада, Кіровська сільська рада, Кротенківська сільська рада, Супрунівська сільська рада, Тахтаулівська сільська рада, Чорноглазівська сільська рада</t>
  </si>
  <si>
    <t>Решетилівська територіальна громада</t>
  </si>
  <si>
    <t>Решетилівська селищна рада, Демидівська сільська рада, Калениківська сільська рада, Кукобівська сільська рада, Лиманська Друга сільська рада, Лиманська Перша сільська рада, Лобачівська сільська рада, Малобакайська сільська рада, Новомихайлівська сільська рада, Пащенківська сільська рада, Покровська сільська рада, Потічанська сільська рада, Піщанська сільська рада, Сухорабівська сільська рада, Федіївська сільська рада, Шевченківська сільська рада, Шилівська сільська рада, Остап'ївська сільська рада, Говтвянська сільська рада</t>
  </si>
  <si>
    <t>Скороходівська територіальна громада</t>
  </si>
  <si>
    <t>Скороходівська селищна рада, Іскрівська сільська рада, Вільницька сільська рада, Новокочубеївська сільська рада, Петрівська сільська рада, Скибівська сільська рада, Филенківська сільська рада</t>
  </si>
  <si>
    <t>Терешківська територіальна громада</t>
  </si>
  <si>
    <t>Терешківська сільська рада, Заворсклянська сільська рада, Микільська сільська рада, Писарівська сільська рада</t>
  </si>
  <si>
    <t>Чутівська територіальна громада</t>
  </si>
  <si>
    <t>Чутове</t>
  </si>
  <si>
    <t>Чутівська селищна рада, Василівська сільська рада, Войнівська сільська рада, Вільхуватська сільська рада, Гряківська сільська рада, Зеленківська сільська рада, Таверівська сільська рада, Черняківська сільська рада</t>
  </si>
  <si>
    <t>Щербанівська територіальна громада</t>
  </si>
  <si>
    <t>Щербанівська сільська рада, Тростянецька сільська рада</t>
  </si>
  <si>
    <t>Рівненська область</t>
  </si>
  <si>
    <t>Вараський район</t>
  </si>
  <si>
    <t>Антонівська територіальна громада</t>
  </si>
  <si>
    <t>Антонівська сільська рада, Великоцепцевицька сільська рада</t>
  </si>
  <si>
    <t>Вараська територіальна громада</t>
  </si>
  <si>
    <t>01.11.2018</t>
  </si>
  <si>
    <t>Вараська міська рада, Більськовільська сільська рада, Заболоттівська сільська рада, Мульчицька сільська рада, Озерецька сільська рада, Собіщицька сільська рада, Сопачівська сільська рада, Старорафалівська сільська рада</t>
  </si>
  <si>
    <t>Володимирецька територіальна громада</t>
  </si>
  <si>
    <t>Володимирець</t>
  </si>
  <si>
    <t>Володимирецька селищна рада, Берестівська сільська рада, Біленська сільська рада, Великотелковицька сільська рада, Воронківська сільська рада, Довговільська сільська рада, Жовкинівська сільська рада, Красносільська сільська рада, Любахівська сільська рада, Половлівська сільська рада, Степангородська сільська рада, Хиноцька сільська рада</t>
  </si>
  <si>
    <t>Зарічненська територіальна громада</t>
  </si>
  <si>
    <t>Зарічне</t>
  </si>
  <si>
    <t>Зарічненська селищна рада, Борівська сільська рада, Вичівська сільська рада, Дібрівська сільська рада, Кухітсько-Вільська сільська рада, Морочненська сільська рада, Неньковицька сільська рада, Новорічицька сільська рада, Перекальська сільська рада, Річицька сільська рада, Серницька сільська рада</t>
  </si>
  <si>
    <t>Каноницька територіальна громада</t>
  </si>
  <si>
    <t>Каноницька сільська рада, Кідрівська сільська рада, Новаківська сільська рада, Озерська сільська рада</t>
  </si>
  <si>
    <t>Локницька територіальна громада</t>
  </si>
  <si>
    <t>Локницька сільська рада, Кутинська сільська рада, Кухченська сільська рада, Нобельська сільська рада, Омитська сільська рада, Сенчицька сільська рада</t>
  </si>
  <si>
    <t>Полицька територіальна громада</t>
  </si>
  <si>
    <t>Полицька сільська рада, Балаховицька сільська рада, Ромейківська сільська рада</t>
  </si>
  <si>
    <t>Рафалівська територіальна громада</t>
  </si>
  <si>
    <t>Рафалівська селищна рада, Великожолудська сільська рада, Лозківська сільська рада</t>
  </si>
  <si>
    <t>Дубенський район</t>
  </si>
  <si>
    <t>Бокіймівська територіальна громада</t>
  </si>
  <si>
    <t>Бокіймівська сільська рада, Вовницька сільська рада, Війницька сільська рада, Смордвівська сільська рада, Хорупанська сільська рада</t>
  </si>
  <si>
    <t>Боремельська територіальна громада</t>
  </si>
  <si>
    <t>Боремельська сільська рада, Золочівська сільська рада, Малівська сільська рада</t>
  </si>
  <si>
    <t>Варковицька територіальна громада</t>
  </si>
  <si>
    <t>Варковичі</t>
  </si>
  <si>
    <t>Варковицька сільська рада, Озерянська сільська рада, Сатиївська сільська рада</t>
  </si>
  <si>
    <t>Вербська територіальна громада</t>
  </si>
  <si>
    <t>Верба</t>
  </si>
  <si>
    <t>Вербська сільська рада, Стовпецька сільська рада</t>
  </si>
  <si>
    <t>Демидівська територіальна громада</t>
  </si>
  <si>
    <t>Демидівська селищна рада, Ільпибоцька сільська рада, Вербенська сільська рада, Вовковиївська сільська рада, Глибокодолинська сільська рада, Княгининська сільська рада, Рогізненська сільська рада, Рудківська сільська рада, Хрінницька сільська рада, Пляшевська сільська рада</t>
  </si>
  <si>
    <t>Дубенська територіальна громада</t>
  </si>
  <si>
    <t>Дубно</t>
  </si>
  <si>
    <t>Дубенська міська рада</t>
  </si>
  <si>
    <t>Козинська сільська рада, Іващуківська сільська рада, Березинівська сільська рада, Добриводська сільська рада, Жовтнева сільська рада, Пустоіваннівська сільська рада</t>
  </si>
  <si>
    <t>Крупецька територіальна громада</t>
  </si>
  <si>
    <t>Крупецька сільська рада, Боратинська сільська рада, Михайлівська сільська рада, Рідківська сільська рада, Ситненська сільська рада, Теслугівська сільська рада, Хотинська сільська рада</t>
  </si>
  <si>
    <t>Мирогощанська територіальна громада</t>
  </si>
  <si>
    <t>27.08.2016</t>
  </si>
  <si>
    <t>Мирогощанська сільська рада, Княгининська сільська рада</t>
  </si>
  <si>
    <t>Млинівська територіальна громада</t>
  </si>
  <si>
    <t>Млинівська селищна рада, Берегівська сільська рада, Владиславівська сільська рада, Добрятинська сільська рада, Довгошиївська сільська рада, Мальованська сільська рада, Малодорогостаївська сільська рада, Перемилівська сільська рада, Посниківська сільська рада, Привітненська сільська рада, Пугачівська сільська рада, Підгаєцька сільська рада, Пітушківська сільська рада, Кораблищенська сільська рада</t>
  </si>
  <si>
    <t>Острожецька територіальна громада</t>
  </si>
  <si>
    <t>Острожецька сільська рада, Малинська сільська рада, Новосілківська сільська рада, П`янівська сільська рада, Певжівська сільська рада, Уїздецька сільська рада</t>
  </si>
  <si>
    <t>Повчанська територіальна громада</t>
  </si>
  <si>
    <t>Повчанська сільська рада, Мильчанська сільська рада, Миколаївська сільська рада</t>
  </si>
  <si>
    <t>Привільненська сільська рада, Іваннівська сільська рада, Малосадівська сільська рада, Молодавська сільська рада</t>
  </si>
  <si>
    <t>Підлозцівська територіальна громада</t>
  </si>
  <si>
    <t>Підлозцівська сільська рада, Торговицька сільська рада</t>
  </si>
  <si>
    <t>Радивилівська територіальна громада</t>
  </si>
  <si>
    <t>Радивилівська міська рада, Башарівська сільська рада, Бугаївська сільська рада, Дружбівська сільська рада, Немирівська сільська рада, Підзамчівська сільська рада, Сестрятинська сільська рада</t>
  </si>
  <si>
    <t>Семидубська територіальна громада</t>
  </si>
  <si>
    <t>Семидубська сільська рада, Гірницька сільська рада, Майданська сільська рада, Соснівська сільська рада</t>
  </si>
  <si>
    <t>Смизька територіальна громада</t>
  </si>
  <si>
    <t>31.07.2016</t>
  </si>
  <si>
    <t>Смизька селищна рада, Берегівська сільська рада, Шепетинська сільська рада</t>
  </si>
  <si>
    <t>Тараканівська територіальна громада</t>
  </si>
  <si>
    <t>Тараканівська сільська рада, Плосківська сільська рада, Птицька сільська рада, Рачинська сільська рада</t>
  </si>
  <si>
    <t>Ярославицька територіальна громада</t>
  </si>
  <si>
    <t>Ярославицька сільська рада, Новоукраїнська сільська рада</t>
  </si>
  <si>
    <t>Рівненський район</t>
  </si>
  <si>
    <t>Бабинська територіальна громада</t>
  </si>
  <si>
    <t>Бабинська сільська рада, Горбаківська сільська рада, Рясниківська сільська рада</t>
  </si>
  <si>
    <t>Березнівська територіальна громада</t>
  </si>
  <si>
    <t>Березне</t>
  </si>
  <si>
    <t>Березнівська міська рада, Балашівська сільська рада, Бистрицька сільська рада, Білківська сільська рада, Великопільська сільська рада, Вітковицька сільська рада, Голубненська сільська рада, Городищенська сільська рада, Грушівська сільська рада, Друхівська сільська рада, Зірненська сільська рада, Кам’янська сільська рада, Моквинська сільська рада, Поліська сільська рада, Прислуцька сільська рада, Тишицька сільська рада, Яцьковицька сільська рада</t>
  </si>
  <si>
    <t>Бугринська територіальна громада</t>
  </si>
  <si>
    <t>Бугринська сільська рада, Посягвівська сільська рада</t>
  </si>
  <si>
    <t>Білокриницька територіальна громада</t>
  </si>
  <si>
    <t>Біла Криниця</t>
  </si>
  <si>
    <t>Білокриницька сільська рада, Городищенська сільська рада, Шубківська сільська рада</t>
  </si>
  <si>
    <t>Великомежиріцька територіальна громада</t>
  </si>
  <si>
    <t>Великі Межирічі</t>
  </si>
  <si>
    <t>Великомежиріцька сільська рада, Іванівська сільська рада, Невірківська сільська рада, Самострілівська сільська рада, Світанівська сільська рада, Стовпинська сільська рада, Щекичинська сільська рада</t>
  </si>
  <si>
    <t>Великоомелянська територіальна громада</t>
  </si>
  <si>
    <t>Великоомелянська сільська рада, Грушвицька сільська рада</t>
  </si>
  <si>
    <t>Головинська територіальна громада</t>
  </si>
  <si>
    <t>Головинська сільська рада, Звіздівська сільська рада, Злазненська сільська рада</t>
  </si>
  <si>
    <t>Городоцька сільська рада, Бронниківська сільська рада, Обарівська сільська рада</t>
  </si>
  <si>
    <t>Гощанська територіальна громада</t>
  </si>
  <si>
    <t>Гоща</t>
  </si>
  <si>
    <t>Гощанська селищна рада, Бочаницька сільська рада, Воскодавська сільська рада, Дроздівська сільська рада, Дулібська сільська рада, Жаврівська сільська рада, Красносільська сільська рада, Криничківська сільська рада, Курозванівська сільська рада, Липківська сільська рада, Майківська сільська рада, Малинівська сільська рада, Малятинська сільська рада, Русивельська сільська рада, Садівська сільська рада, Симонівська сільська рада, Синівська сільська рада, Тучинська сільська рада, Федорівська сільська рада</t>
  </si>
  <si>
    <t>Деражненська територіальна громада</t>
  </si>
  <si>
    <t>Деражненська сільська рада, Дюксинська сільська рада, Постійненська сільська рада</t>
  </si>
  <si>
    <t>Дядьковицька територіальна громада</t>
  </si>
  <si>
    <t>Дядьковицька сільська рада, Верхівська сільська рада, Малошпаківська сільська рада</t>
  </si>
  <si>
    <t>Здовбицька територіальна громада</t>
  </si>
  <si>
    <t>Здовбиця</t>
  </si>
  <si>
    <t>Здовбицька сільська рада, Урвенська сільська рада, Миротинська сільська рада, Уїздецька сільська рада</t>
  </si>
  <si>
    <t>Здолбунівська територіальна громада</t>
  </si>
  <si>
    <t>Здолбунів</t>
  </si>
  <si>
    <t>Здолбунівська міська рада, Богдашівська сільська рада, Глинська сільська рада, Копитківська сільська рада, Новосілківська сільська рада, П’ятигірська сільська рада</t>
  </si>
  <si>
    <t>Зорянська територіальна громада</t>
  </si>
  <si>
    <t>Зоря</t>
  </si>
  <si>
    <t>Зорянська сільська рада, Радухівська сільська рада</t>
  </si>
  <si>
    <t>Клеванська територіальна громада</t>
  </si>
  <si>
    <t>Клеванська селищна рада, Оржівська селищна рада, Жобринська сільська рада</t>
  </si>
  <si>
    <t>Корецька територіальна громада</t>
  </si>
  <si>
    <t>Корець</t>
  </si>
  <si>
    <t>Корецька міська рада, Бриківська сільська рада, Великоклецьківська сільська рада, Веснянська сільська рада, Гвіздівська сільська рада, Головницька сільська рада, Даничівська сільська рада, Жадківська сільська рада, Залізницька сільська рада, Коловертівська сільська рада, Користівська сільська рада, Крилівська сільська рада, Морозівська сільська рада, Новокорецька сільська рада, Річецька сільська рада, Сапожинська сільська рада, Сторожівська сільська рада, Устянська сільська рада, Харалузька сільська рада</t>
  </si>
  <si>
    <t>Корнинська сільська рада, Тайкурська сільська рада</t>
  </si>
  <si>
    <t>Костопільська територіальна громада</t>
  </si>
  <si>
    <t>Костопіль</t>
  </si>
  <si>
    <t>Костопільська міська рада, Великомидська сільська рада, Великостидинська сільська рада, Гутянська сільська рада, Золотолинська сільська рада, Маломидська сільська рада, Малостидинська сільська рада, Пеньківська сільська рада, Підлужненська сільська рада, Пісківська сільська рада, Яполотська сільська рада</t>
  </si>
  <si>
    <t>Малинська сільська рада, Бронська сільська рада, Полянська сільська рада, Яринівська сільська рада</t>
  </si>
  <si>
    <t>Малолюбашанська територіальна громада</t>
  </si>
  <si>
    <t>Малолюбашанська сільська рада, Мащанська сільська рада, Мирненська сільська рада</t>
  </si>
  <si>
    <t>Мізоцька територіальна громада</t>
  </si>
  <si>
    <t>Мізоч</t>
  </si>
  <si>
    <t>Мізоцька селищна рада, Будеразька сільська рада, Бущанська сільська рада, Білашівська сільська рада, Дерманська Друга сільська рада, Дерманська Перша сільська рада, Маломощаницька сільська рада, Новомощаницька сільська рада, Півченська сільська рада, Спасівська сільська рада, Старомощаницька сільська рада, Ступнівська сільська рада</t>
  </si>
  <si>
    <t>Олександрійська сільська рада, Заборольська сільська рада, Кустинська сільська рада, Новоукраїнська сільська рада</t>
  </si>
  <si>
    <t>Острозька територіальна громада</t>
  </si>
  <si>
    <t>Острог</t>
  </si>
  <si>
    <t>Острозька міська рада, Бухарівська сільська рада, Білашівська сільська рада, Верхівська сільська рада, Вельбівненська сільська рада, Вілійська сільська рада, Грем'яцька сільська рада, Кутянківська сільська рада, Межиріцька сільська рада, Милятинська сільська рада, Могилянівська сільська рада, Мощаницька сільська рада, Новомалинська сільська рада, Новородчицька сільська рада, Оженинська сільська рада, Плосківська сільська рада, Почапківська сільська рада, Розвазька сільська рада, Сіянцівська сільська рада, Тесівська сільська рада, Українська сільська рада, Хорівська сільська рада</t>
  </si>
  <si>
    <t>Квасилівська селищна рада, Рівненська міська рада</t>
  </si>
  <si>
    <t>Соснівська територіальна громада</t>
  </si>
  <si>
    <t>Соснове</t>
  </si>
  <si>
    <t>Соснівська селищна рада, Губківська сільська рада, Марининська сільська рада, Хмелівська сільська рада</t>
  </si>
  <si>
    <t>Шпанівська територіальна громада</t>
  </si>
  <si>
    <t>Шпанівська сільська рада, Великожитинська сільська рада</t>
  </si>
  <si>
    <t>Сарненський район</t>
  </si>
  <si>
    <t>Березове</t>
  </si>
  <si>
    <t>Березівська сільська рада, Глиннівська сільська рада, Кам’янська сільська рада</t>
  </si>
  <si>
    <t>Вирівська територіальна громада</t>
  </si>
  <si>
    <t>Вирівська сільська рада, Кам’яне-Случанська сільська рада, Селищенська сільська рада, Чудельська сільська рада</t>
  </si>
  <si>
    <t>Висоцька територіальна громада</t>
  </si>
  <si>
    <t>Висоцька сільська рада, Людинська сільська рада, Туменська сільська рада</t>
  </si>
  <si>
    <t>Дубровицька територіальна громада</t>
  </si>
  <si>
    <t>Дубровиця</t>
  </si>
  <si>
    <t>Дубровицька міська рада, Бережківська сільська рада, Бережницька сільська рада, Берестівська сільська рада, Великоозерянська сільська рада, Велюнська сільська рада, Залузька сільська рада, Колківська сільська рада, Лютинська сільська рада, Лісівська сільська рада, Мочулищенська сільська рада, Нивецька сільська рада, Осівська сільська рада, Сварицевицька сільська рада, Селецька сільська рада, Соломіївська сільська рада, Трипутнянська сільська рада</t>
  </si>
  <si>
    <t>Клесівська територіальна громада</t>
  </si>
  <si>
    <t>Клесівська селищна рада, Карасинська сільська рада, Карпилівська сільська рада</t>
  </si>
  <si>
    <t>Миляцька територіальна громада</t>
  </si>
  <si>
    <t>Миляцька сільська рада, Жаденська сільська рада, Перебродівська сільська рада, Удрицька сільська рада</t>
  </si>
  <si>
    <t>Немовицька територіальна громада</t>
  </si>
  <si>
    <t>Немовицька сільська рада, Зносицька сільська рада, Тинненська сільська рада</t>
  </si>
  <si>
    <t>Рокитнівська територіальна громада</t>
  </si>
  <si>
    <t>Рокитнівська селищна рада, Томашгородська селищна рада, Блажівська сільська рада, Борівська сільська рада, Біловізька сільська рада, Карпилівська сільська рада, Кисорицька сільська рада, Масевицька сільська рада, Рокитнівська сільська рада, Сновидовицька сільська рада, Томашгородська сільська рада</t>
  </si>
  <si>
    <t>Сарненська територіальна громада</t>
  </si>
  <si>
    <t>Сарни</t>
  </si>
  <si>
    <t>Сарненська міська рада, Тутовицька сільська рада, Великовербченська сільська рада, Коростська сільська рада, Костянтинівська сільська рада, Кричильська сільська рада, Любиковицька сільська рада, Люхчанська сільська рада, Ремчицька сільська рада, Стрільська сільська рада, Городецька сільська рада</t>
  </si>
  <si>
    <t>Старосільська територіальна громада</t>
  </si>
  <si>
    <t>Старосільська сільська рада, Вежицька сільська рада</t>
  </si>
  <si>
    <t>Степанська територіальна громада</t>
  </si>
  <si>
    <t>Степанська селищна рада, Кузьмівська сільська рада</t>
  </si>
  <si>
    <t>Сумська область</t>
  </si>
  <si>
    <t>Конотопський район</t>
  </si>
  <si>
    <t>Бочечківська територіальна громада</t>
  </si>
  <si>
    <t>Бочечківська сільська рада, Духанівська сільська рада, Козацька сільська рада, Сахнівська сільська рада, Хижківська сільська рада</t>
  </si>
  <si>
    <t>Буринська територіальна громада</t>
  </si>
  <si>
    <t>Буринська міська рада, Біжівська сільська рада, Верхньосагарівська сільська рада, Вознесенська сільська рада, Воскресенська сільська рада, Гвинтівська сільська рада, Дяківська сільська рада, Жуківська сільська рада, Клепалівська сільська рада, Миколаївська сільська рада, Михайлівська сільська рада, Олександрівська сільська рада, Пісківська сільська рада, Слобідська сільська рада, Степанівська сільська рада, Суховерхівська сільська рада, Успенська сільська рада, Червонослобідська сільська рада, Черепівська сільська рада</t>
  </si>
  <si>
    <t>Дубов’язівська територіальна громада</t>
  </si>
  <si>
    <t>Дубов’язівська селищна рада, В’язівська сільська рада, Гружчанська сільська рада, Жовтневська сільська рада, Землянська сільська рада, Красненська сільська рада, Салтиківська сільська рада, Тернівська сільська рада, Шпотівська сільська рада, Буриківська сільська рада, Сніжківська сільська рада, Чернечослобідська сільська рада</t>
  </si>
  <si>
    <t>Конотопська територіальна громада</t>
  </si>
  <si>
    <t>Конотоп</t>
  </si>
  <si>
    <t>Конотопська міська рада, Підлипненська сільська рада</t>
  </si>
  <si>
    <t>Кролевецька територіальна громада</t>
  </si>
  <si>
    <t>Кролевецька міська рада, Зазірківська сільська рада, Камінська сільська рада, Литвиновицька сільська рада, Мутинська сільська рада, Реутинська сільська рада, Яровська сільська рада, Ярославецька сільська рада, Алтинівська сільська рада, Бистрицька сільська рада, Божківська сільська рада, Буйвалівська сільська рада, Білогривська сільська рада, Гречкинська сільська рада, Грузчанська сільська рада, Добротівська сільська рада, Дубовицька сільська рада, Локнянська сільська рада, Майорівська сільська рада, Обтівська сільська рада, Ленінська сільська рада, Тулиголівська сільська рада</t>
  </si>
  <si>
    <t>Новослобідська територіальна громада</t>
  </si>
  <si>
    <t>Новослобідська сільська рада, Бояро-Лежачівська сільська рада, Бунякинська сільська рада, Линівська сільська рада, Мазівська сільська рада, Манухівська сільська рада, Мачулищанська сільська рада, Князівська сільська рада, Червоноозерська сільська рада, Юр’ївська сільська рада</t>
  </si>
  <si>
    <t>Попівська територіальна громада</t>
  </si>
  <si>
    <t>Попівка</t>
  </si>
  <si>
    <t>Попівська сільська рада, Великосамбірська сільська рада, Вирівська сільська рада, Дептівська сільська рада, Карабутівська сільська рада, Кошарівська сільська рада, Кузьківська сільська рада, Малосамбірська сільська рада, Мельнянська сільська рада, Михайло-Ганнівська сільська рада, Пекарівська сільська рада, Присеймівська сільська рада, Соснівська сільська рада, Шаповалівська сільська рада, Шевченківська сільська рада, Юрівська сільська рада</t>
  </si>
  <si>
    <t>Путивльська територіальна громада</t>
  </si>
  <si>
    <t>Путивльська міська рада, Бобинська сільська рада, В’язенська сільська рада, Веселівська сільська рада, Волокитинська сільська рада, Зінівська сільська рада, Козаченська сільська рада, Октябрська сільська рада, Рев’якинська сільська рада, Руднєвська сільська рада, Сафонівська сільська рада, Стрільниківська сільська рада, Чорнобривкинська сільська рада, Яцинська сільська рада</t>
  </si>
  <si>
    <t>Охтирський район</t>
  </si>
  <si>
    <t>Боромлянська територіальна громада</t>
  </si>
  <si>
    <t>Боромлянська сільська рада, Гребениківська сільська рада, Жигайлівська сільська рада</t>
  </si>
  <si>
    <t>Великописарівська територіальна громада</t>
  </si>
  <si>
    <t>Велика Писарівка</t>
  </si>
  <si>
    <t>Великописарівська селищна рада, Вільненська сільська рада, Дмитрівська сільська рада, Добрянська сільська рада, Пожнянська сільська рада, Попівська сільська рада, Розсошівська сільська рада, Тарасівська сільська рада, Ямненська сільська рада</t>
  </si>
  <si>
    <t>Грунська територіальна громада</t>
  </si>
  <si>
    <t>Грунська сільська рада, В’язівська сільська рада, Гнилицька сільська рада, Куземинська сільська рада, Рибальська сільська рада</t>
  </si>
  <si>
    <t>Кириківська територіальна громада</t>
  </si>
  <si>
    <t>Кириківська селищна рада, Іванівська сільська рада, Вищевеселівська сільська рада, Катанська сільська рада, Рябинівська сільська рада, Яблучненська сільська рада</t>
  </si>
  <si>
    <t>Комишанська територіальна громада</t>
  </si>
  <si>
    <t>Комишанська сільська рада, Карпилівська сільська рада, Малопавлівська сільська рада</t>
  </si>
  <si>
    <t>Охтирська територіальна громада</t>
  </si>
  <si>
    <t>Охтирка</t>
  </si>
  <si>
    <t>Охтирська міська рада, Староіванівська сільська рада</t>
  </si>
  <si>
    <t>Тростянецька міська рада, Буймерська сільська рада, Білківська сільська рада, Дернівська сільська рада, Зарічненська сільська рада, Кам'янська сільська рада, Криничанська сільська рада, Люджанська сільська рада, Мартинівська сільська рада, Мащанська сільська рада, Ницахська сільська рада, Печинська сільська рада, Семереньківська сільська рада, Станівська сільська рада, Солдатська сільська рада</t>
  </si>
  <si>
    <t>Чернеччинська сільська рада, Бакирівська сільська рада, Бугруватська сільська рада, Височанська сільська рада, Кардашівська сільська рада, Лутищанська сільська рада, Пологівська сільська рада, Сонячненська сільська рада, Хухрянська сільська рада</t>
  </si>
  <si>
    <t>Чупахівська територіальна громада</t>
  </si>
  <si>
    <t>Чупахівська селищна рада, Грінченківська сільська рада, Довжицька сільська рада, Лантратівська сільська рада, Олешнянська сільська рада</t>
  </si>
  <si>
    <t>Роменський район</t>
  </si>
  <si>
    <t>Андріяшівська територіальна громада</t>
  </si>
  <si>
    <t>Андріяшівська сільська рада, Анастасівська сільська рада, Андріївська сільська рада, Артюхівська сільська рада, Василівська сільська рада, Волошнівська сільська рада, Глинська сільська рада, Новогребельська сільська рада, Перекопівська сільська рада, Хоминцівська сільська рада, Ярошівська сільська рада</t>
  </si>
  <si>
    <t>Вільшанська сільська рада, Великобудківська сільська рада, Деркачівська сільська рада, Зеленківська сільська рада, Козельненська сільська рада</t>
  </si>
  <si>
    <t>Коровинська територіальна громада</t>
  </si>
  <si>
    <t>Коровинська сільська рада, Рубанська сільська рада, Томашівська сільська рада</t>
  </si>
  <si>
    <t>Липоводолинська територіальна громада</t>
  </si>
  <si>
    <t>Липоводолинська селищна рада, Байрацька сільська рада, Берестівська сільська рада, Беївська сільська рада, Кімличанська сільська рада, Лучанська сільська рада, Московська сільська рада, Панасівська сільська рада, Русанівська сільська рада, Семенівська сільська рада, Калінінська сільська рада, Яганівська сільська рада, Яснопільщинська сільська рада</t>
  </si>
  <si>
    <t>Недригайлівська територіальна громада</t>
  </si>
  <si>
    <t>Недригайлівська селищна рада, Сакунихська сільська рада, Тернівська селищна рада, Іваницька сільська рада, Гринівська сільська рада, Засульська сільська рада, Кулішівська сільська рада, Курманівська сільська рада, Маршалівська сільська рада, Хоружівська сільська рада, Червонослобідська сільська рада</t>
  </si>
  <si>
    <t>Роменська територіальна громада</t>
  </si>
  <si>
    <t>Ромни</t>
  </si>
  <si>
    <t>Роменська міська рада, Бобрицька сільська рада, Біловодська сільська рада, Великобубнівська сільська рада, Гришинська сільська рада, Галківська сільська рада, Довгополівська сільська рада, Зарудянська сільська рада, Коржівська сільська рада, Малобубнівська сільська рада, Миколаївська сільська рада, Перехрестівська сільська рада, Плавинищенська сільська рада, Погожокриницька сільська рада, Пустовійтівська сільська рада, Рогинська сільська рада, Ріпчанська сільська рада</t>
  </si>
  <si>
    <t>Синівська територіальна громада</t>
  </si>
  <si>
    <t>31.07.2019</t>
  </si>
  <si>
    <t>Синівська сільська рада, Капустинська сільська рада, Колядинецька сільська рада, Подільківська сільська рада, Підставська сільська рада, Саївська сільська рада</t>
  </si>
  <si>
    <t>Хмелівська територіальна громада</t>
  </si>
  <si>
    <t>Хмелів</t>
  </si>
  <si>
    <t>Хмелівська сільська рада, Басівська сільська рада, Дібрівська сільська рада, Смілівська сільська рада, Сулимівська сільська рада, Хустянська сільська рада</t>
  </si>
  <si>
    <t>Сумський район</t>
  </si>
  <si>
    <t>Бездрицька територіальна громада</t>
  </si>
  <si>
    <t>Бездрицька сільська рада, Токарівська сільська рада</t>
  </si>
  <si>
    <t>Білопільська територіальна громада</t>
  </si>
  <si>
    <t>Білопільська міська рада, Іскрисківщинська сільська рада, Воронівська сільська рада, Ганнівсько-Вирівська сільська рада, Гуринівська сільська рада, Куянівська сільська рада, Нововирківська сільська рада, Ободівська сільська рада, Павлівська сільська рада, Рижівська сільська рада, Терещенківська сільська рада</t>
  </si>
  <si>
    <t>Верхньосироватська територіальна громада</t>
  </si>
  <si>
    <t>Верхньосироватська сільська рада, Великобобрицька сільська рада</t>
  </si>
  <si>
    <t>Ворожбянська територіальна громада</t>
  </si>
  <si>
    <t>Ворожба</t>
  </si>
  <si>
    <t>Ворожбянська міська рада, Сергіївська сільська рада, Шкуратівська сільська рада, Кальченківська сільська рада</t>
  </si>
  <si>
    <t>Краснопільська селищна рада, Угроїдська селищна рада, Бранцівська сільська рада, Грабовська сільська рада, Мезенівська сільська рада, Осоївська сільська рада, Покровська сільська рада, Ряснянська сільська рада, Самотоївська сільська рада, Славгородська сільська рада, Тур’янська сільська рада, Хмелівська сільська рада, Чернеччинська сільська рада</t>
  </si>
  <si>
    <t>Лебединська територіальна громада</t>
  </si>
  <si>
    <t>Лебедин</t>
  </si>
  <si>
    <t>Лебединська міська рада, Бишкінська сільська рада, Боровеньківська сільська рада, Будильська сільська рада, Василівська сільська рада, Великовисторопська сільська рада, Ворожбянська сільська рада, Гарбузівська сільська рада, Гринцівська сільська рада, Калюжненська сільська рада, Кам’янська сільська рада, Катеринівська сільська рада, Курганська сільська рада, Маловисторопська сільська рада, Межиріцька сільська рада, Михайлівська сільська рада, Московсько-Бобрицька сільська рада, Павленківська сільська рада, Пристайлівська сільська рада, Підопригорівська сільська рада, Рябушківська сільська рада, Червленівська сільська рада, Штепівська сільська рада</t>
  </si>
  <si>
    <t>Миколаївська селищна рада, Бобрицька сільська рада, Верхосульська сільська рада, Луциківська сільська рада, Марківська сільська рада, Супрунівська сільська рада, Товстянська сільська рада, Тучненська сільська рада, Улянівська селищна рада</t>
  </si>
  <si>
    <t>Миропільська сільська рада, Сіннівська сільська рада, Запсільська сільська рада, Малорибицька сільська рада</t>
  </si>
  <si>
    <t>Нижньосироватська територіальна громада</t>
  </si>
  <si>
    <t>Нижньосироватська сільська рада, Старосільська сільська рада</t>
  </si>
  <si>
    <t>Річківська територіальна громада</t>
  </si>
  <si>
    <t>Річківська сільська рада, Вирівська сільська рада, Горобівська сільська рада, Коршачинська сільська рада</t>
  </si>
  <si>
    <t>Садівська територіальна громада</t>
  </si>
  <si>
    <t>Сад</t>
  </si>
  <si>
    <t>Садівська сільська рада, Низівська селищна рада, Великовільмівська сільська рада, Сульська сільська рада, Терешківська сільська рада, Шпилівська сільська рада, Голубівська сільська рада</t>
  </si>
  <si>
    <t>Степанівська селищна рада, Косівщинська сільська рада, Новосуханівська сільська рада, Підліснівська сільська рада</t>
  </si>
  <si>
    <t>Сумська територіальна громада</t>
  </si>
  <si>
    <t>Суми</t>
  </si>
  <si>
    <t>Сумська міська рада, Піщанська сільська рада, Битицька сільська рада, Великочернеччинська сільська рада, Стецьківська сільська рада</t>
  </si>
  <si>
    <t>Хотінська територіальна громада</t>
  </si>
  <si>
    <t>Хотінська селищна рада, Біловодська сільська рада, Кіндратівська сільська рада, Олексіївська сільська рада</t>
  </si>
  <si>
    <t>Юнаківська територіальна громада</t>
  </si>
  <si>
    <t>Юнаківка</t>
  </si>
  <si>
    <t>Юнаківська сільська рада, Басівська сільська рада, Кияницька сільська рада, Могрицька сільська рада</t>
  </si>
  <si>
    <t>Шосткинський район</t>
  </si>
  <si>
    <t>Березівська сільська рада, Іващенківська сільська рада, Горілівська сільська рада, Землянківська сільська рада, Обложківська сільська рада, Первомайська сільська рада, Слоутська сільська рада, Шевченківська сільська рада</t>
  </si>
  <si>
    <t>Глухівська територіальна громада</t>
  </si>
  <si>
    <t>Глухів</t>
  </si>
  <si>
    <t>Глухівська міська рада, Баницька сільська рада, Білокопитівська сільська рада, Дунаєцька сільська рада, Перемозька сільська рада, Полошківська сільська рада, Привільська сільська рада, Семенівська сільська рада, Уздицька сільська рада</t>
  </si>
  <si>
    <t>Дружбівська територіальна громада</t>
  </si>
  <si>
    <t>Дружбівська міська рада</t>
  </si>
  <si>
    <t>Есманьська територіальна громада</t>
  </si>
  <si>
    <t>Червоне</t>
  </si>
  <si>
    <t>Червоненська селищна рада, Бачівська сільська рада, Вільнослобідська сільська рада, Кучерівська сільська рада, Пустогородська сільська рада, Сопицька сільська рада, Студеноцька сільська рада, Суходільська сільська рада, Уланівська сільська рада, Фотовизька сільська рада, Яструбщанська сільська рада</t>
  </si>
  <si>
    <t>Зноб-Новгородська територіальна громада</t>
  </si>
  <si>
    <t>Зноб-Новгородська селищна рада, Голубівська сільська рада, Зноб-Трубчевська сільська рада, Кренидівська сільська рада, Кривоносівська сільська рада, Нововасилівська сільська рада, Очкинська сільська рада, Стягайлівська сільська рада, Уралівська сільська рада</t>
  </si>
  <si>
    <t>Свеська територіальна громада</t>
  </si>
  <si>
    <t>Свеса</t>
  </si>
  <si>
    <t>Свеська селищна рада, Княжицька сільська рада, Марчихинобудська сільська рада, Микитівська сільська рада, Орлівська сільська рада</t>
  </si>
  <si>
    <t>Середино-Будська територіальна громада</t>
  </si>
  <si>
    <t>Середина-Буда</t>
  </si>
  <si>
    <t>Середино-Будська міська рада, Великоберізківська сільська рада, Жихівська сільська рада, Кам’янська сільська рада, Пигарівська сільська рада, Рожковицька сільська рада, Ромашківська сільська рада, Старогутська сільська рада, Чернацька сільська рада</t>
  </si>
  <si>
    <t>Шалигинська територіальна громада</t>
  </si>
  <si>
    <t>Шалигинська селищна рада, Сварківська сільська рада, Соснівська сільська рада, Стариківська сільська рада, Ходинська сільська рада, Чернівська сільська рада</t>
  </si>
  <si>
    <t>Шосткинська територіальна громада</t>
  </si>
  <si>
    <t>Шостка</t>
  </si>
  <si>
    <t>Шосткинська міська рада, Воронізька селищна рада, Івотська сільська рада, Богданівська сільська рада, Вовнянська сільська рада, Гамаліївська сільська рада, Глазівська сільська рада, Каліївська сільська рада, Клишківська сільська рада, Ковтунівська сільська рада, Коротченківська сільська рада, Маківська сільська рада, Миронівська сільська рада, Ображіївська сільська рада, Собицька сільська рада, Собичівська сільська рада, Тиманівська сільська рада, Чапліївська сільська рада</t>
  </si>
  <si>
    <t>Ямпіль</t>
  </si>
  <si>
    <t>Ямпільська селищна рада, Шатрищенська сільська рада, Усоцька сільська рада, Антонівська сільська рада, Білицька сільська рада, Воздвиженська сільська рада, Паліївська сільська рада, Степненська сільська рада</t>
  </si>
  <si>
    <t>Тернопільська область</t>
  </si>
  <si>
    <t>Кременецький район</t>
  </si>
  <si>
    <t>Борсуківська територіальна громада</t>
  </si>
  <si>
    <t>Борсуківська сільська рада, Борщівська сільська рада, Великокусківецька сільська рада, Передмірська сільська рада, Снігурівська сільська рада, Чайчинецька сільська рада, Піщатинська сільська рада</t>
  </si>
  <si>
    <t>Великодедеркальська територіальна громада</t>
  </si>
  <si>
    <t>Великодедеркальська сільська рада, Великозагайцівська сільська рада, Матвіївська сільська рада, Мізюринська сільська рада, Радошівська сільська рада, Садківська сільська рада, Темногаєцька сільська рада, Шкроботівська сільська рада</t>
  </si>
  <si>
    <t>Вишнівецька територіальна громада</t>
  </si>
  <si>
    <t>Вишнівецька селищна рада, Бодаківська сільська рада, Бутинська сільська рада, Великокунинецька сільська рада, Великовікнинська сільська рада, Дзвинячанська сільська рада, Залісецька сільська рада, Коханівська сільська рада, Лозівська сільська рада, Раковецька сільська рада, Старовишнівецька сільська рада, Млинівецька сільська рада, Устечківська сільська рада</t>
  </si>
  <si>
    <t>Кременецька територіальна громада</t>
  </si>
  <si>
    <t>Кременець</t>
  </si>
  <si>
    <t>Кременецька міська рада, Білокриницька сільська рада, Великобережецька сільська рада, Великомлинівецька сільська рада, Гаївська сільська рада, Горинська сільська рада, Дунаївська сільська рада, Жолобівська сільська рада, Катеринівська сільська рада, Колосівська сільська рада, Крижівська сільська рада, Плосківська сільська рада, Попівецька сільська рада, Сапанівська сільська рада, Чугалівська сільська рада, Шпиколосівська сільська рада, Підгаєцька сільська рада</t>
  </si>
  <si>
    <t>Лановецька територіальна громада</t>
  </si>
  <si>
    <t>Лановецька міська рада, Іванковецька сільська рада, Бережанська сільська рада, Буглівська сільська рада, Білозірська сільська рада, Ванжулівська сільська рада, Вербовецька сільська рада, Верещаківська сільська рада, Вишгородоцька сільська рада, Влащинецька сільська рада, Гриньківська сільська рада, Загірцівська сільська рада, Краснолуцька сільська рада, Лопушненська сільська рада, Малобілківська сільська рада, Молотківська сільська рада, Москалівська сільська рада, Печірнянська сільська рада, Юськовецька сільська рада, Якимівська сільська рада</t>
  </si>
  <si>
    <t>Лопушненська територіальна громада</t>
  </si>
  <si>
    <t>Лопушненська сільська рада, Великогорянська сільська рада, Башуківська сільська рада, Розтоцька сільська рада, Староолексинецька сільська рада</t>
  </si>
  <si>
    <t>Почаївська територіальна громада</t>
  </si>
  <si>
    <t>Почаївська міська рада, Будківська сільська рада, Лосятинська сільська рада, Лідихівська сільська рада, Ридомильська сільська рада, Старопочаївська сільська рада, Старотаразька сільська рада</t>
  </si>
  <si>
    <t>Шумська територіальна громада</t>
  </si>
  <si>
    <t>Шумська міська рада, Андрушівська сільська рада, Биковецька сільська рада, Боложівська сільська рада, Бриківська сільська рада, Васьковецька сільська рада, Іловицька сільська рада, Вілійська сільська рада, Жолобківська сільська рада, Залісцівська сільська рада, Кордишівська сільська рада, Людвищенська сільська рада, Літовищенська сільська рада, Онишковецька сільська рада, Потуторівська сільська рада, Рохманівська сільська рада, Соснівська сільська рада, Стіжоцька сільська рада, Суразька сільська рада, Тилявська сільська рада, Угорська сільська рада, Цеценівська сільська рада, Шумбарська сільська рада</t>
  </si>
  <si>
    <t>Тернопільський район</t>
  </si>
  <si>
    <t>Іванівська сільська рада, Ілавченська сільська рада, Глещавська сільська рада, Сороцька сільська рада</t>
  </si>
  <si>
    <t>Байковецька територіальна громада</t>
  </si>
  <si>
    <t>Байковецька сільська рада, Гаї-Шевченківська сільська рада, Дубівецька сільська рада, Лозівська сільська рада, Романівська сільська рада, Стегниківська сільська рада, Ступківська сільська рада, Чернелево-Руська сільська рада, Шляхтинецька сільська рада, Охримівська сільська рада, Романовоселівська сільська рада</t>
  </si>
  <si>
    <t>Бережанська територіальна громада</t>
  </si>
  <si>
    <t>02.11.2018</t>
  </si>
  <si>
    <t>Бережанська міська рада, Біщівська сільська рада, Жовнівська сільська рада, Жуківська сільська рада, Куропатницька сільська рада, Надрічнянська сільська рада, Посухівська сільська рада, Урманська сільська рада, Шибалинська сільська рада</t>
  </si>
  <si>
    <t>Білецька територіальна громада</t>
  </si>
  <si>
    <t>Білецька сільська рада, Івачеводолішнівська сільська рада, Ігровицька сільська рада, Великоглибочецька сільська рада, Плотицька сільська рада, Чистилівська сільська рада, Мшанецька сільська рада</t>
  </si>
  <si>
    <t>Великоберезовицька територіальна громада</t>
  </si>
  <si>
    <t>Велика Березовиця</t>
  </si>
  <si>
    <t>Великоберезовицька селищна рада, Буцнівська сільська рада, Великолуцька сільська рада, Йосипівська сільська рада, Мар’янівська сільська рада, Миролюбівська сільська рада, Мишковицька сільська рада, Настасівська сільська рада, Острівська сільська рада, Петриківська сільська рада</t>
  </si>
  <si>
    <t>Великобірківська територіальна громада</t>
  </si>
  <si>
    <t>ВЕЛИКОБІРКІВСЬКА ГРОМАДА, Малоходачківська сільська рада, Смиковецька сільська рада</t>
  </si>
  <si>
    <t>Великогаївська територіальна громада</t>
  </si>
  <si>
    <t>Великогаївська сільська рада, Баворівська сільська рада, Грабовецька сільська рада, Дичківська сільська рада, Козівська сільська рада, Скоморохівська сільська рада, Товстолузька сільська рада</t>
  </si>
  <si>
    <t>Залозецька територіальна громада</t>
  </si>
  <si>
    <t>Залозецька селищна рада, Білоголівська сільська рада, Гає-Розтоцька сільська рада, Гаї-за-Рудівська сільська рада, Загір’янська сільська рада, Мильнівська сільська рада, Панасівська сільська рада, Ратищівська сільська рада, Ренівська сільська рада, Серетецька сільська рада, Тростянецька сільська рада, Чистопадівська сільська рада</t>
  </si>
  <si>
    <t>Збаразька територіальна громада</t>
  </si>
  <si>
    <t>Збараж</t>
  </si>
  <si>
    <t>Збаразька міська рада, Іванчанська сільська рада, Вищелуб’янська сільська рада, Гніздичненська сільська рада, Кретівська сільська рада, Доброводівська сільська рада, Добромірківська сільська рада, Залужанська сільська рада, Зарубинська сільська рада, Зарудянська сільська рада, Капустинська сільська рада, Киданецька сільська рада, Кобильська сільська рада, Колодненська сільська рада, Красносільська сільська рада, Максимівська сільська рада, Нижчелуб’янська сільська рада, Новиківська сільська рада, Синявська сільська рада, Старозбаразька сільська рада, Стриївська сільська рада, Базаринська сільська рада, Чернихівецька сільська рада, Шилівська сільська рада, Шимковецька сільська рада, Карначівська сільська рада</t>
  </si>
  <si>
    <t>Зборівська територіальна громада</t>
  </si>
  <si>
    <t>Зборівська міська рада, Беримівська сільська рада, Бзовицька сільська рада, Вовчківська сільська рада, Вірлівська сільська рада, Гарбузівська сільська рада, Годівська сільська рада, Гукалівська сільська рада, Зарудянська сільська рада, Кабарівецька сільська рада, Кальненська сільська рада, Млиновецька сільська рада, Оліївська сільська рада, Перепельницька сільська рада, Пліснянська сільська рада, Погрібецька сільська рада, Розгадівська сільська рада, Славнянська сільська рада, Ярославицька сільська рада, Ярчовецька сільська рада, Августівська сільська рада, Великоплавучанська сільська рада</t>
  </si>
  <si>
    <t>Золотниківська територіальна громада</t>
  </si>
  <si>
    <t>Золотниківська сільська рада, Зарваницька сільська рада, Багатківська сільська рада, Бенівська сільська рада, Бурканівська сільська рада, Вишнівчицька сільська рада, Гайворонківська сільська рада, Гвардійська сільська рада, Котузівська сільська рада, Маловодівська сільська рада, Надрічненська сільська рада, Семиківська сільська рада, Соколівська сільська рада, Соснівська сільська рада</t>
  </si>
  <si>
    <t>Козлівська територіальна громада</t>
  </si>
  <si>
    <t>Козлівська селищна рада, Покропивнянська сільська рада, Слобідківська сільська рада, Таурівська сільська рада</t>
  </si>
  <si>
    <t>Козова</t>
  </si>
  <si>
    <t>Козівська селищна рада, Бишківська сільська рада, Будилівська сільська рада, Вибудівська сільська рада, Вівсянська сільська рада, Вікторівська сільська рада, Геленківська сільська рада, Глинська сільська рада, Городищенська сільська рада, Дибщенська сільська рада, Золотослобідська сільська рада, Кальненська сільська рада, Козівківська сільська рада, Конюхівська сільська рада, Кривенська сільська рада, Малоплавучанська сільська рада, Олесинська сільська рада, Плотичанська сільська рада, Потіцька сільська рада, Теофіпільська сільська рада, Ценівська сільська рада, Щепанівська сільська рада</t>
  </si>
  <si>
    <t>Купчинецька територіальна громада</t>
  </si>
  <si>
    <t>Купчинецька сільська рада, Ішківська сільська рада, Денисівська сільська рада, Яструбівська сільська рада</t>
  </si>
  <si>
    <t>Микулинецька територіальна громада</t>
  </si>
  <si>
    <t>Микулинецька селищна рада, Дружбівська селищна рада, Дарахівська сільська рада, Дворічанська сільська рада, Заздрівська сільська рада, Ладичинська сільська рада, Різдвянівська сільська рада, Струсівська сільська рада, Хмелівська сільська рада</t>
  </si>
  <si>
    <t>Нараївська територіальна громада</t>
  </si>
  <si>
    <t>Нараївська сільська рада, Вербівська сільська рада, Курянівська сільська рада, Лапшинська сільська рада, Підвисоцька сільська рада, Рекшинська сільська рада, Рогачинська сільська рада</t>
  </si>
  <si>
    <t>Озернянська територіальна громада</t>
  </si>
  <si>
    <t>Озернянська сільська рада, Богданівська сільська рада, Висиповецька сільська рада, Нестерівська сільська рада, Осташівська сільська рада, Цебрівська сільська рада</t>
  </si>
  <si>
    <t>Підволочиська територіальна громада</t>
  </si>
  <si>
    <t>Підволочиська селищна рада, Іванівська сільська рада, Богданівська сільська рада, Галущинська сільська рада, Дорофіївська сільська рада, Жеребківська сільська рада, Кам’янківська сільська рада, Качанівська сільська рада, Клебанівська сільська рада, Мисловецька сільська рада, Оріховецька сільська рада, Рожиська сільська рада, Староміщинська сільська рада, Супрунівська сільська рада, Турівська сільська рада, Хмелиськівська сільська рада, Чернилівська сільська рада</t>
  </si>
  <si>
    <t>Підгаєцька територіальна громада</t>
  </si>
  <si>
    <t>Підгайці</t>
  </si>
  <si>
    <t>Підгаєцька міська рада, Боківська сільська рада, Бронгалівська сільська рада, Білокриницька сільська рада, Вербівська сільська рада, Галицька сільська рада, Гнильченська сільська рада, Голгочанська сільська рада, Завалівська сільська рада, Лисецька сільська рада, Литвинівська сільська рада, Мирненська сільська рада, Мозолівська сільська рада, Мужилівська сільська рада, Новосілківська сільська рада, Носівська сільська рада, Поплавська сільська рада, Староміська сільська рада, Сільцівська сільська рада, Угринівська сільська рада, Юстинівська сільська рада</t>
  </si>
  <si>
    <t>Підгороднянська територіальна громада</t>
  </si>
  <si>
    <t>Підгородне</t>
  </si>
  <si>
    <t>Підгороднянська сільська рада, Довжанська сільська рада, Домаморицька сільська рада, Драганівська сільська рада, Почапинська сільська рада, Великоходачківська сільська рада</t>
  </si>
  <si>
    <t>Саранчуківська територіальна громада</t>
  </si>
  <si>
    <t>Саранчуківська сільська рада, Божиківська сільська рада, Вільховецька сільська рада, Котівська сільська рада, Літятинська сільська рада, Мечищівська сільська рада, Рибниківська сільська рада, Слов’ятинська сільська рада, Тростянецька сільська рада, Шумлянська сільська рада</t>
  </si>
  <si>
    <t>Скалатська територіальна громада</t>
  </si>
  <si>
    <t>Скалатська міська рада, Городницька сільська рада, Зарубинецька сільська рада, Колодіівська сільська рада, Кривенська сільська рада, Новосілківська сільська рада, Остап’ївська сільська рада, Подільська сільська рада, Староскалатська сільська рада, Магдалівська сільська рада</t>
  </si>
  <si>
    <t>Скориківська територіальна громада</t>
  </si>
  <si>
    <t>Скориківська сільська рада, Воробіївська сільська рада, Гнилицька сільська рада, Кошляківська сільська рада, Лисичинська сільська рада, Новосільська сільська рада, Пальчинська сільська рада, Терпилівська сільська рада, Токівська сільська рада</t>
  </si>
  <si>
    <t>Теребовлянська територіальна громада</t>
  </si>
  <si>
    <t>Теребовлянська міська рада, Вербовецька сільська рада, Довгенська сільська рада, Долинська сільська рада, Кобиловолоцька сільська рада, Кровинківська сільська рада, Ласковецька сільська рада, Лошнівська сільська рада, Мшанецька сільська рада, Могильницька сільська рада, Острівецька сільська рада, Плебанівська сільська рада, Підгайчицька сільська рада, Романівська сільська рада, Сущинська сільська рада</t>
  </si>
  <si>
    <t>Тернопільська територіальна громада</t>
  </si>
  <si>
    <t>Тернопільська міська рада, Городищенська сільська рада, Кобзарівська сільська рада, Курівецька сільська рада, Малашовецька сільська рада, Чернихівська сільська рада</t>
  </si>
  <si>
    <t>Чортківський район</t>
  </si>
  <si>
    <t>Іване-Пустенська територіальна громада</t>
  </si>
  <si>
    <t>Іване-Пусте</t>
  </si>
  <si>
    <t>Іване-Пустенська сільська рада, Гермаківська сільська рада, Заліська сільська рада, Пилипченська сільська рада</t>
  </si>
  <si>
    <t>Бучацька територіальна громада</t>
  </si>
  <si>
    <t>Бучач</t>
  </si>
  <si>
    <t>Бучацька міська рада, Бариська сільська рада, Берем’янська сільська рада, Бобулинська сільська рада, Добропільська сільська рада, Дулібівська сільська рада, Жизномирська сільська рада, Жниборідська сільська рада, Заривинецька сільська рада, Зеленська сільська рада, Зубрецька сільська рада, Киданівська сільська рада, Ліщанецька сільська рада, Новопетликівська сільська рада, Озерянська сільська рада, Осівецька сільська рада, Переволоцька сільська рада, Передмістянська сільська рада, Порохівська сільська рада, Підзамочківська сільська рада, Ріпинецька сільська рада, Сороківська сільська рада, Старопетликівська сільська рада, Язловецька сільська рада</t>
  </si>
  <si>
    <t>Білобожницька територіальна громада</t>
  </si>
  <si>
    <t>Білобожницька сільська рада, Базарська сільська рада, Джуринська сільська рада, Звиняцька сільська рада, Косівська сільська рада, Палашівська сільська рада, Полівецька сільська рада, Ридодубівська сільська рада, Ромашівська сільська рада, Буданівська сільська рада</t>
  </si>
  <si>
    <t>Більче-Золотецька територіальна громада</t>
  </si>
  <si>
    <t>Більче-Золотецька сільська рада, Олексинська сільська рада, Шершенівська сільська рада, Мишківська сільська рада</t>
  </si>
  <si>
    <t>Васильковецька територіальна громада</t>
  </si>
  <si>
    <t>Васильковецька сільська рада, Жабинецька сільська рада, Коцюбинська сільська рада, Крогулецька сільська рада, Нижбірківська сільська рада, Старонижбірківська сільська рада, Целіївська сільська рада, Чабарівська сільська рада</t>
  </si>
  <si>
    <t>Гримайлівська територіальна громада</t>
  </si>
  <si>
    <t>Гримайлівська селищна рада, Вікнянська сільська рада, Глібівська сільська рада, Зеленівська сільська рада, Калагарівська сільська рада, Красненська сільська рада, Лежанівська сільська рада, Малолуцька сільська рада, Малобірківська сільська рада, Пізнанська сільська рада, Раштовецька сільська рада, Саджівецька сільська рада, Товстенська сільська рада</t>
  </si>
  <si>
    <t>Гусятинська територіальна громада</t>
  </si>
  <si>
    <t>Гусятинська селищна рада, Вільхівчицька сільська рада, Городницька сільська рада, Личковецька сільська рада, Постолівська сільська рада, Самолусківецька сільська рада, Сидорівська сільська рада, Суходільська сільська рада, Босирівська сільська рада, Сокиринецька сільська рада, Коцюбинчицька сільська рада, Кривеньківська сільська рада</t>
  </si>
  <si>
    <t>Заводська селищна рада, Залісянська сільська рада, Угринська сільська рада, Швайківська сільська рада, Шманьківська сільська рада, Шманьківчицька сільська рада</t>
  </si>
  <si>
    <t>Заліщицька територіальна громада</t>
  </si>
  <si>
    <t>Заліщики</t>
  </si>
  <si>
    <t>Заліщицька міська рада, Івано-Золотівська сільська рада, Бедриківська сільська рада, Блищанська сільська рада, Винятинська сільська рада, Городоцька сільська рада, Дзвиняцька сільська рада, Добрівлянська сільська рада, Дунівська сільська рада, Дуплиська сільська рада, Зеленогайська сільська рада, Зозулинська сільська рада, Касперівська сільська рада, Колодрібська сільська рада, Кулаківська сільська рада, Новосілківська сільська рада, Синьківська сільська рада, Торськівська сільська рада, Угриньківська сільська рада</t>
  </si>
  <si>
    <t>Золотопотіцька територіальна громада</t>
  </si>
  <si>
    <t>Золотопотіцька селищна рада, Возилівська сільська рада, Космиринська сільська рада, Костільницька сільська рада, Миколаївська сільська рада, Русилівська сільська рада, Скомороська сільська рада, Сновидівська сільська рада, Соколівська сільська рада, Стінківська сільська рада, КОАТУУ: 6121255503), КОАТУУ: 6121283803), КОАТУУ: 6121283805)</t>
  </si>
  <si>
    <t>Колиндянська територіальна громада</t>
  </si>
  <si>
    <t>Колиндянська сільська рада, Великочорнокінецька сільська рада, Давидківська сільська рада, Малочорнокінецька сільська рада, Пробіжнянська сільська рада, Тарнавська сільська рада, Товстеньківська сільська рада, Чорнокінецько-Волянська сільська рада</t>
  </si>
  <si>
    <t>Копичинецька територіальна громада</t>
  </si>
  <si>
    <t>Копичинецька міська рада, Гадинківська сільська рада, Котівська сільська рада, Майданська сільська рада, Оришківська сільська рада, Сухоставська сільська рада, Тудорівська сільська рада, Яблунівська сільська рада</t>
  </si>
  <si>
    <t>Коропецька територіальна громада</t>
  </si>
  <si>
    <t>Коропецька селищна рада, Вербківська сільська рада, Вістрянська сільська рада, Гориглядівська сільська рада, Садівська сільська рада</t>
  </si>
  <si>
    <t>Мельнице-Подільська територіальна громада</t>
  </si>
  <si>
    <t>Мельнице-Подільська селищна рада, Вигодська сільська рада, Вільховецька сільська рада, Горошівська сільська рада, Дзвиняцька сільська рада, Дністровська сільська рада, Збручанська сільська рада, Кудринецька сільська рада, Панівецька сільська рада, Урожайнівська сільська рада, Устянська сільська рада, Худиківська сільська рада</t>
  </si>
  <si>
    <t>Монастириська територіальна громада</t>
  </si>
  <si>
    <t>Монастириська міська рада, Бертниківська сільська рада, Велеснівська сільська рада, Висоцька сільська рада, Гончарівська сільська рада, Горожанська сільська рада, Горішньослобідська сільська рада, Гранітненська сільська рада, Григорівська сільська рада, Доброводівська сільська рада, Дубенківська сільська рада, Завадівська сільська рада, Задарівська сільська рада, Заставецька сільська рада, Ковалівська сільська рада, Комарівська сільська рада, Красіївська сільська рада, Криницька сільська рада, Лазарівська сільська рада, Лядська сільська рада, Олешівська сільська рада, Підліснянська сільська рада, Тростянецька сільська рада, Устя-Зеленська сільська рада, Чехівська сільська рада, Швейківська сільська рада, Яргорівська сільська рада</t>
  </si>
  <si>
    <t>Нагірянська територіальна громада</t>
  </si>
  <si>
    <t>Нагірянка</t>
  </si>
  <si>
    <t>Нагірянська сільська рада, Заболотівська сільська рада, Капустинська сільська рада, Милівецька сільська рада, Мухавська сільська рада, Сосулівська сільська рада, Староягільницька сільська рада, Улашківська сільська рада, Шульганівська сільська рада, Ягільницька сільська рада</t>
  </si>
  <si>
    <t>Скала-Подільська територіальна громада</t>
  </si>
  <si>
    <t>Скала-Подільська селищна рада, Іванківська сільська рада, Бурдяківська сільська рада, Гуштинська сільська рада, Лосяцька сільська рада, Ниврянська сільська рада, Турильченська сільська рада</t>
  </si>
  <si>
    <t>Товстенська територіальна громада</t>
  </si>
  <si>
    <t>Товстенська селищна рада, Буряківська сільська рада, Ворвулинська сільська рада, Головчинська сільська рада, Дорогичівська сільська рада, Кошилівська сільська рада, Лисівська сільська рада, Литячівська сільська рада, Нирківська сільська рада, Подільська сільська рада, Садківська сільська рада, Слобідська сільська рада, Солоненська сільська рада, Устечківська сільська рада, Хмелівська сільська рада, Шипівецька сільська рада, Шутроминська сільська рада, Свидівська сільська рада</t>
  </si>
  <si>
    <t>Трибухівська територіальна громада</t>
  </si>
  <si>
    <t>Трибухівська сільська рада, Медведівська сільська рада, Пилявська сільська рада, Пишківська сільська рада, Цвітівська сільська рада</t>
  </si>
  <si>
    <t>Хоростківська територіальна громада</t>
  </si>
  <si>
    <t>Хоростківська міська рада, Клювинська сільська рада, Перемилівська сільська рада, Сороківська сільська рада, Увислівська сільська рада, Хлопівська сільська рада, Великоговилівська сільська рада</t>
  </si>
  <si>
    <t>Чортківська територіальна громада</t>
  </si>
  <si>
    <t>Чортків</t>
  </si>
  <si>
    <t>Чортківська міська рада, Бичківська сільська рада, Білівська сільська рада, Горішньовигнанська сільська рада, Пастушівська сільська рада, Росохацька сільська рада, Скородинська сільська рада</t>
  </si>
  <si>
    <t>Харківська область</t>
  </si>
  <si>
    <t>Ізюмський район</t>
  </si>
  <si>
    <t>Ізюмська територіальна громада</t>
  </si>
  <si>
    <t>Ізюм</t>
  </si>
  <si>
    <t>Ізюмська міська рада, Бригадирівська сільська рада, Кам’янська сільська рада, Левківська сільська рада</t>
  </si>
  <si>
    <t>Балаклійська територіальна громада</t>
  </si>
  <si>
    <t>Балаклія</t>
  </si>
  <si>
    <t>Балаклійська міська рада, Асіївська сільська рада, Борщівська сільська рада, Бригадирівська сільська рада, Вербівська сільська рада, Гусарівська сільська рада, Лозовеньківська сільська рада, Міловська сільська рада, Петрівська сільська рада, Протопопівська сільська рада, Чепільська сільська рада, Червоногусарівська сільська рада, Шевелівська сільська рада, Яковенківська сільська рада, Волохово-Ярська сільська рада</t>
  </si>
  <si>
    <t>Барвінківська територіальна громада</t>
  </si>
  <si>
    <t>Барвінкове</t>
  </si>
  <si>
    <t>Барвінківська міська рада, Іванівська сільська рада, Григорівська сільська рада, Іванівська Друга сільська рада, Іллічівська сільська рада, Богодарівська сільська рада, Великокомишуваська сільська рада, Гаврилівська сільська рада, Грушуваська сільська рада, Мечебилівська сільська рада, Новомиколаївська сільська рада, Гусарівська сільська рада, Подолівська сільська рада</t>
  </si>
  <si>
    <t>Борівська територіальна громада</t>
  </si>
  <si>
    <t>Борова</t>
  </si>
  <si>
    <t>Борівська селищна рада, Ізюмська сільська рада, Богуславська сільська рада, Вищесолоненська сільська рада, Гороховатська сільська рада, Першотравнева сільська рада, Підвисочанська сільська рада, Підлиманська сільська рада, Піско-Радьківська сільська рада, Чернещинська сільська рада</t>
  </si>
  <si>
    <t>Донецька територіальна громада</t>
  </si>
  <si>
    <t>Донецька селищна рада, Андріївська селищна рада, Пришибська сільська рада, П’ятигірська сільська рада, Шебелинська сільська рада</t>
  </si>
  <si>
    <t>Куньєвська територіальна громада</t>
  </si>
  <si>
    <t>Куньє</t>
  </si>
  <si>
    <t>Куньєвська сільська рада, Іванчуківська сільська рада, Бугаївська сільська рада, Олександрівська сільська рада, Чистоводівська сільська рада</t>
  </si>
  <si>
    <t>Оскільська територіальна громада</t>
  </si>
  <si>
    <t>Оскільська сільська рада, Бражківська сільська рада, Вірнопільська сільська рада, Довгеньківська сільська рада, Заводська сільська рада, Капитолівська сільська рада, Комарівська сільська рада, Малокомишуваська сільська рада, Студенокська сільська рада</t>
  </si>
  <si>
    <t>Савинська територіальна громада</t>
  </si>
  <si>
    <t>Савинці</t>
  </si>
  <si>
    <t>Савинська селищна рада, Веселівська сільська рада, Вишнівська сільська рада, Залиманська сільська рада, Морозівська сільська рада</t>
  </si>
  <si>
    <t>Богодухівський район</t>
  </si>
  <si>
    <t>Богодухівська територіальна громада</t>
  </si>
  <si>
    <t>Богодухів</t>
  </si>
  <si>
    <t>Богодухівська міська рада, Гутянська селищна рада, Дмитрівська сільська рада, Шарівська селищна рада, Івано-Шийчинська сільська рада, Вікторівська сільська рада, Вінницько-Іванівська сільська рада, Губарівська сільська рада, Забродівська сільська рада, Зарябинська сільська рада, Кленівська сільська рада, Крисинська сільська рада, Куп’єваська сільська рада, Олександрівська сільська рада, Павлівська сільська рада, Петропавлівська сільська рада, Полково-Микитівська сільська рада, Сазоно-Баланівська сільська рада, Степнянська сільська рада, Сухининська сільська рада, Сіннянська сільська рада, Улянівська сільська рада, Хрущово-Микитівська сільська рада</t>
  </si>
  <si>
    <t>Валківська територіальна громада</t>
  </si>
  <si>
    <t>Валки</t>
  </si>
  <si>
    <t>Валківська міська рада, Ков’язька селищна рада, Олександрівська сільська рада, Старомерчицька селищна рада, Баранівська сільська рада, Благодатненська сільська рада, Високопільська сільська рада, Гонтово-Ярська сільська рада, Заміська сільська рада, Кобзарівська сільська рада, Костівська сільська рада, Мельниківська сільська рада, Минківська сільська рада, Новомерчицька сільська рада, Огульцівська сільська рада, Перекіпська сільська рада, Сидоренківська сільська рада, Сніжківська сільська рада, Черемушнянська сільська рада, Шарівська сільська рада</t>
  </si>
  <si>
    <t>Золочівська селищна рада, Калиновецька сільська рада, Великорогозянська сільська рада, Гур’єво-Козачанська сільська рада, Довжицька сільська рада, Лютівська сільська рада, Малорогозянська сільська рада, Одноробівська Перша сільська рада, Одноробівська сільська рада, Олександрівська сільська рада, Писарівська сільська рада, Світличненська сільська рада, Удянська сільська рада, Феськівська сільська рада</t>
  </si>
  <si>
    <t>Коломацька селищна рада, Покровська сільська рада, Різуненківська сільська рада, Шелестівська сільська рада, Шляхівська сільська рада</t>
  </si>
  <si>
    <t>Краснокутська територіальна громада</t>
  </si>
  <si>
    <t>Краснокутськ</t>
  </si>
  <si>
    <t>Краснокутська селищна рада, Костянтинівська селищна рада, В’язівська сільська рада, Каплунівська сільська рада, Качалівська сільська рада, Китченківська сільська рада, Козіївська сільська рада, Колонтаївська сільська рада, Любівська сільська рада, Мурафська сільська рада, Олексіївська сільська рада, Пархомівська сільська рада, Рябоконівська сільська рада</t>
  </si>
  <si>
    <t>Красноградський район</t>
  </si>
  <si>
    <t>Зачепилівська територіальна громада</t>
  </si>
  <si>
    <t>Зачепилівська селищна рада, Бердянська сільська рада, Забаринська сільська рада, Леб’язька сільська рада, Малоорчицька сільська рада, Миколаївська сільська рада, Новомажарівська сільська рада, Руновщинська сільська рада, Сомівська сільська рада, Чернещинська сільська рада</t>
  </si>
  <si>
    <t>Кегичівська територіальна громада</t>
  </si>
  <si>
    <t>Кегичівка</t>
  </si>
  <si>
    <t>Кегичівська селищна рада, Слобожанська селищна рада, Андріївська сільська рада, Бесарабівська сільська рада, Власівська сільська рада, Вовківська сільська рада, Красненська сільська рада, Лозівська сільська рада, Мажарська сільська рада, Медведівська сільська рада, Новопарафіївська сільська рада, Павлівська сільська рада, Парасковіївська сільська рада, Розсохуватська сільська рада, Рояківська сільська рада, Шляхівська сільська рада</t>
  </si>
  <si>
    <t>Красноградська територіальна громада</t>
  </si>
  <si>
    <t>Красноград</t>
  </si>
  <si>
    <t>Красноградська міська рада, Іванівська сільська рада, Кирилівська сільська рада, Ленінська сільська рада, Миколо-Комишуватська сільська рада, Піщанська сільська рада, Хрестищенська сільська рада</t>
  </si>
  <si>
    <t>Наталинська територіальна громада</t>
  </si>
  <si>
    <t>Наталинська сільська рада, Володимирівська сільська рада, Кобзівська сільська рада, Мартинівська сільська рада, Петрівська сільська рада, Попівська сільська рада, Соснівська сільська рада</t>
  </si>
  <si>
    <t>Сахновщинська територіальна громада</t>
  </si>
  <si>
    <t>Сахновщина</t>
  </si>
  <si>
    <t>Сахновщинська селищна рада, Аполлонівська сільська рада, Багаточернещинська сільська рада, Великобучківська сільська рада, Володимирівська сільська рада, Дар-Надеждинська сільська рада, Дубовогрядська сільська рада, Катеринівська сільська рада, Лебедівська сільська рада, Лигівська сільська рада, Новочернещинська сільська рада, Новоолександрівська сільська рада, Огіївська сільська рада, Олійниківська сільська рада, Тавежнянська сільська рада, Шевченківська сільська рада</t>
  </si>
  <si>
    <t>Старовірівська територіальна громада</t>
  </si>
  <si>
    <t>Старовірівська сільська рада, Караванська сільська рада, Мелихівська сільська рада, Охоченська сільська рада, Станичненська сільська рада</t>
  </si>
  <si>
    <t>Куп’янський район</t>
  </si>
  <si>
    <t>Великобурлуцька територіальна громада</t>
  </si>
  <si>
    <t>Великобурлуцька селищна рада, Гнилицька сільська рада, Гнилицька Перша сільська рада, Григорівська сільська рада, Андріївська сільська рада, Катеринівська сільська рада, Малобурлуцька сільська рада, Новоолександрівська сільська рада, Підсереднянська сільська рада, Хатнянська сільська рада, Червонохвильська сільська рада, Шипуватська сільська рада</t>
  </si>
  <si>
    <t>Вільхуватська територіальна громада</t>
  </si>
  <si>
    <t>Вільхуватка</t>
  </si>
  <si>
    <t>Вільхуватська сільська рада, Приколотнянська селищна рада, Міловська сільська рада, Рубленська сільська рада, Федорівська сільська рада, Чорненська сільська рада</t>
  </si>
  <si>
    <t>Дворічанська територіальна громада</t>
  </si>
  <si>
    <t>Дворічна</t>
  </si>
  <si>
    <t>Дворічанська селищна рада, Вільшанська сільська рада, Кам’янська сільська рада, Колодязненська сільська рада, Кутьківська сільська рада, Лиманська Друга сільська рада, Миколаївська сільська рада, Петро-Іванівська сільська рада, Рідкодубівська сільська рада, Тавільжанська сільська рада, Токарівська сільська рада, Пісківська сільська рада</t>
  </si>
  <si>
    <t>Куп'янська територіальна громада</t>
  </si>
  <si>
    <t>Куп’янськ</t>
  </si>
  <si>
    <t>Куп’янська міська рада, Петропавлівська сільська рада, Петрівська сільська рада, Пристінська сільська рада</t>
  </si>
  <si>
    <t>Курилівська територіальна громада</t>
  </si>
  <si>
    <t>Курилівська сільська рада, Глушківська сільська рада, Кругляківська сільська рада, Лісностінківська сільська рада, Сеньківська сільська рада</t>
  </si>
  <si>
    <t>Кіндрашівська територіальна громада</t>
  </si>
  <si>
    <t>Кіндрашівська сільська рада, Вишнівська сільська рада, Грушівська сільська рада, Гусинська сільська рада, Моначинівська сільська рада, Нечволодівська сільська рада, Просянська сільська рада, Смородьківська сільська рада</t>
  </si>
  <si>
    <t>Кислівська сільська рада, Піщанська сільська рада, Ягідненська сільська рада, КОАТУУ: 6323785503), КОАТУУ: 6323785502)</t>
  </si>
  <si>
    <t>Шевченкове</t>
  </si>
  <si>
    <t>Шевченківська селищна рада, Аркадівська сільська рада, Безм’ятежненська сільська рада, Березівська сільська рада, Борівська сільська рада, Василенківська сільська рада, Великохутірська сільська рада, Волоськобалаклійська сільська рада, Гетьманівська сільська рада, Нижньобурлуцька сільська рада, Новомиколаївська сільська рада, Петропільська сільська рада, Петрівська сільська рада, Семенівська сільська рада, Сподобівська сільська рада, Старовірівська сільська рада</t>
  </si>
  <si>
    <t>Лозівський район</t>
  </si>
  <si>
    <t>Близнюківська територіальна громада</t>
  </si>
  <si>
    <t>Близнюки</t>
  </si>
  <si>
    <t>Близнюківська селищна рада, Лукашівська сільська рада, Самійлівська сільська рада, Софіївська сільська рада, Алісівська сільська рада, Башилівська сільська рада, Берестівська сільська рада, Бурбулатівська сільська рада, Верхньосамарська сільська рада, Вишнева сільська рада, Добровільська сільська рада, Квітнева сільська рада, Криштопівська сільська рада, Надеждинська сільська рада, Новонадеждинська сільська рада, Новоукраїнська сільська рада, Олексіївська сільська рада, Острівщинська сільська рада, Семенівська сільська рада, Уплатнівська сільська рада</t>
  </si>
  <si>
    <t>Суданка</t>
  </si>
  <si>
    <t>Суданська сільська рада, Верхньоорільська сільська рада, Дмитрівська сільська рада, Закутнівська сільська рада, Красненська сільська рада, Миронівська сільська рада, Роздольська сільська рада</t>
  </si>
  <si>
    <t>Лозівська територіальна громада</t>
  </si>
  <si>
    <t>Лозова</t>
  </si>
  <si>
    <t>Лозівська міська рада, Панютинська селищна рада, Краснопавлівська селищна рада, Орільська селищна рада, Єлизаветівська сільська рада, Артільна сільська рада, Бунаківська сільська рада, Катеринівська сільська рада, Кінненська сільська рада, Миколаївська сільська рада, Миролюбівська сільська рада, Надеждівська сільська рада, Новоіванівська сільська рада, Павлівська Друга сільська рада, Перемозька сільська рада, Плисівська сільська рада, Садівська сільська рада, Смирнівська сільська рада, Тихопільська сільська рада, Царедарівська сільська рада, Чернігівська сільська рада, Шатівська сільська рада, Яковлівська сільська рада, Домаська сільська рада</t>
  </si>
  <si>
    <t>Олексіївська територіальна громада</t>
  </si>
  <si>
    <t>Олексіївська сільська рада, Єфремівська сільська рада, Берецька сільська рада, Верхньобишкинська сільська рада, Картамиська сільська рада, Киселівська сільська рада, Михайлівська сільська рада, Одрадівська сільська рада, Слобідська сільська рада</t>
  </si>
  <si>
    <t>Первомайський</t>
  </si>
  <si>
    <t>Первомайська міська рада, Грушинська сільська рада, Ржавчицька сільська рада</t>
  </si>
  <si>
    <t>Харківський район</t>
  </si>
  <si>
    <t>Безлюдівська територіальна громада</t>
  </si>
  <si>
    <t>Безлюдівка</t>
  </si>
  <si>
    <t>Безлюдівська селищна рада, Васищівська селищна рада, Комунарська сільська рада, Хорошівська селищна рада, Лизогубівська сільська рада</t>
  </si>
  <si>
    <t>Височанська територіальна громада</t>
  </si>
  <si>
    <t>Високий</t>
  </si>
  <si>
    <t>Височанська селищна рада, Бабаївська селищна рада, Покотилівська селищна рада, КОАТУУ: 6325185503)</t>
  </si>
  <si>
    <t>Вільхівська територіальна громада</t>
  </si>
  <si>
    <t>Вільхівка</t>
  </si>
  <si>
    <t>Вільхівська сільська рада, Малороганська сільська рада, КОАТУУ: 6325157309), КОАТУУ: 6325157302), КОАТУУ: 6325157303), КОАТУУ: 6325157311), КОАТУУ: 6325157308), КОАТУУ: 6325157313), КОАТУУ: 6325157307), КОАТУУ: 6325157301), КОАТУУ: 6325157312)</t>
  </si>
  <si>
    <t>Дергачівська територіальна громада</t>
  </si>
  <si>
    <t>Дергачі</t>
  </si>
  <si>
    <t>Дергачівська міська рада, Козачолопанська селищна рада, Прудянська селищна рада, Слатинська селищна рада, Безруківська сільська рада, Токарівська сільська рада, Проходівська сільська рада, Русько-Лозівська сільська рада</t>
  </si>
  <si>
    <t>Липецька територіальна громада</t>
  </si>
  <si>
    <t>Липці</t>
  </si>
  <si>
    <t>Липецька сільська рада, Веселівська сільська рада, Глибоківська сільська рада, Лук’янцівська сільська рада, Жовтнева сільська рада, Тернівська сільська рада</t>
  </si>
  <si>
    <t>Люботинська територіальна громада</t>
  </si>
  <si>
    <t>Люботин</t>
  </si>
  <si>
    <t>Люботинська міська рада, Манченківська селищна рада</t>
  </si>
  <si>
    <t>Малоданилівська територіальна громада</t>
  </si>
  <si>
    <t>Малоданилівська селищна рада, Черкасько-Лозівська сільська рада</t>
  </si>
  <si>
    <t>Мереф'янська територіальна громада</t>
  </si>
  <si>
    <t>Мереф’янська міська рада, Утківська селищна рада, Яковлівська сільська рада</t>
  </si>
  <si>
    <t>Нововодолазька територіальна громада</t>
  </si>
  <si>
    <t>Нововодолазька селищна рада, Бірківська селищна рада, Ордівська сільська рада, Ватутінська сільська рада, Знам'янська сільська рада, Одринська сільська рада, Просянська сільська рада, Рокитненська сільська рада, Сосонівська сільська рада, Староводолазька сільська рада, Бірківська сільська рада</t>
  </si>
  <si>
    <t>Південноміська територіальна громада</t>
  </si>
  <si>
    <t>Південне</t>
  </si>
  <si>
    <t>Південноміська рада, Будянська селищна рада</t>
  </si>
  <si>
    <t>Пісочинська територіальна громада</t>
  </si>
  <si>
    <t>Пісочинська селищна рада, Березівська селищна рада, Коротичанська селищна рада</t>
  </si>
  <si>
    <t>Роганська територіальна громада</t>
  </si>
  <si>
    <t>Роганська селищна рада, Пономаренківська сільська рада</t>
  </si>
  <si>
    <t>Солоницівська територіальна громада</t>
  </si>
  <si>
    <t>Солоницівка</t>
  </si>
  <si>
    <t>Солоницівська селищна рада, Вільшанська селищна рада, Пересічанська селищна рада, Полівська сільська рада, Протопопівська сільська рада</t>
  </si>
  <si>
    <t>Харківська територіальна громада</t>
  </si>
  <si>
    <t>Харків</t>
  </si>
  <si>
    <t>Кулиничівська селищна рада, Харківська міська рада</t>
  </si>
  <si>
    <t>Циркунівська територіальна громада</t>
  </si>
  <si>
    <t>Циркунівська сільська рада, Русько-Тишківська сільська рада</t>
  </si>
  <si>
    <t>Чугуївський район</t>
  </si>
  <si>
    <t>Вовчанська територіальна громада</t>
  </si>
  <si>
    <t>Вовчанськ</t>
  </si>
  <si>
    <t>Вовчанська міська рада, Білоколодязька селищна рада, Вільчанська селищна рада, Іванівська сільська рада, Жовтнева Друга сільська рада, Вовчансько-Хутірська сільська рада, Волохівська сільська рада, Гатищенська сільська рада, Землянська сільська рада, Котівська сільська рада, Нестернянська сільська рада, Новоолександрівська сільська рада, Охрімівська сільська рада, Петропавлівська сільська рада, Пільнянська сільська рада, Революційна сільська рада, Рубіжненська сільська рада, Різниківська сільська рада, Старицька сільська рада, Червоноармійська Перша сільська рада, Юрченківська сільська рада</t>
  </si>
  <si>
    <t>Зміївська територіальна громада</t>
  </si>
  <si>
    <t>Зміїв</t>
  </si>
  <si>
    <t>Зміївська міська рада, Зідьківська селищна рада, Борівська сільська рада, Великогомільшанська сільська рада, Задонецька сільська рада, Соколівська сільська рада, Таранівська сільська рада, Тимченківська сільська рада, Чемужівська сільська рада</t>
  </si>
  <si>
    <t>Малинівська селищна рада, Мосьпанівська сільська рада, Старогнилицька сільська рада</t>
  </si>
  <si>
    <t>Новопокровка</t>
  </si>
  <si>
    <t>Новопокровська селищна рада, Есхарівська селищна рада, Введенська селищна рада, Старопокровська сільська рада</t>
  </si>
  <si>
    <t>Печенізька територіальна громада</t>
  </si>
  <si>
    <t>Печеніги</t>
  </si>
  <si>
    <t>Печенізька селищна рада, Артемівська сільська рада, Борщівська сільська рада, Мартівська сільська рада, Новобурлуцька сільська рада</t>
  </si>
  <si>
    <t>Слобожанське (Комсомольське)</t>
  </si>
  <si>
    <t>Комсомольська селищна рада, Геніївська сільська рада, Лиманська сільська рада, Нижньобишкинська сільська рада, Скрипаївська сільська рада, Шелудьківська сільська рада</t>
  </si>
  <si>
    <t>Старосалтівська територіальна громада</t>
  </si>
  <si>
    <t>Старосалтівська селищна рада, Гонтарівська сільська рада, Кирилівська сільська рада, Молодівська сільська рада, Хотімлянська сільська рада, Шестаківська сільська рада</t>
  </si>
  <si>
    <t>Чкаловська селищна рада, Іванівська сільська рада, Базаліївська сільська рада, Граківська сільська рада, Коробочкинська сільська рада, Леб’язька сільська рада, Юрченківська сільська рада</t>
  </si>
  <si>
    <t>Чугуївська територіальна громада</t>
  </si>
  <si>
    <t>Чугуїв</t>
  </si>
  <si>
    <t>Кочетоцька селищна рада, Чугуївська міська рада, Великобабчанська сільська рада, Зарожненська сільська рада, Кам’яноярузька сільська рада</t>
  </si>
  <si>
    <t>Херсонська область</t>
  </si>
  <si>
    <t>Бериславський район</t>
  </si>
  <si>
    <t>Бериславська територіальна громада</t>
  </si>
  <si>
    <t>Берислав</t>
  </si>
  <si>
    <t>Бериславська міська рада, Зміївська сільська рада, Новобериславська сільська рада, Раківська сільська рада, Томаринська сільська рада, Урожайненська сільська рада, Шляхівська сільська рада</t>
  </si>
  <si>
    <t>Борозенська територіальна громада</t>
  </si>
  <si>
    <t>Борозенська сільська рада, Новокубанська сільська рада, Чарівненська сільська рада</t>
  </si>
  <si>
    <t>Великоолександрівська територіальна громада</t>
  </si>
  <si>
    <t>Велика Олександрівка</t>
  </si>
  <si>
    <t>Великоолександрівська селищна рада, Білокриницька селищна рада, Брускинська сільська рада, Білоусівська сільська рада, Давидово-Брідська сільська рада, Малоолександрівська сільська рада, Новокалузька сільська рада, Новодмитрівська сільська рада, Новопавлівська сільська рада, Старосільська сільська рада, Трифонівська сільська рада, Чкаловська сільська рада</t>
  </si>
  <si>
    <t>Високопільська територіальна громада</t>
  </si>
  <si>
    <t>Високопільська селищна рада, Архангельська селищна рада, Іванівська сільська рада, Зарічненська сільська рада, Малошестірнянська сільська рада, Нововознесенська сільська рада, Новомиколаївська сільська рада, Новопетрівська сільська рада</t>
  </si>
  <si>
    <t>Калінінське</t>
  </si>
  <si>
    <t>Калинівська селищна рада, Благодатівська сільська рада, Бобровокутська сільська рада</t>
  </si>
  <si>
    <t>Кочубеївська територіальна громада</t>
  </si>
  <si>
    <t>23.07.2015</t>
  </si>
  <si>
    <t>Кочубеївська сільська рада, Заградівська сільська рада, Орлівська сільська рада, Пригір’ївська сільська рада</t>
  </si>
  <si>
    <t>Милівська територіальна громада</t>
  </si>
  <si>
    <t>Милівська сільська рада, Качкарівська сільська рада, Новокаїрська сільська рада, Новокам’янська сільська рада, Дудчанська сільська рада</t>
  </si>
  <si>
    <t>Нововоронцовська територіальна громада</t>
  </si>
  <si>
    <t>Нововоронцовка</t>
  </si>
  <si>
    <t>Нововоронцовська селищна рада, Любимівська сільська рада, Миролюбівська сільська рада, Нововоскресенська сільська рада, Осокорівська сільська рада, Хрещенівська сільська рада</t>
  </si>
  <si>
    <t>Новоолександрівка</t>
  </si>
  <si>
    <t>Новоолександрівська сільська рада, Біляївська сільська рада, Гаврилівська сільська рада, Золотобалківська сільська рада, Михайлівська сільська рада, Петропавлівська сільська рада</t>
  </si>
  <si>
    <t>Новорайська територіальна громада</t>
  </si>
  <si>
    <t>Новорайська сільська рада, Максимо-Горьківська сільська рада, Степнянська сільська рада, Червономаяцька сільська рада</t>
  </si>
  <si>
    <t>Тягинська територіальна громада</t>
  </si>
  <si>
    <t>Тягинка</t>
  </si>
  <si>
    <t>Тягинська сільська рада, Бургунська сільська рада, Високівська сільська рада, Львівська сільська рада, Одрадокам'янська сільська рада, Ольгівська сільська рада</t>
  </si>
  <si>
    <t>Генічеський район</t>
  </si>
  <si>
    <t>Іванівська селищна рада, Фрунзенська сільська рада, Балашівська сільська рада, Благодатненська сільська рада, Воскресенська сільська рада, Дружбівська сільська рада, Любимівська сільська рада, Нововасилівська сільська рада, Новодмитрівська сільська рада, Новомиколаївська сільська рада, Новосеменівська сільська рада, Першотравнева сільська рада, Трохимівська сільська рада, Українська сільська рада, Шотівська сільська рада</t>
  </si>
  <si>
    <t>Генічеська територіальна громада</t>
  </si>
  <si>
    <t>Генічеськ</t>
  </si>
  <si>
    <t>Генічеська міська рада, Новодмитрівська сільська рада, Новоолексіївська селищна рада, Партизанська селищна рада, Новогригорівська сільська рада, Новоіванівська сільська рада, Озерянська сільська рада, Павлівська сільська рада, Петрівська сільська рада, Плавська сільська рада, Привільненська сільська рада, Рівненська сільська рада, Сокологірненська сільська рада, Стокопанівська сільська рада, Стрілківська сільська рада, Фрунзенська сільська рада, Червонська сільська рада, Чонгарська сільська рада, Щасливцівська сільська рада, Щорсівська сільська рада</t>
  </si>
  <si>
    <t>Нижньосірогозька територіальна громада</t>
  </si>
  <si>
    <t>Нижні Сірогози</t>
  </si>
  <si>
    <t>Нижньосірогозька селищна рада, Анатолівська сільська рада, Братська сільська рада, Вербівська сільська рада, Верхньосірогозька сільська рада, Верхньоторгаївська сільська рада, Вільненська сільська рада, Дем’янівська сільська рада, Нижньоторгаївська сільська рада, Новоолександрівська сільська рада, Новопетрівська сільська рада, Першопокровська сільська рада, Степненська сільська рада, Сірогозька сільська рада</t>
  </si>
  <si>
    <t>Новотроїцька територіальна громада</t>
  </si>
  <si>
    <t>Новотроїцьке</t>
  </si>
  <si>
    <t>Новотроїцька селищна рада, Сиваська селищна рада, Василівська сільська рада, Володимиро-Іллінська сільська рада, Воскресенська сільська рада, Горностаївська сільська рада, Громівська сільська рада, Дивненська сільська рада, Зеленівська сільська рада, Новомиколаївська сільська рада, Новомихайлівська сільська рада, Новопокровська сільська рада, Одрадівська сільська рада, Олександрівська сільська рада, Подовська сільська рада, Сергіївська сільська рада, Сивашівська сільська рада, Федорівська сільська рада, Чкалівська сільська рада</t>
  </si>
  <si>
    <t>Каховський район</t>
  </si>
  <si>
    <t>Асканія-Нова територіальна громада</t>
  </si>
  <si>
    <t>Асканія-Нова селищна рада, Маркеєвська сільська рада, Хлібодарівська сільська рада</t>
  </si>
  <si>
    <t>Великолепетиська територіальна громада</t>
  </si>
  <si>
    <t>Велика Лепетиха</t>
  </si>
  <si>
    <t>Великолепетиська селищна рада, Катеринівська сільська рада, Князегригорівська сільська рада, Малолепетиська сільська рада</t>
  </si>
  <si>
    <t>Верхньорогачицька територіальна громада</t>
  </si>
  <si>
    <t>Верхній Рогачик</t>
  </si>
  <si>
    <t>Верхньорогачицька селищна рада, Бережанська сільська рада, Зеленівська сільська рада, Первомаївська сільська рада, Самійлівська сільська рада, Ушкальська сільська рада, Чистопільська сільська рада</t>
  </si>
  <si>
    <t>Горностаївська територіальна громада</t>
  </si>
  <si>
    <t>Горностаївська селищна рада, Великоблаговіщенська сільська рада, Заводівська сільська рада, Козаче-Лагерська сільська рада, Маринська сільська рада, Ольгинська сільська рада, Славненська сільська рада, Червоноблагодатненська сільська рада</t>
  </si>
  <si>
    <t>Зеленопідська територіальна громада</t>
  </si>
  <si>
    <t>Зеленопідська сільська рада, Слобідська сільська рада, Дмитрівська сільська рада, Костогризівська сільська рада, Семенівська сільська рада, Федорівська сільська рада</t>
  </si>
  <si>
    <t>Каховська територіальна громада</t>
  </si>
  <si>
    <t>Каховка</t>
  </si>
  <si>
    <t>Каховська міська рада, Коробківська сільська рада, Малокаховська сільська рада, Роздольненська сільська рада, Чорноморівська сільська рада</t>
  </si>
  <si>
    <t>Костянтинівська сільська рада, Антонівська сільська рада, Дубівська сільська рада, Червонополянська сільська рада</t>
  </si>
  <si>
    <t>Любимівська селищна рада, Василівська сільська рада</t>
  </si>
  <si>
    <t>Новокаховська територіальна громада</t>
  </si>
  <si>
    <t>19.10.2018</t>
  </si>
  <si>
    <t>Козацька селищна рада, Новокаховська міська рада, Дніпрянська селищна рада, Райська сільська рада, Веселівська сільська рада</t>
  </si>
  <si>
    <t>Присиваська територіальна громада</t>
  </si>
  <si>
    <t>Григорівська сільська рада, Іванівська сільська рада, Павлівська сільська рада, Строганівська сільська рада</t>
  </si>
  <si>
    <t>Рубанівська територіальна громада</t>
  </si>
  <si>
    <t>Рубанівка</t>
  </si>
  <si>
    <t>Рубанівська сільська рада, Демидівська сільська рада, Миколаївська сільська рада</t>
  </si>
  <si>
    <t>Тавричанська територіальна громада</t>
  </si>
  <si>
    <t>Тавричанська сільська рада, Волинська сільська рада, Дудчинська сільська рада, Заозерненська сільська рада</t>
  </si>
  <si>
    <t>Таврійська міська рада, Кам’янська сільська рада, Новокам’янська сільська рада, Чорнянська сільська рада</t>
  </si>
  <si>
    <t>Хрестівська територіальна громада</t>
  </si>
  <si>
    <t>Хрестівська сільська рада, Долинська сільська рада, Надеждівська сільська рада, Новонаталівська сільська рада, Шевченківська сільська рада</t>
  </si>
  <si>
    <t>Чаплинська територіальна громада</t>
  </si>
  <si>
    <t>Чаплинська селищна рада, Балтазарівська сільська рада, Кучерявоволодимирівська сільська рада, Магдалинівська сільська рада, Першокостянтинівська сільська рада, Преображенська сільська рада, Скадовська сільська рада, Червонополянська сільська рада</t>
  </si>
  <si>
    <t>Скадовський район</t>
  </si>
  <si>
    <t>Бехтерська територіальна громада</t>
  </si>
  <si>
    <t>Бехтерська сільська рада, Новофедорівська сільська рада, Чорноморська сільська рада, Збур’ївська сільська рада, Олексіївська сільська рада, Круглоозерська сільська рада</t>
  </si>
  <si>
    <t>Голопристанська територіальна громада</t>
  </si>
  <si>
    <t>Гола Пристань</t>
  </si>
  <si>
    <t>Голопристанська міська рада, Гладківська сільська рада, Великокардашинська сільська рада, Малокопанівський старостинський округ, Новозбур’ївська сільська рада, Старозбур’ївська сільська рада, Таврійська сільська рада</t>
  </si>
  <si>
    <t>Долматівська територіальна громада</t>
  </si>
  <si>
    <t>Долматівська сільська рада, Добропільська сільська рада, Нововолодимирівська сільська рада</t>
  </si>
  <si>
    <t>Каланчацька територіальна громада</t>
  </si>
  <si>
    <t>Каланчацька селищна рада, Гаврилівська сільська рада, Новокиївська сільська рада, Новоолександрівська сільська рада, Новопавлівська сільська рада, Олександрівська сільська рада, Олексіївська сільська рада, Привільська сільська рада, Роздольненська сільська рада, Хорлівська сільська рада, КОАТУУ: 6523584702)</t>
  </si>
  <si>
    <t>Лазурненська територіальна громада</t>
  </si>
  <si>
    <t>Лазурне</t>
  </si>
  <si>
    <t>Лазурненська селищна рада, Володимирівська сільська рада, Новософіївська сільська рада</t>
  </si>
  <si>
    <t>Мирненська селищна рада, Преображенська сільська рада</t>
  </si>
  <si>
    <t>Новомиколаївська сільська рада, Михайлівська сільська рада</t>
  </si>
  <si>
    <t>Скадовська територіальна громада</t>
  </si>
  <si>
    <t>місто Скадовськ</t>
  </si>
  <si>
    <t>Скадовська міська рада, Радгоспненська сільська рада, Антонівська сільська рада, Красненська сільська рада, Птахівська сільська рада, Приморська сільська рада, Таврійська сільська рада, Тарасівська сільська рада, Улянівська сільська рада, Шевченківська сільська рада, Широківська сільська рада</t>
  </si>
  <si>
    <t>Чулаківська територіальна громада</t>
  </si>
  <si>
    <t>Чулаківська сільська рада, Геройська сільська рада, Краснознам’янська сільська рада, Рибальчеська сільська рада, Садівська сільська рада</t>
  </si>
  <si>
    <t>Херсонський район</t>
  </si>
  <si>
    <t>Білозерська селищна рада, Дніпровська сільська рада, Кізомиська сільська рада, Миролюбівська сільська рада, Надеждівська сільська рада, Правдинська сільська рада, Томинобалківська сільська рада</t>
  </si>
  <si>
    <t>Великокопанівська територіальна громада</t>
  </si>
  <si>
    <t>Великокопанівська сільська рада, Абрикосівська сільська рада</t>
  </si>
  <si>
    <t>Виноградівська сільська рада, Брилівська селищна рада, Тарасівська сільська рада</t>
  </si>
  <si>
    <t>Дар’ївська територіальна громада</t>
  </si>
  <si>
    <t>Дар’ївка</t>
  </si>
  <si>
    <t>Дар’ївська сільська рада, Інгулецька сільська рада, Микільська сільська рада, Токарівська сільська рада, Федорівська сільська рада, Кіровська сільська рада</t>
  </si>
  <si>
    <t>Музиківська територіальна громада</t>
  </si>
  <si>
    <t>Музиківська сільська рада, Східненська сільська рада</t>
  </si>
  <si>
    <t>Олешківська територіальна громада</t>
  </si>
  <si>
    <t>Олешки</t>
  </si>
  <si>
    <t>Олешківська міська рада, Козачелагерська сільська рада, Костогризівська сільська рада, Підстепненська сільська рада, Раденська сільська рада, Солонцівська сільська рада</t>
  </si>
  <si>
    <t>Станіславська територіальна громада</t>
  </si>
  <si>
    <t>Станіславська сільська рада, Олександрівська сільська рада, Широкобалківська сільська рада</t>
  </si>
  <si>
    <t>Херсонська територіальна громада</t>
  </si>
  <si>
    <t>Херсон</t>
  </si>
  <si>
    <t>Херсонська міська рада, Антонівська селищна рада, Зеленівська селищна рада, Комишанська селищна рада, Наддніпрянська селищна рада, Степанівська сільська рада, Садівська сільська рада</t>
  </si>
  <si>
    <t>Чорнобаївська територіальна громада</t>
  </si>
  <si>
    <t>Чорнобаївка</t>
  </si>
  <si>
    <t>Чорнобаївська сільська рада, Петрівська сільська рада, Киселівська сільська рада, Посад-Покровська сільська рада</t>
  </si>
  <si>
    <t>Ювілейна територіальна громада</t>
  </si>
  <si>
    <t>Ювілейна сільська рада, Новомаячківська селищна рада, Подо-Калинівська сільська рада, Щасливська сільська рада</t>
  </si>
  <si>
    <t>Хмельницька область</t>
  </si>
  <si>
    <t>Кам’янець-Подільський район</t>
  </si>
  <si>
    <t>Гуківська територіальна громада</t>
  </si>
  <si>
    <t>Гуківська сільська рада, Жабинецька сільська рада, П’ятничанська сільська рада, Пукляківська сільська рада</t>
  </si>
  <si>
    <t>Гуменецька територіальна громада</t>
  </si>
  <si>
    <t>Гуменецька сільська рада, Абрикосівська сільська рада, Великозаліснянська сільська рада, Голосківська сільська рада, Думанівська сільська рада, Заліська Друга сільська рада, Нігинська сільська рада, Супрунковецька сільська рада, Циківська сільська рада</t>
  </si>
  <si>
    <t>Дунаєвецька територіальна громада</t>
  </si>
  <si>
    <t>Дунаєвецька міська рада, Іванковецька сільська рада, Великокужелівська сільська рада, Великопобіянська сільська рада, Великожванчицька сільська рада, Вихрівська сільська рада, Воробіївська сільська рада, Ганнівська сільська рада, Голозубинецька сільська рада, Гуто-Яцьковецька сільська рада, Гірчичнянська сільська рада, Дем’янковецька сільська рада, Держанівська сільська рада, Залісцівська сільська рада, Зеленченська сільська рада, Лисецька сільська рада, Малокужелівська сільська рада, Малопобіянська сільська рада, Миньковецька сільська рада, Нестеровецька сільська рада, Рахнівська сільська рада, Рачинецька сільська рада, Сиворогівська сільська рада, Сокілецька сільська рада, Січинецька сільська рада, Чаньківська сільська рада</t>
  </si>
  <si>
    <t>Жванецька територіальна громада</t>
  </si>
  <si>
    <t>Жванецька сільська рада, Гринчуцька сільська рада, Завальська сільська рада, Ластовецька сільська рада, Рудська сільська рада, Слобідсько-Рихтівська сільська рада, Сокільська сільська рада</t>
  </si>
  <si>
    <t>Закупненська територіальна громада</t>
  </si>
  <si>
    <t>Закупне</t>
  </si>
  <si>
    <t>Закупненська селищна рада, Івахновецька сільська рада, Вівсянська сільська рада, Вільховецька сільська рада, Голенищівська сільська рада, Гусятинська сільська рада, Кутковецька сільська рада</t>
  </si>
  <si>
    <t>Кам'янець-Подільська територіальна громада</t>
  </si>
  <si>
    <t>Кам’янець-Подільський</t>
  </si>
  <si>
    <t>Кам’янець-Подільська міська рада, Довжоцька сільська рада, Зіньковецька сільська рада, Колибаївська сільська рада, Рихтівська сільська рада, Ходоровецька сільська рада</t>
  </si>
  <si>
    <t>Китайгородська сільська рада, Дерев’янська сільська рада, Калачковецька сільська рада, Колодіївська сільська рада</t>
  </si>
  <si>
    <t>Маківська територіальна громада</t>
  </si>
  <si>
    <t>Маківська сільська рада, Чечельницька сільська рада, Михайлівська сільська рада</t>
  </si>
  <si>
    <t>Новодунаєвецька територіальна громада</t>
  </si>
  <si>
    <t>Дунаєвецька селищна рада, Тернівська сільська рада, Лошковецька сільська рада, Малокарабчіївська сільська рада, Малієвецька сільська рада, Морозівська сільська рада, Міцовецька сільська рада, Підлісномукарівська сільська рада, Ставищенська сільська рада, Тиннянська сільська рада, Томашівська сільська рада, Удріївська сільська рада</t>
  </si>
  <si>
    <t>Новоушицька територіальна громада</t>
  </si>
  <si>
    <t>Новоушицька селищна рада, Івашковецька сільська рада, Березівська сільська рада, Борсуківська сільська рада, Браїлівська сільська рада, Бучайська сільська рада, Вахновецька сільська рада, Вільховецька сільська рада, Глібівська сільська рада, Заміхівська сільська рада, Зеленокуриловецька сільська рада, Капустянська сільська рада, Косиківецька сільська рада, Куражинська сільська рада, Кучанська сільська рада, Малостружківська сільська рада, Отроківська сільська рада, Песецька сільська рада, Пилипохребтіївська сільська рада, Пилипковецька сільська рада, Ставчанська сільська рада, Струзька сільська рада</t>
  </si>
  <si>
    <t>Орининська територіальна громада</t>
  </si>
  <si>
    <t>Оринин</t>
  </si>
  <si>
    <t>Орининська сільська рада, Заліська сільська рада, Кадиєвецька сільська рада, Приворотська сільська рада, Підпилип’янська сільська рада, Шустовецька сільська рада</t>
  </si>
  <si>
    <t>Слобідсько-Кульчієвецька територіальна громада</t>
  </si>
  <si>
    <t>Слобідо-Кульчієвецька сільська рада, Врубловецька сільська рада, Кам’янська сільська рада, Княжпільська сільська рада, Кульчієвецька сільська рада, Пановецька сільська рада, Устянська сільська рада</t>
  </si>
  <si>
    <t>Смотрицька територіальна громада</t>
  </si>
  <si>
    <t>Смотрицька сільська рада, Балинська сільська рада, Лисогірська сільська рада, Рудська сільська рада, Старогутянська сільська рада</t>
  </si>
  <si>
    <t>Староушицька територіальна громада</t>
  </si>
  <si>
    <t>Староушицька селищна рада, Грушківська сільська рада, Крушанівська сільська рада, Нефедівська сільська рада, Подільська сільська рада, Чабанівська сільська рада</t>
  </si>
  <si>
    <t>Чемеровецька територіальна громада</t>
  </si>
  <si>
    <t>Чемеровецька селищна рада, Андріївська сільська рада, Бережанська сільська рада, Більська сільська рада, Вишнівчицька сільська рада, Жердянська сільська рада, Залучанська сільська рада, Зарічанська сільська рада, Кормильчанська сільська рада, Кочубіївська сільська рада, Красноставська сільська рада, Кугаєвецька сільська рада, Летавська сільська рада, Почапинецька сільська рада, Свіршковецька сільська рада, Слобідка-Смотрицька сільська рада, Сокиринецька сільська рада, Степанівська сільська рада, Хропотівська сільська рада, Чорнянська сільська рада, Шидловецька сільська рада, Юрковецька сільська рада, Ямпільчицька сільська рада</t>
  </si>
  <si>
    <t>Хмельницький район</t>
  </si>
  <si>
    <t>Антонінська територіальна громада</t>
  </si>
  <si>
    <t>Антонінська селищна рада, Васьківчицька сільська рада, Великомедведівська сільська рада, Великосалиська сільська рада, Великоорлинська сільська рада, Гриценківська сільська рада, Корчівська сільська рада, Кременчуківська сільська рада, Криворудська сільська рада, Севрюківська сільська рада, Терешківська сільська рада, Ледянська сільська рада</t>
  </si>
  <si>
    <t>Вовковинецька територіальна громада</t>
  </si>
  <si>
    <t>Вовковинецька селищна рада, Городищенська сільська рада, Гришковецька сільська рада, Згароцька сільська рада, Клопотівецька сільська рада, Коричинецька сільська рада, Майдан-Чернелівецька сільська рада, Радовецька сільська рада</t>
  </si>
  <si>
    <t>Волочиська територіальна громада</t>
  </si>
  <si>
    <t>Волочиська міська рада, Авратинська сільська рада, Богданівська сільська рада, Вочковецька сільська рада, Гарнишівська сільська рада, Зайчиківська сільська рада, Клининська сільська рада, Копачівська сільська рада, Користовецька сільська рада, Курилівська сільська рада, Маначинська сільська рада, Новогреблівська сільська рада, Ожиговецька сільська рада, Полянська сільська рада, Поповецька сільська рада, Рябіївська сільська рада, Соломянська сільська рада, Тарнорудська сільська рада, Федірківська сільська рада, Холодецька сільська рада, Чухелівська сільська рада, Щаснівська сільська рада, Яхновецька сільська рада</t>
  </si>
  <si>
    <t>Війтовецька територіальна громада</t>
  </si>
  <si>
    <t>Війтовецька селищна рада, Бокиївська сільська рада, Бронівська сільська рада, Завалійківська сільська рада, Зеленівська сільська рада, Кривачинецька сільська рада, Криштопівська сільська рада, Купільська сільська рада, Павликовецька сільська рада, Петриковецька сільська рада, Писарівська сільська рада, Порохнянська сільська рада, Сарнівська сільська рада, КОАТУУ: 6820985002), КОАТУУ: 6820980905), КОАТУУ: 6820985403), КОАТУУ: 6820981203), КОАТУУ: 6820987203)</t>
  </si>
  <si>
    <t>Віньковецька територіальна громада</t>
  </si>
  <si>
    <t>Віньківці</t>
  </si>
  <si>
    <t>Віньковецька селищна рада, Великоолександрівська сільська рада, Говорівська сільська рада, Дашковецька сільська рада, Женишковецька сільська рада, Зорянська сільська рада, Карачієвецька сільська рада, Майдано-Олександрівська сільська рада, Нетечинецька сільська рада, Осламівська сільська рада, Охрімовецька сільська рада, Петрашівська сільська рада, Пилипо-Олександрівська сільська рада, Яснозірська сільська рада</t>
  </si>
  <si>
    <t>Гвардійська територіальна громада</t>
  </si>
  <si>
    <t>Гвардійська сільська рада, Гелетинецька сільська рада, Жучковецька сільська рада, Райковецька сільська рада, Чабанівська сільська рада</t>
  </si>
  <si>
    <t>Городоцька міська рада, Бедриковецька сільська рада, Варовецька сільська рада, Великояромирська сільська рада, Великокарабчіївська сільська рада, Жищинецька сільська рада, Кремінянська сільська рада, Кузьминська сільська рада, Купинська сільська рада, Лісоводська сільська рада, Лісогірська сільська рада, Немиринецька сільська рада, Новопорічанська сільська рада, Новосвітська сільська рада, Остапковецька сільська рада, Підлісноолексинецька сільська рада, Пільноолексинецька сільська рада, Радковицька сільська рада, Скіпченська сільська рада, Старопісочнянська сільська рада, Хмелівська сільська рада, Чорниводська сільська рада</t>
  </si>
  <si>
    <t>Деражнянська територіальна громада</t>
  </si>
  <si>
    <t>Деражня</t>
  </si>
  <si>
    <t>Деражнянська міська рада, Лозівська селищна рада, Божиковецька сільська рада, Волоськівська сільська рада, Галузинецька сільська рада, Гатнянська сільська рада, Загінецька сільська рада, Зяньковецька сільська рада, Кальнянська сільська рада, Копачівська сільська рада, Коржовецька сільська рада, Мазниківська сільська рада, Маниковецька сільська рада, Нижнянська сільська рада, Новосілецька сільська рада, Пилипівська сільська рада, Шиїнецька сільська рада, Шпичинецька сільська рада, Яблунівська сільська рада, Явтухівська сільська рада, Яськовецька сільська рада</t>
  </si>
  <si>
    <t>Заслучненська територіальна громада</t>
  </si>
  <si>
    <t>Заслучненська сільська рада, Великозозулинецька сільська рада, Глібківська сільська рада, Котюржинецька сільська рада, Малоклітнянська сільська рада</t>
  </si>
  <si>
    <t>Зіньків</t>
  </si>
  <si>
    <t>Зіньківська сільська рада, Адамівська сільська рада, Грим’яцька сільська рада, Покутинецька сільська рада</t>
  </si>
  <si>
    <t>Красилівська територіальна громада</t>
  </si>
  <si>
    <t>Красилівська міська рада, Веселівська сільська рада, Волицька сільська рада, Воскодавинська сільська рада, Дружненська сільська рада, Западинська сільська рада, Заставківська сільська рада, Кульчинівська сільська рада, Кульчинківська сільська рада, Лагодинецька сільська рада, Манівецька сільська рада, Митинецька сільська рада, Печеська сільська рада, Чепелівська сільська рада, Чернелівська сільська рада, Яворовецька сільська рада</t>
  </si>
  <si>
    <t>Летичівська територіальна громада</t>
  </si>
  <si>
    <t>Летичівська селищна рада, Голенищівська сільська рада, Горбасівська сільська рада, Гречинецька сільська рада, Грушковецька сільська рада, Козачківська сільська рада, Кудинська сільська рада, Майдан-Вербецька сільська рада, Руднянська сільська рада, Сахнівська сільська рада, Снітівська сільська рада, Сусловецька сільська рада, Чаплянська сільська рада, Ялинівська сільська рада</t>
  </si>
  <si>
    <t>Лісовогринівецька територіальна громада</t>
  </si>
  <si>
    <t>Лісовогриновецька сільська рада, Аркадієвецька сільська рада, Гнатовецька сільська рада, Пашковецька сільська рада, Печеськівська сільська рада, Стуфчинецька сільська рада, Терешовецька сільська рада, Шпичинецька сільська рада, КОАТУУ: 6825082102)</t>
  </si>
  <si>
    <t>Меджибізька територіальна громада</t>
  </si>
  <si>
    <t>Меджибізька селищна рада, Волосовецька сільська рада, Голосківська сільська рада, Митковецька сільська рада, Требуховецька сільська рада, Шрубківська сільська рада, Ярославська сільська рада</t>
  </si>
  <si>
    <t>Миролюбненська територіальна громада</t>
  </si>
  <si>
    <t>Миролюбне</t>
  </si>
  <si>
    <t>Миролюбненська сільська рада, Ілляшівська сільська рада, Немиринецька сільська рада, Самчинецька сільська рада, Сковородківська сільська рада</t>
  </si>
  <si>
    <t>Наркевицька територіальна громада</t>
  </si>
  <si>
    <t>Наркевицька селищна рада, Бубнівська сільська рада, Дзеленецька сільська рада, Пахутинецька сільська рада, Трительницька сільська рада, Чернявська сільська рада, Шмирківська сільська рада</t>
  </si>
  <si>
    <t>Розсошанська територіальна громада</t>
  </si>
  <si>
    <t>Розсошанська сільська рада, Андрійковецька сільська рада, Малиницька сільська рада, Ружичанська сільська рада, Шумовецька сільська рада, Баламутівська сільська рада, Виноградівська сільська рада, Михайлівська сільська рада, Монастироцька сільська рада, Скаржинецька сільська рада</t>
  </si>
  <si>
    <t>Сатанівська територіальна громада</t>
  </si>
  <si>
    <t>Сатанівська селищна рада, Іванковецька сільська рада, Бубнівська сільська рада, Веселецька сільська рада, Кам’янська сільська рада, Клинівська сільська рада, Курівська сільська рада, Хоптинецька сільська рада, Юринецька сільська рада</t>
  </si>
  <si>
    <t>Солобковецька територіальна громада</t>
  </si>
  <si>
    <t>Солобковецька сільська рада, Глушковецька сільська рада, Проскурівська сільська рада, Стріховецька сільська рада, Тарасівська сільська рада</t>
  </si>
  <si>
    <t>Старокостянтинівська територіальна громада</t>
  </si>
  <si>
    <t>Старокостянтинів</t>
  </si>
  <si>
    <t>Старокостянтинівська міська рада, Іршиківська сільська рада, Баглаївська сільська рада, Березненська сільська рада, Великочернятинська сільська рада, Великомацевицька сільська рада, Вербородинська сільська рада, Веснянська сільська рада, Волице-Керекешинська сільська рада, Григорівська сільська рада, Губчанська сільська рада, Капустинська сільська рада, Огіївська сільська рада, Пашковецька сільська рада, Пеньківська сільська рада, Радковецька сільська рада, Решнівецька сільська рада, Самчиківська сільська рада, Сахновецька сільська рада, Стецьківська сільська рада, Росолівецька сільська рада</t>
  </si>
  <si>
    <t>Староостропільська територіальна громада</t>
  </si>
  <si>
    <t>Старий Остропіль</t>
  </si>
  <si>
    <t>Староостропільська сільська рада, Вишнопільська сільська рада, Коржівська сільська рада, Ладигівська сільська рада, Сербинівська сільська рада, Чорнянська сільська рада</t>
  </si>
  <si>
    <t>Старосинявська територіальна громада</t>
  </si>
  <si>
    <t>Старосинявська селищна рада, Івківська сільська рада, Адампільська сільська рада, Бабинська сільська рада, Заліссянська сільська рада, Заставецька сільська рада, Лисанівська сільська рада, Мшанецька сільська рада, Новосинявська сільська рада, Ожарівська сільська рада, Паплинецька сільська рада, Пасічнянська сільська рада, Пилявинська сільська рада, Пилявківська сільська рада, Сьомаківська сільська рада, Харковецька сільська рада, Цимбалівська сільська рада</t>
  </si>
  <si>
    <t>Теофіпольська територіальна громада</t>
  </si>
  <si>
    <t>Теофіполь</t>
  </si>
  <si>
    <t>Теофіпольська селищна рада, Базалійська селищна рада, Ільковецька сільська рада, Бережинецька сільська рада, Борщівська сільська рада, Великолазучинська сільська рада, Волицька сільська рада, Волиця-Польова сільська рада, Воронівецька сільська рада, Гаврилівська сільська рада, Гальчинецька сільська рада, Карабіївська сільська рада, Кунчанська сільська рада, Лідихівська сільська рада, Михиринецька сільська рада, Михнівська сільська рада, Новоставецька сільська рада, Олійницька сільська рада, Ординецька сільська рада, Поляхівська сільська рада, Святецька сільська рада, Турівська сільська рада, Човгузівська сільська рада, Шибенська сільська рада</t>
  </si>
  <si>
    <t>Хмельницька територіальна громада</t>
  </si>
  <si>
    <t>Хмельницький</t>
  </si>
  <si>
    <t>Хмельницька міська рада, Черепівківська сільська рада, Богдановецька сільська рада, Бахматовецька сільська рада, Водичківська сільська рада, Давидковецька сільська рада, Копистинська сільська рада, Малашовецька сільська рада, Масівецька сільська рада, Олешинська сільська рада, Пархомовецька сільська рада, Пироговецька сільська рада, Шаровечківська сільська рада</t>
  </si>
  <si>
    <t>Чорноострівська територіальна громада</t>
  </si>
  <si>
    <t>Чорноострівська селищна рада, Антонівська сільська рада, Везденецька сільська рада, Грузевицька сільська рада, Захаровецька сільська рада, Миколаївська сільська рада, Осташковецька сільська рада, Педосівська сільська рада, Рідкодубівська сільська рада, Ставчинецька сільська рада</t>
  </si>
  <si>
    <t>Щиборівська територіальна громада</t>
  </si>
  <si>
    <t>Щиборівка</t>
  </si>
  <si>
    <t>Щиборівська сільська рада, Кузьминська сільська рада, Михайловецька сільська рада</t>
  </si>
  <si>
    <t>Ярмолинецька територіальна громада</t>
  </si>
  <si>
    <t>Ярмолинці</t>
  </si>
  <si>
    <t>Ярмолинецька селищна рада, Антоновецька сільська рада, Баранівська сільська рада, Боднарівська сільська рада, Буйволовецька сільська рада, Вербецька сільська рада, Вербсько-Мурована сільська рада, Жилинецька сільська рада, Кадиївська сільська рада, Косогірська сільська рада, Москалівська сільська рада, Пасічнянська сільська рада, Правдівська сільська рада, Савинецька сільська рада, Соколівська сільська рада, Соснівська сільська рада, Сутковецька сільська рада, Томашівська сільська рада, Шарівська сільська рада, Ясенівська сільська рада</t>
  </si>
  <si>
    <t>Шепетівський район</t>
  </si>
  <si>
    <t>Ізяславська територіальна громада</t>
  </si>
  <si>
    <t>Ізяслав</t>
  </si>
  <si>
    <t>Ізяславська міська рада, Білівська сільська рада, Білогородська сільська рада, Білотинська сільська рада, Двірецька сільська рада, Завадинецька сільська рада, Клубівська сільська рада, Лютарська сільська рада, Мислятинська сільська рада, Михнівська сільська рада, Поліська сільська рада, Радошівська сільська рада, Ріпківська сільська рада, Сошненська сільська рада, Тишевицька сільська рада, Топорівська сільська рада, Щуровецька сільська рада</t>
  </si>
  <si>
    <t>Берездівська територіальна громада</t>
  </si>
  <si>
    <t>Берездівська сільська рада, Великоправутинська сільська рада, Горицька сільська рада, Дяківська сільська рада, Малоправутинська сільська рада, Манятинська сільська рада, Мирутинська сільська рада, Мухарівська сільська рада, Печиводська сільська рада, Піддубцівська сільська рада, Ставичанська сільська рада, Сьомаківська сільська рада, Хвощівська сільська рада</t>
  </si>
  <si>
    <t>Білогірська територіальна громада</t>
  </si>
  <si>
    <t>Білогірська селищна рада, Великоборовицька сільська рада, Вікнинська сільська рада, Вільшаницька сільська рада, Гулівецька сільська рада, Денисівська сільська рада, Залузька сільська рада, Йосиповецька сільська рада, Квітневська сільська рада, Коритненська сільська рада, Кур’янківська сільська рада, Малоборовицька сільська рада, Мокроволянська сільська рада, Перерослівська сільська рада, Семенівська сільська рада, Сивківська сільська рада, Ставищанська сільська рада, Сушовецька сільська рада, Хорошівська сільська рада, Юрівська сільська рада</t>
  </si>
  <si>
    <t>Ганнопільська територіальна громада</t>
  </si>
  <si>
    <t>Ганнопільська сільська рада, Великоскнитська сільська рада, Довжківська сільська рада, Киликіївська сільська рада, Клепачівська сільська рада, Малоскнитська сільська рада, Хоняківська сільська рада</t>
  </si>
  <si>
    <t>Грицівська територіальна громада</t>
  </si>
  <si>
    <t>Грицівська селищна рада, Великошкарівська сільська рада, Лотівська сільська рада, Рожичнянська сільська рада, Малошкарівська сільська рада, Микулинська сільська рада, Сасанівська сільська рада</t>
  </si>
  <si>
    <t>Крупецька сільська рада, Головлівська сільська рада, Лисиченська сільська рада, Полянська сільська рада</t>
  </si>
  <si>
    <t>Ленковецька територіальна громада</t>
  </si>
  <si>
    <t>Ленковецька сільська рада, Великорішнівська сільська рада, Вербовецька сільська рада, Коськівська сільська рада, Мокіївська сільська рада, Старобейзимська сільська рада, Чотирбоківська сільська рада</t>
  </si>
  <si>
    <t>Михайлюцька територіальна громада</t>
  </si>
  <si>
    <t>Михайлючка</t>
  </si>
  <si>
    <t>Михайлюцька сільська рада, Городнявська сільська рада, Корчицька сільська рада, Рилівська сільська рада</t>
  </si>
  <si>
    <t>Нетішинська територіальна громада</t>
  </si>
  <si>
    <t>Нетішин</t>
  </si>
  <si>
    <t>Нетішинська міська рада, Старокривинська сільська рада</t>
  </si>
  <si>
    <t>Плужненська територіальна громада</t>
  </si>
  <si>
    <t>Плужненська сільська рада, Борисівська сільська рада, Дертківська сільська рада, Кунівська сільська рада, М'якотівський старостинський округ Плужненської ОТГ, Шекеринецька сільська рада</t>
  </si>
  <si>
    <t>Полонська територіальна громада</t>
  </si>
  <si>
    <t>Полонська міська рада, Бражинецька сільська рада, Білецька сільська рада, Великоберезнянська сільська рада, Великокаленицька сільська рада, Воробіївська сільська рада, Котелянська сільська рада, Котюржинецька сільська рада, Кустовецька сільська рада, Новолабунська сільська рада, Новоселицька сільська рада, Онацьковецька сільська рада, Прислуцька сільська рада, Роговичівська сільська рада</t>
  </si>
  <si>
    <t>Понінківська територіальна громада</t>
  </si>
  <si>
    <t>Понінківська селищна рада, Буртинська сільська рада</t>
  </si>
  <si>
    <t>Сахновецька територіальна громада</t>
  </si>
  <si>
    <t>Сахновецька сільська рада, Великопузирківська сільська рада, Ліщанська сільська рада, Новосільська сільська рада, Теліжинецька сільська рада, Тернавська сільська рада, Христівська сільська рада</t>
  </si>
  <si>
    <t>Славутська територіальна громада</t>
  </si>
  <si>
    <t>18.09.2018</t>
  </si>
  <si>
    <t>Славутська міська рада, Варварівська сільська рада</t>
  </si>
  <si>
    <t>Судилківська територіальна громада</t>
  </si>
  <si>
    <t>Судилківська сільська рада, Вовківецька сільська рада, Городищенська сільська рада, Новичівська сільська рада, Серединецька сільська рада, Хролинська сільська рада</t>
  </si>
  <si>
    <t>Улашанівська територіальна громада</t>
  </si>
  <si>
    <t>Улашанівська сільська рада, Іванівська сільська рада, Бачманівська сільська рада, Волицька сільська рада, Жуківська сільська рада, Марачівська сільська рада, Миньковецька сільська рада, Ногачівська сільська рада, Хоровецька сільська рада, Цвітоська сільська рада</t>
  </si>
  <si>
    <t>Шепетівська територіальна громада</t>
  </si>
  <si>
    <t>Шепетівка</t>
  </si>
  <si>
    <t>Шепетівська міська рада, Плесенська сільська рада, Пліщинська сільська рада</t>
  </si>
  <si>
    <t>Ямпільська селищна рада, Воробіївська сільська рада, В’язовецька сільська рада, Довгалівська сільська рада, Миклашівська сільська рада</t>
  </si>
  <si>
    <t>Черкаська область</t>
  </si>
  <si>
    <t>Звенигородський район</t>
  </si>
  <si>
    <t>Єрківська територіальна громада</t>
  </si>
  <si>
    <t>Єрківська селищна рада, Радчиська сільська рада</t>
  </si>
  <si>
    <t>Бужанська територіальна громада</t>
  </si>
  <si>
    <t>Бужанська сільська рада, Жаб’янська сільська рада, Кам’янобрідська сільська рада, Погибляцька сільська рада, Тихонівська сільська рада, Яблунівська сільська рада</t>
  </si>
  <si>
    <t>Ватутінська територіальна громада</t>
  </si>
  <si>
    <t>Ватутіне</t>
  </si>
  <si>
    <t>Ватутінська міська рада, Стецівська сільська рада, Чичиркозівська сільська рада, Юрківська сільська рада</t>
  </si>
  <si>
    <t>Виноградська територіальна громада</t>
  </si>
  <si>
    <t>Виноградська сільська рада, Босівська сільська рада, Вотилівська сільська рада, Мар’янівська сільська рада, Рубаномостівська сільська рада, Ріпківська сільська рада, Федюківська сільська рада</t>
  </si>
  <si>
    <t>Водяницька територіальна громада</t>
  </si>
  <si>
    <t>Водяницька сільська рада, Кобиляцька сільська рада, Мизинівська сільська рада, Озірнянська сільська рада, Попівська сільська рада, Рижанівська сільська рада, Ризинська сільська рада, Чемериська сільська рада, Чижівська сільська рада, Шубиноставська сільська рада</t>
  </si>
  <si>
    <t>Вільшанська селищна рада, Вербівська сільська рада, Воронівська сільська рада, В’язівська сільська рада, Зеленодібрівська сільська рада, Петриківська сільська рада, Товстівська сільська рада</t>
  </si>
  <si>
    <t>Звенигородська територіальна громада</t>
  </si>
  <si>
    <t>Звенигородка</t>
  </si>
  <si>
    <t>Звенигородська міська рада, Багачівська сільська рада, Вільховецька сільська рада, Гудзівська сільська рада, Гусаківська сільська рада, Княжицька сільська рада, Козацька сільська рада, Моринська сільська рада, Неморозька сільська рада, Стебнівська сільська рада, Хлипнівська сільська рада</t>
  </si>
  <si>
    <t>Катеринопільська територіальна громада</t>
  </si>
  <si>
    <t>Катеринопіль</t>
  </si>
  <si>
    <t>Катеринопільська селищна рада, Бродецька сільська рада, Вербовецька сільська рада, Вікнинська сільська рада, Гончариська сільська рада, Гуляйпільська сільська рада, Кайтанівська сільська рада, Лисичобалківська сільська рада, Новоселицька сільська рада, Пальчиківська сільська рада, Петраківська сільська рада, Потоківська сільська рада, Розсохуватська сільська рада, Стійковська сільська рада, Шостаківська сільська рада, Ямпільська сільська рада</t>
  </si>
  <si>
    <t>Лип'янська територіальна громада</t>
  </si>
  <si>
    <t>Лип’янська сільська рада, Антонівська сільська рада, Веселокутська сільська рада, Кавунівська сільська рада, Маслівська сільська рада, Нечаєвська сільська рада, Ярославська сільська рада</t>
  </si>
  <si>
    <t>Лисянська територіальна громада</t>
  </si>
  <si>
    <t>Лисянська селищна рада, Боярська сільська рада, Будищенська сільська рада, Дашуківська сільська рада, Дібрівська сільська рада, Журжинецька сільська рада, Петрівсько-Попівська сільська рада, Писарівська сільська рада, Почапинська сільська рада, Семенівська сільська рада, Смільчинецька сільська рада, Хижинська сільська рада, Чаплинська сільська рада, Шестеринська сільська рада</t>
  </si>
  <si>
    <t>Матусівська територіальна громада</t>
  </si>
  <si>
    <t>Матусівська сільська рада, Станіславчицька сільська рада</t>
  </si>
  <si>
    <t>Мокрокалигірська територіальна громада</t>
  </si>
  <si>
    <t>Мокрокалигірська сільська рада, Єлизаветська сільська рада, Киселівська сільська рада, Ступичненська сільська рада, Сухокалигірська сільська рада, Ярошівська сільська рада</t>
  </si>
  <si>
    <t>Селищенська територіальна громада</t>
  </si>
  <si>
    <t>Селищенська сільська рада, Завадівська сільська рада, Квітчанська сільська рада, Кошмаківська сільська рада, Петрушківська сільська рада, Сухинівська сільська рада, Черепинська сільська рада, Журавська сільська рада</t>
  </si>
  <si>
    <t>Стеблівська територіальна громада</t>
  </si>
  <si>
    <t>Стеблівська селищна рада, Дацьківська сільська рада, Зарічанська сільська рада, Комарівська сільська рада, Сидорівська сільська рада, Шендерівська сільська рада</t>
  </si>
  <si>
    <t>Тальнівська територіальна громада</t>
  </si>
  <si>
    <t>Тальнівська міська рада, Білашківська сільська рада, Веселокутська сільська рада, Вишнопільська сільська рада, Глибочківська сільська рада, Гордашівська сільська рада, Заліська сільська рада, Здобутківська сільська рада, Зеленьківська сільська рада, Кобриново-Гребельська сільська рада, Кобринівська сільська рада, Колодистенська сільська рада, Корсунська сільська рада, Кривоколінська сільська рада, Лащівська сільська рада, Легедзинська сільська рада, Лоташівська сільська рада, Лісівська сільська рада, Майданецька сільська рада, Мошурівська сільська рада, Онопріївська сільська рада, Павлівська сільська рада, Папужинська сільська рада, Потаська сільська рада, Романівська сільська рада, Соколівоцька сільська рада, Тальянківська сільська рада, Шаулиська сільська рада</t>
  </si>
  <si>
    <t>Шевченківська сільська рада, Боровиківська сільська рада, Будищенська сільська рада, Пединівська сільська рада, Тарасівська сільська рада</t>
  </si>
  <si>
    <t>Шполянська територіальна громада</t>
  </si>
  <si>
    <t>Шполянська міська рада, Іскренська сільська рада, Буртівська сільська рада, Васильківська сільська рада, Водянська сільська рада, Журавська сільська рада, Капустинська сільська рада, Кримківська сільська рада, Лебединська сільська рада, Лозуватська сільська рада, Мар’янівська сільська рада, Надточаївська сільська рада, Сердегівська сільська рада, Сигнаївська сільська рада, Скотарівська сільська рада, Соболівська сільська рада, Терешківська сільська рада, Товмацька сільська рада, Топильнянська сільська рада</t>
  </si>
  <si>
    <t>Золотоніський район</t>
  </si>
  <si>
    <t>Іркліївська територіальна громада</t>
  </si>
  <si>
    <t>Іркліївська сільська рада, Васютинська сільська рада, Вереміївська сільська рада, Жовнинська сільська рада, Кліщинська сільська рада, Крутьківська сільська рада, Лихолітська сільська рада, Лящівська сільська рада, Мельниківська сільська рада, Москаленківська сільська рада, Першотравнева сільська рада, Придніпровська сільська рада, Ревбинська сільська рада, Староковрайська сільська рада, Степівська сільська рада, Тимченківська сільська рада</t>
  </si>
  <si>
    <t>Великохутірська територіальна громада</t>
  </si>
  <si>
    <t>Великохутірська сільська рада, Безбородьківська сільська рада, Рецюківщинська сільська рада, Рождественська сільська рада</t>
  </si>
  <si>
    <t>Вознесенське</t>
  </si>
  <si>
    <t>Вознесенська сільська рада, Богуславецька сільська рада, Привітненська сільська рада, Синьооківська сільська рада</t>
  </si>
  <si>
    <t>Гельмязівська територіальна громада</t>
  </si>
  <si>
    <t>Гельмязів</t>
  </si>
  <si>
    <t>Гельмязівська сільська рада, Богданівська сільська рада, Броварківська сільська рада, Калениківська сільська рада, Коврайська сільська рада, Коврайська Друга сільська рада, Плешканівська сільська рада, Підставківська сільська рада, Безпальчівська сільська рада</t>
  </si>
  <si>
    <t>Драбівська територіальна громада</t>
  </si>
  <si>
    <t>Драбівська селищна рада, Бойківщинська сільська рада, Білоусівська сільська рада, Драбово-Барятинська сільська рада, Жорнокльовівська сільська рада, Золотоношківська сільська рада, Криштопівська сільська рада, Левченківська сільська рада, Митлашівська сільська рада, Михайлівська сільська рада, Нехайківська сільська рада, Перервинцівська сільська рада</t>
  </si>
  <si>
    <t>Золотоніська територіальна громада</t>
  </si>
  <si>
    <t>Золотоноша</t>
  </si>
  <si>
    <t>Золотоніська міська рада, Благодатнівська сільська рада, Деньгівська сільська рада, Коробівська сільська рада, Кропивнянська сільська рада, Крупська сільська рада</t>
  </si>
  <si>
    <t>Зорівська територіальна громада</t>
  </si>
  <si>
    <t>Зорівська сільська рада, Кривоносівська сільська рада, Лукашівська сільська рада, Богданівська сільська рада, Вершинозгарська сільська рада, Мехедівська сільська рада</t>
  </si>
  <si>
    <t>Новодмитрівська територіальна громада</t>
  </si>
  <si>
    <t>Нова Дмитрівка</t>
  </si>
  <si>
    <t>Новодмитрівська сільська рада, Антипівська сільська рада, Вільхівська сільська рада, Дмитрівська сільська рада, Домантівська сільська рада, Драбівецька сільська рада, Ковтунівська сільська рада, Подільська сільська рада, Скориківська сільська рада</t>
  </si>
  <si>
    <t>Піщане</t>
  </si>
  <si>
    <t>Піщанська сільська рада, Бубнівсько-Слобідська сільська рада, Гладківщинська сільська рада, Софіївська сільська рада, Шабельниківська сільська рада</t>
  </si>
  <si>
    <t>Чорнобай</t>
  </si>
  <si>
    <t>Чорнобаївська селищна рада, Богодухівська сільська рада, Великобурімська сільська рада, Великоканівецька сільська рада, Веселохутірська сільська рада, Красенівська сільська рада, Лукашівська сільська рада, Малобурімська сільська рада, Мохнацька сільська рада, Новожиттівська сільська рада, Новоукраїнська сільська рада, Привітненська сільська рада, Франківська сільська рада, Хрестителівська сільська рада</t>
  </si>
  <si>
    <t>Шрамківська територіальна громада</t>
  </si>
  <si>
    <t>Шрамківка</t>
  </si>
  <si>
    <t>Шрамківська селищна рада, Бирлівська сільська рада, Демківська сільська рада, Кантакузівська сільська рада, Ковалівська сільська рада, Коломицька сільська рада, Кононівська сільська рада, Мойсівська сільська рада, Остапівська сільська рада, Погребська сільська рада, Свічківська сільська рада, Степанівська сільська рада, Яворівська сільська рада</t>
  </si>
  <si>
    <t>Уманський район</t>
  </si>
  <si>
    <t>Іваньківська територіальна громада</t>
  </si>
  <si>
    <t>Іваньківська сільська рада, Березівська сільська рада, Крачківська сільська рада</t>
  </si>
  <si>
    <t>Бабанська територіальна громада</t>
  </si>
  <si>
    <t>Бабанка</t>
  </si>
  <si>
    <t>Бабанська селищна рада, Аполянська сільська рада, Вільшанослобідська сільська рада, Вільшанська сільська рада, Дубівська сільська рада, Коржівська сільська рада, Коржовослобідська сільська рада, Коржовокутська сільська рада, Оксанинська сільська рада, Острівецька сільська рада, Рогівська сільська рада, Свинарська сільська рада</t>
  </si>
  <si>
    <t>Баштечківська територіальна громада</t>
  </si>
  <si>
    <t>Баштечківська сільська рада, Королівська сільська рада, Нагірнянська сільська рада, Охматівська сільська рада, Павлівська сільська рада, Тинівська сільська рада</t>
  </si>
  <si>
    <t>Буцька територіальна громада</t>
  </si>
  <si>
    <t>Буцька селищна рада, Багвянська сільська рада, Кислинська сільська рада, Кутівська сільська рада, Русалівська сільська рада, Новогребельська сільська рада, Червонокутська сільська рада</t>
  </si>
  <si>
    <t>Дмитрушківська територіальна громада</t>
  </si>
  <si>
    <t>Дмитрушківська сільська рада, Гереженівська сільська рада, Гродзівська сільська рада, Старобабанівська сільська рада, Доброводівська сільська рада, Косенівська сільська рада, Пугачівська сільська рада, Собківська сільська рада, Степківська сільська рада, Сушківська сільська рада, Танська сільська рада</t>
  </si>
  <si>
    <t>Жашківська територіальна громада</t>
  </si>
  <si>
    <t>Жашківська міська рада, Безпечнівська сільська рада, Бузівська об'єднана територіальна громада, Вороненська сільська рада, Вільшанська сільська рада, Житницька сільська рада, Зеленорізька сільська рада, Конельська сільська рада, Конельсько-Попівська сільська рада, Конельсько-Хутірська сільська рада, Кривчунська сільська рада, Леміщиська сільська рада, Литвинівська сільська рада, Марійківська сільська рада, Олександрівська сільська рада, Острожанська сільська рада, Пугачівська сільська рада, Сабадашська сільська рада, Скибинська сільська рада, Соколівська сільська рада, Сорокотязька сільська рада, Тетерівська сільська рада, Тихохутірська сільська рада, Хижнянська сільська рада, Шуляківська сільська рада</t>
  </si>
  <si>
    <t>Ладижинська сільська рада, Городницька сільська рада, Затишанська сільська рада, Колодистенська сільська рада, Рижавська сільська рада, Ропотуська сільська рада, Текучанська сільська рада, Фурманська сільська рада, Шаринська сільська рада, Ятранівська сільська рада</t>
  </si>
  <si>
    <t>Маньківська територіальна громада</t>
  </si>
  <si>
    <t>Маньківка</t>
  </si>
  <si>
    <t>Маньківська селищна рада, Дзензелівська сільська рада, Добрянська сільська рада, Кищенецька сільська рада, Кривецька сільська рада, Молодецька сільська рада, Нестерівська сільська рада, Паланоцька сільська рада, Подібнянська сільська рада, Вікторівська сільська рада, Попівська сільська рада, Потаська сільська рада, Рогівська сільська рада, Харківська сільська рада</t>
  </si>
  <si>
    <t>Монастирищенська територіальна громада</t>
  </si>
  <si>
    <t>Монастирище</t>
  </si>
  <si>
    <t>Монастирищенська міська рада, Цибулівська селищна рада, Івахнянська сільська рада, Аврамівська сільська рада, Бачкуринська сільська рада, Жовтнева сільська рада, Владиславчицька сільська рада, Долинківська сільська рада, Дібрівська сільська рада, Зарубинецька сільська рада, Зюбриська сільська рада, Княже-Криницька сільська рада, Княжиківська сільська рада, Копіюватська сільська рада, Коритнянська сільська рада, Леськівська сільська рада, Лукашівська сільська рада, Панський Міст Чапаєвська) сільська рада, Половинчицька сільська рада, Попуднянська сільська рада, Сарнівська сільська рада, Сатанівська сільська рада, Степівська сільська рада, Тарнавська сільська рада, Теолинська сільська рада, Терлицька сільська рада, Халаїдівська сільська рада, Петрівська сільська рада, Шабастівська сільська рада, Шарнопільська сільська рада</t>
  </si>
  <si>
    <t>Паланська територіальна громада</t>
  </si>
  <si>
    <t>Паланська сільська рада, Іванівська сільська рада, Антонівська сільська рада, Берестівецька сільська рада, Городецька сільська рада, Громівська сільська рада, Кочержинська сільська рада, Кочубіївська сільська рада, Краснопільська сільська рада, Максимівська сільська рада, Посухівська сільська рада, Піківецька сільська рада, Родниківська сільська рада, Томашівська сільська рада, Черповодівська сільська рада, Юрківська сільська рада, Синицька сільська рада</t>
  </si>
  <si>
    <t>Уманська територіальна громада</t>
  </si>
  <si>
    <t>Умань</t>
  </si>
  <si>
    <t>Уманська міська рада, Полянецька сільська рада</t>
  </si>
  <si>
    <t>Христинівська територіальна громада</t>
  </si>
  <si>
    <t>Христинівка</t>
  </si>
  <si>
    <t>Христинівська міська рада, Верхняцька селищна рада, Івангородська сільська рада, Ботвинівська сільська рада, Великосевастянівська сільська рада, Вербуватська сільська рада, Заячківська сільська рада, Зорянська сільська рада, Кузьминогребельська сільська рада, Ліщинівська сільська рада, Малосевастянівська сільська рада, Орадівська сільська рада, Осітнянська сільська рада, Пеніжківська сільська рада, Розсішківська сільська рада, Сичівська сільська рада, Талалаївська сільська рада, Углуватська сільська рада, Христинівська сільська рада, Шельпахівська сільська рада, Шукайводська сільська рада, Ягубецька сільська рада</t>
  </si>
  <si>
    <t>Черкаський район</t>
  </si>
  <si>
    <t>Балаклеївська територіальна громада</t>
  </si>
  <si>
    <t>Балаклеївська сільська рада, Костянтинівська сільська рада, Малостаросільська сільська рада</t>
  </si>
  <si>
    <t>Березняківська територіальна громада</t>
  </si>
  <si>
    <t>Березняківська сільська рада, Великояблунівська сільська рада, Плескачівська сільська рада, Сунківська сільська рада</t>
  </si>
  <si>
    <t>Бобрицька територіальна громада</t>
  </si>
  <si>
    <t>Бобрицька сільська рада, Григорівська сільська рада, Грищинецька сільська рада, Козарівська сільська рада, Курилівська сільська рада, Литвинецька сільська рада, Потапцівська сільська рада, Пшеничницька сільська рада, Тростянецька сільська рада, Чернишівська сільська рада</t>
  </si>
  <si>
    <t>Будищенська територіальна громада</t>
  </si>
  <si>
    <t>Будище</t>
  </si>
  <si>
    <t>Будищенська сільська рада, Свидівоцька сільська рада</t>
  </si>
  <si>
    <t>Білозірська територіальна громада</t>
  </si>
  <si>
    <t>Білозірська сільська рада, Ірдинська селищна рада</t>
  </si>
  <si>
    <t>Городище</t>
  </si>
  <si>
    <t>Городищенська міська рада, Цвітківська селищна рада, Валявська сільська рада, Дирдинська сільська рада, Калинівська сільська рада, Ксаверівська сільська рада, Орловецька сільська рада, Петропавлівська сільська рада, Хлистунівська сільська рада</t>
  </si>
  <si>
    <t>Кам’янська територіальна громада</t>
  </si>
  <si>
    <t>Кам’янська міська рада, Баландинська сільська рада, Вербівська сільська рада, Грушківська сільська рада, Катеринівська сільська рада, Косарська сільська рада, Коханівська сільська рада, Лебедівська сільська рада, Лузанівська сільська рада, Радиванівська сільська рада, Телепинська сільська рада, Тимошівська сільська рада, Юрчиська сільська рада</t>
  </si>
  <si>
    <t>Канівська територіальна громада</t>
  </si>
  <si>
    <t>Канівська міська рада, Конончанська сільська рада, Межиріцька сільська рада, Пекарівська сільська рада, Хмільнянська сільська рада, Яблунівська сільська рада</t>
  </si>
  <si>
    <t>Корсунь-Шевченківська територіальна громада</t>
  </si>
  <si>
    <t>Корсунь-Шевченківський</t>
  </si>
  <si>
    <t>Корсунь-Шевченківська міська рада, Виграївська сільська рада, Моринська сільська рада, Пішківська сільська рада, Сотницька сільська рада</t>
  </si>
  <si>
    <t>Леськівська територіальна громада</t>
  </si>
  <si>
    <t>Леськівська сільська рада, Думанецька сільська рада, Худяківська сільська рада, Чорнявська сільська рада</t>
  </si>
  <si>
    <t>Ліплявська територіальна громада</t>
  </si>
  <si>
    <t>Ліплявська сільська рада, Келебердянська сільська рада, Озерищанська сільська рада, Прохорівська сільська рада</t>
  </si>
  <si>
    <t>Медведівська територіальна громада</t>
  </si>
  <si>
    <t>Медведівська сільська рада, Головківська сільська рада, Зам’ятницька сільська рада, Мельниківська сільська рада, Худоліївська сільська рада</t>
  </si>
  <si>
    <t>Михайлівська сільська рада, Жаботинська сільська рада, Лубенська сільська рада, Райгородська сільська рада, Ребедайлівська сільська рада, Ревівська сільська рада</t>
  </si>
  <si>
    <t>Мліївська територіальна громада</t>
  </si>
  <si>
    <t>Мліївська сільська рада, Будо-Орловецька сільська рада, Старосільська сільська рада</t>
  </si>
  <si>
    <t>Мошнівська територіальна громада</t>
  </si>
  <si>
    <t>Мошни</t>
  </si>
  <si>
    <t>Мошнівська сільська рада, Байбузівська сільська рада, Кумейківська сільська рада, Софіївська сільська рада, Тубільцівська сільська рада, Яснозірська сільська рада</t>
  </si>
  <si>
    <t>Набутівська територіальна громада</t>
  </si>
  <si>
    <t>Набутівська сільська рада, Бровахівська сільська рада, Деренковецька сільська рада, Драбівська сільська рада, Кичинецька сільська рада, Кіровська сільська рада, Нетеребська сільська рада, Сахнівська сільська рада</t>
  </si>
  <si>
    <t>Ротмістрівська територіальна громада</t>
  </si>
  <si>
    <t>Ротмістрівська сільська рада, Ковалиська сільська рада, Куцівська сільська рада, Макіївська сільська рада, Мельниківська сільська рада, Носачівська сільська рада, Самгородоцька сільська рада, Санжариська сільська рада, Ташлицька сільська рада</t>
  </si>
  <si>
    <t>Русько-Полянська територіальна громада</t>
  </si>
  <si>
    <t>Русько-Полянська сільська рада, Геронимівська сільська рада, Дубіївська сільська рада</t>
  </si>
  <si>
    <t>Сагунівська територіальна громада</t>
  </si>
  <si>
    <t>Сагунівська сільська рада, Боровицька сільська рада, Топилівська сільська рада</t>
  </si>
  <si>
    <t>Смілянська територіальна громада</t>
  </si>
  <si>
    <t>Сміла</t>
  </si>
  <si>
    <t>Смілянська міська рада</t>
  </si>
  <si>
    <t>Степанецька територіальна громада</t>
  </si>
  <si>
    <t>Степанецька сільська рада, Беркозівська сільська рада, Горобіївська сільська рада, Копіюватська сільська рада, Мартинівська сільська рада, Мельниківська сільська рада, Павлівська сільська рада, Полствинська сільська рада, Попівська сільська рада, Таганчанська сільська рада</t>
  </si>
  <si>
    <t>Степанківська територіальна громада</t>
  </si>
  <si>
    <t>Степанківська сільська рада, Хацьківська сільська рада, Голов’ятинська сільська рада, Залевківська сільська рада</t>
  </si>
  <si>
    <t>Тернівська сільська рада, Малосмілянська сільська рада, Пастирська сільська рада, Попівська сільська рада, Сердюківська сільська рада</t>
  </si>
  <si>
    <t>Червонослобідська територіальна громада</t>
  </si>
  <si>
    <t>Червонослобідська сільська рада, Вергунівська сільська рада, Хутірська сільська рада</t>
  </si>
  <si>
    <t>Черкаси</t>
  </si>
  <si>
    <t>Черкаська міська рада</t>
  </si>
  <si>
    <t>Чигиринська територіальна громада</t>
  </si>
  <si>
    <t>Чигиринська міська рада, Іванівська сільська рада, Вершацька сільська рада, Галаганівська сільська рада, Красносільська сільська рада, Матвіївська сільська рада, Новоселицька сільська рада, Рацівська сільська рада, Стецівська сільська рада, Суботівська сільська рада, Трушівська сільська рада, Тіньківська сільська рада</t>
  </si>
  <si>
    <t>Чернівецька область</t>
  </si>
  <si>
    <t>Вижницький район</t>
  </si>
  <si>
    <t>Банилівська територіальна громада</t>
  </si>
  <si>
    <t>Банилів</t>
  </si>
  <si>
    <t>Банилівська сільська рада, Коритненська сільська рада</t>
  </si>
  <si>
    <t>Берегометська територіальна громада</t>
  </si>
  <si>
    <t>Берегомет</t>
  </si>
  <si>
    <t>Берегометська селищна рада, Долішньошепітська сільська рада, Лукавецька сільська рада, Мигівська сільська рада</t>
  </si>
  <si>
    <t>Брусницька територіальна громада</t>
  </si>
  <si>
    <t>Брусниця</t>
  </si>
  <si>
    <t>Брусницька сільська рада, Верхньостановецька сільська рада, Нижньостановецька сільська рада</t>
  </si>
  <si>
    <t>Вашківецька територіальна громада</t>
  </si>
  <si>
    <t>Вашківецька міська рада, Замостянська сільська рада, Карапчівська сільська рада, Слобода-Банилівська сільська рада</t>
  </si>
  <si>
    <t>Вижницька територіальна громада</t>
  </si>
  <si>
    <t>Вижницька міська рада, Іспаська сільська рада, Багнянська сільська рада, Виженська сільська рада, Міліївська сільська рада, Черешенська сільська рада, Чорногузівська сільська рада</t>
  </si>
  <si>
    <t>Конятинська територіальна громада</t>
  </si>
  <si>
    <t>Конятинська сільська рада, Довгопільська сільська рада, Яблуницька сільська рада</t>
  </si>
  <si>
    <t>Путильська територіальна громада</t>
  </si>
  <si>
    <t>Путила</t>
  </si>
  <si>
    <t>Путильська селищна рада, Дихтинецька сільська рада, Киселицька сільська рада, Сергіївська сільська рада, КОАТУУ: 7323581003)</t>
  </si>
  <si>
    <t>Селятинська територіальна громада</t>
  </si>
  <si>
    <t>Селятинська сільська рада, Плосківська сільська рада, Шепітська сільська рада</t>
  </si>
  <si>
    <t>Усть-Путильська територіальна громада</t>
  </si>
  <si>
    <t>Усть-Путильська сільська рада, Мариничівська сільська рада, Підзахаричівська сільська рада, Розтоківська сільська рада</t>
  </si>
  <si>
    <t>Дністровський район</t>
  </si>
  <si>
    <t>Вашковецька територіальна громада</t>
  </si>
  <si>
    <t>Вашковецька сільська рада, Шишковецька сільська рада</t>
  </si>
  <si>
    <t>Кельменецька територіальна громада</t>
  </si>
  <si>
    <t>Кельменці</t>
  </si>
  <si>
    <t>Кельменецька селищна рада, Івановецька сільська рада, Бабинська сільська рада, Бернівська сільська рада, Бузовицька сільська рада, Бурдюзька сільська рада, Вартиковецька сільська рада, Вовчинецька сільська рада, Вороновицька сільська рада, Грушовецька сільська рада, Дністрівська сільська рада, Комарівська сільська рада, Коновська сільська рада, Ленковецька сільська рада, Лукачівська сільська рада, Мошанецька сільська рада, Нелиповецька сільська рада, Новоселицька сільська рада, Перковецька сільська рада, Росошанівська сільська рада</t>
  </si>
  <si>
    <t>Клішковецька територіальна громада</t>
  </si>
  <si>
    <t>Клішковецька сільська рада, Малинецька сільська рада, Перебиковецька сільська рада, Полянська сільська рада, Рухотинська сільська рада, Санковецька сільська рада, Шиловецька сільська рада</t>
  </si>
  <si>
    <t>Лівинецька територіальна громада</t>
  </si>
  <si>
    <t>Лівинці</t>
  </si>
  <si>
    <t>Лівинецька сільська рада, Зеленецька сільська рада, Козирянська сільська рада, Оселівська сільська рада, Подвір’ївська сільська рада</t>
  </si>
  <si>
    <t>Мамалигівська територіальна громада</t>
  </si>
  <si>
    <t>Мамалигівська сільська рада, Балковецька сільська рада, Драницька сільська рада, Несвоївська сільська рада, Подвірненська сільська рада, Стальнівецька сільська рада</t>
  </si>
  <si>
    <t>Недобоївська територіальна громада</t>
  </si>
  <si>
    <t>Недобоївська сільська рада, Долинянська сільська рада, Зарожанська сільська рада, Керстенецька сільська рада, Ставчанська сільська рада, Шировецька сільська рада</t>
  </si>
  <si>
    <t>Новодністровська територіальна громада</t>
  </si>
  <si>
    <t>Новодністровська міська рада</t>
  </si>
  <si>
    <t>Рукшинська територіальна громада</t>
  </si>
  <si>
    <t>Рукшинська сільська рада, Гордівецька сільська рада, Пригородоцька сільська рада, Рашківська сільська рада, Чепоніська сільська рада</t>
  </si>
  <si>
    <t>Сокирянська територіальна громада</t>
  </si>
  <si>
    <t>Сокирянська міська рада, Братанівська сільська рада, Білоусівська сільська рада, Василівська сільська рада, Волошківська сільська рада, Вітрянська сільська рада, Гвіздовецька сільська рада, Грубнянська сільська рада, Коболчинська сільська рада, Корманська сільська рада, Кулішівська сільська рада, Ломачинецька сільська рада, Лопатівська сільська рада, Михалківська сільська рада, Ожівська сільська рада, Олексіївська сільська рада, Романковецька сільська рада, Селищанська сільська рада, Сербичанська сільська рада, Шебутинецька сільська рада</t>
  </si>
  <si>
    <t>Хотинська територіальна громада</t>
  </si>
  <si>
    <t>Хотинська міська рада, Анадольська сільська рада, Атацька сільська рада, Біловецька сільська рада, Ворничанська сільська рада, Данковецька сільська рада, Каплівська сільська рада, Круглицька сільська рада, Крутеньківська сільська рада, Пашковецька сільська рада, Ярівська сільська рада</t>
  </si>
  <si>
    <t>Чернівецький район</t>
  </si>
  <si>
    <t>Боянська територіальна громада</t>
  </si>
  <si>
    <t>Бояни</t>
  </si>
  <si>
    <t>Боянська сільська рада, Припрутська сільська рада</t>
  </si>
  <si>
    <t>Ванчиковецька територіальна громада</t>
  </si>
  <si>
    <t>Ванчиковецька сільська рада, Жилівська сільська рада, Костичанівська сільська рада, Тарасовецька сільська рада, Фороснянська сільська рада, Черленівська сільська рада, Щербинецька сільська рада</t>
  </si>
  <si>
    <t>Великокучурівська територіальна громада</t>
  </si>
  <si>
    <t>Великокучурівська сільська рада, Снячівська сільська рада, Тисовецька сільська рада</t>
  </si>
  <si>
    <t>Веренчацька територіальна громада</t>
  </si>
  <si>
    <t>Веренчанка</t>
  </si>
  <si>
    <t>Веренчанська сільська рада, Бабинська сільська рада, Борівецька сільська рада, Киселівська сільська рада</t>
  </si>
  <si>
    <t>Волоківська територіальна громада</t>
  </si>
  <si>
    <t>Волоківська сільська рада, Валякузьминська сільська рада, КОАТУУ: 7320780803)</t>
  </si>
  <si>
    <t>Вікнянська територіальна громада</t>
  </si>
  <si>
    <t>Вікнянська сільська рада, Брідоцька сільська рада, Дорошовецька сільська рада, Митківська сільська рада, Мосорівська сільська рада, Онутська сільська рада, Самушинська сільська рада, Товтрівська сільська рада</t>
  </si>
  <si>
    <t>Герцаївська територіальна громада</t>
  </si>
  <si>
    <t>Герцаївська міська рада, Байраківська сільська рада, Куликівська сільська рада, Лунківська сільська рада, Молницька сільська рада, Петрашівська сільська рада, Тернавська сільська рада, Хряцьківська сільська рада</t>
  </si>
  <si>
    <t>Глибоцька територіальна громада</t>
  </si>
  <si>
    <t>Глибоцька селищна рада, Димківська сільська рада, Михайлівська сільська рада, Опришенська сільська рада, Стерченська сільська рада, Черепковецька сільська рада</t>
  </si>
  <si>
    <t>Горішньошеровецька територіальна громада</t>
  </si>
  <si>
    <t>Горішні Шерівці</t>
  </si>
  <si>
    <t>Горішньошеровецька сільська рада, Васловівська сільська рада, Задубрівська сільська рада, Шубранецька сільська рада</t>
  </si>
  <si>
    <t>Заставнівська територіальна громада</t>
  </si>
  <si>
    <t>Заставнівська міська рада, Вербовецька сільська рада, Малокучурівська сільська рада</t>
  </si>
  <si>
    <t>Кадубовецька територіальна громада</t>
  </si>
  <si>
    <t>Кадубовецька сільська рада, Василівська сільська рада, Хрещатицька сільська рада, Репужинецька сільська рада, Кулівецька сільська рада, Чуньківська сільська рада</t>
  </si>
  <si>
    <t>Кам'янецька територіальна громада</t>
  </si>
  <si>
    <t>Кам'янка</t>
  </si>
  <si>
    <t>Кам'янська сільська рада, Багринівська сільська рада, Старововчинецька сільська рада</t>
  </si>
  <si>
    <t>Кам'яна</t>
  </si>
  <si>
    <t>Кам’янська сільська рада, Михальчанська сільська рада, Старобросковецька сільська рада</t>
  </si>
  <si>
    <t>Карапачівська територіальна громада</t>
  </si>
  <si>
    <t>Карапчівська сільська рада, Йорданештська сільська рада</t>
  </si>
  <si>
    <t>Кострижівська територіальна громада</t>
  </si>
  <si>
    <t>Кострижівська селищна рада, Звенячинська сільська рада, Прилипченська сільська рада</t>
  </si>
  <si>
    <t>Красноїльська територіальна громада</t>
  </si>
  <si>
    <t>Красноїльська селищна рада, Старокрасношорська сільська рада, КОАТУУ: 7320581504)</t>
  </si>
  <si>
    <t>Кіцманська територіальна громада</t>
  </si>
  <si>
    <t>Кіцманська міська рада, Іванковецька сільська рада, Валявська сільська рада, Давидівська сільська рада, Кліводинська сільська рада, Лашківська сільська рада, Ошихлібська сільська рада, Суховерхівська сільська рада, Шипинецька сільська рада</t>
  </si>
  <si>
    <t>Магальська територіальна громада</t>
  </si>
  <si>
    <t>Магальська сільська рада, Рідківська сільська рада</t>
  </si>
  <si>
    <t>Мамаївська територіальна громада</t>
  </si>
  <si>
    <t>Мамаївська сільська рада, Лужанська селищна рада, Білянська сільська рада, Глиницька сільська рада, Драчинецька сільська рада, Дубовецька сільська рада, Стрілецько-Кутська сільська рада</t>
  </si>
  <si>
    <t>Неполоковецька територіальна громада</t>
  </si>
  <si>
    <t>Неполоковецька селищна рада, Берегометська сільська рада, Оршовецька сільська рада</t>
  </si>
  <si>
    <t>Новоселицька територіальна громада</t>
  </si>
  <si>
    <t>Новоселицька міська рада, Берестянська сільська рада, Диновецька сільська рада, Довжоцька сільська рада, Зеленогайська сільська рада, Котелівська сільська рада, Малинівська сільська рада, Маршинецька сільська рада, Рингацька сільська рада, Рокитненська сільська рада, Слобідська сільська рада, Строїнецька сільська рада</t>
  </si>
  <si>
    <t>Острицька територіальна громада</t>
  </si>
  <si>
    <t>Острицька сільська рада, Великобудська сільська рада, Годинівська сільська рада, Горбівська сільська рада, Цуренська сільська рада</t>
  </si>
  <si>
    <t>Петровецька територіальна громада</t>
  </si>
  <si>
    <t>Верхні Петрівці</t>
  </si>
  <si>
    <t>Верхньопетровецька сільська рада, Нижньопетровецька сільська рада</t>
  </si>
  <si>
    <t>Ставчанська територіальна громада</t>
  </si>
  <si>
    <t>Ставчанська сільська рада, Малятинецька сільська рада, Хлівищенська сільська рада, Шишковецька сільська рада, Южинецька сільська рада</t>
  </si>
  <si>
    <t>Сторожинецька територіальна громада</t>
  </si>
  <si>
    <t>Сторожинецька міська рада, Банилово-Підгірнівська сільська рада, Бобовецька сільська рада, Давидівська сільська рада, Зруб-Комарівська сільська рада, Комарівська сільська рада, Костинецька сільська рада, Новобросковецька сільська рада, Панківська сільська рада, Ропчанська сільська рада, Слобода-Комарівська сільська рада, Старожадівська сільська рада</t>
  </si>
  <si>
    <t>Сучевенська територіальна громада</t>
  </si>
  <si>
    <t>Сучевенська сільська рада, Корчівецька сільська рада, Купська сільська рада</t>
  </si>
  <si>
    <t>Тарашанська територіальна громада</t>
  </si>
  <si>
    <t>Тарашани</t>
  </si>
  <si>
    <t>Тарашанська сільська рада, Станівецька сільська рада, Турятська сільська рада</t>
  </si>
  <si>
    <t>Тереблеченська територіальна громада</t>
  </si>
  <si>
    <t>Тереблеченська сільська рада, Синьовецька сільська рада, Буківська сільська рада</t>
  </si>
  <si>
    <t>Топорівська територіальна громада</t>
  </si>
  <si>
    <t>Топорівці</t>
  </si>
  <si>
    <t>Топорівська сільська рада, Бочковецька сільська рада, Грозинецька сільська рада, Колінковецька сільська рада</t>
  </si>
  <si>
    <t>Чагорська територіальна громада</t>
  </si>
  <si>
    <t>Чагорська сільська рада, Луковицька сільська рада, Молодійська сільська рада</t>
  </si>
  <si>
    <t>Чернівці</t>
  </si>
  <si>
    <t>Чернівецька міська рада, Коровійська сільська рада, Чорнівська сільська рада</t>
  </si>
  <si>
    <t>Чудейська територіальна громада</t>
  </si>
  <si>
    <t>Чудейська сільська рада, Їжівська сільська рада, Буденецька сільська рада, Череська сільська рада</t>
  </si>
  <si>
    <t>Юрковецька територіальна громада</t>
  </si>
  <si>
    <t>Юрковецька сільська рада, Баламутівська сільська рада, Боянчуцька сільська рада, Горошовецька сільська рада, Добриновецька сільська рада, Погорілівська сільська рада, Ржавинецька сільська рада, Чорнопотіцька сільська рада</t>
  </si>
  <si>
    <t>Чернігівська область</t>
  </si>
  <si>
    <t>Корюківський район</t>
  </si>
  <si>
    <t>Корюківська територіальна громада</t>
  </si>
  <si>
    <t>Корюківська міська рада, Брецька сільська рада, Будянська сільська рада, Білошицько-Слобідська сільська рада, Домашлинська сільська рада, Забарівська сільська рада, Наумівська сільська рада, Олександрівська сільська рада, Охрамієвицька сільська рада, Перелюбська сільська рада, Прибинська сільська рада, Рейментарівська сільська рада, Рибинська сільська рада, Савинківська сільська рада, Сядринська сільська рада, Тютюнницька сільська рада, Хотіївська сільська рада, Шишківська сільська рада</t>
  </si>
  <si>
    <t>Менська територіальна громада</t>
  </si>
  <si>
    <t>Менська міська рада, Макошинська селищна рада, Блистівська сільська рада, Бірківська сільська рада, Величківська сільська рада, Волосківська сільська рада, Городищенська сільська рада, Данилівська сільська рада, Дягівська сільська рада, Киселівська сільська рада, Куковицька сільська рада, Лісківська сільська рада, Осьмаківська сільська рада, Покровська сільська рада, Садовська сільська рада, Семенівська сільська рада, Синявська сільська рада, Слобідська сільська рада, Стольненська сільська рада, Ушнянська сільська рада, Феськівська сільська рада</t>
  </si>
  <si>
    <t>Сновська територіальна громада</t>
  </si>
  <si>
    <t>Сновська міська рада, Єлінська сільська рада, Великощимельська сільська рада, Гуто-Студенецька сільська рада, Гірська сільська рада, Жовідська сільська рада, Займищанська сільська рада, Зарічанська сільська рада, Клюсівська сільська рада, Кучинівська сільська рада, Низківська сільська рада, Новоборовицька сільська рада, Новомлинська сільська рада, Петрівська сільська рада, Рогізківська сільська рада, Смяцька сільська рада, Сновська сільська рада, Софіївська сільська рада, Староруднянська сільська рада, Староборовицька сільська рада, Суничненська сільська рада, Тихоновицька сільська рада, Тур’янська сільська рада, Хотуницька сільська рада, Чепелівська сільська рада</t>
  </si>
  <si>
    <t>Сосницька територіальна громада</t>
  </si>
  <si>
    <t>Сосницька селищна рада, Бутівська сільська рада, Великоустівська сільська рада, Волинківська сільська рада, Вільшанська сільська рада, Загребельська сільська рада, Змітнівська сільська рада, Киріївська сільська рада, Козляницька сільська рада, Конятинська сільська рада, Кудрівська сільська рада, Лавська сільська рада, Матвіївська сільська рада, Пекарівська сільська рада, Спаська сільська рада, Хлоп’яницька сільська рада, Чорнотицька сільська рада</t>
  </si>
  <si>
    <t>Холминська територіальна громада</t>
  </si>
  <si>
    <t>Холминська селищна рада, Жуклянська сільська рада, Камківська сільська рада, Козилівська сільська рада, Радомська сільська рада</t>
  </si>
  <si>
    <t>Новгород-Сіверський район</t>
  </si>
  <si>
    <t>Коропська територіальна громада</t>
  </si>
  <si>
    <t>Коропська селищна рада, Атюшівська сільська рада, Билська сільська рада, Будищенська сільська рада, Вишеньківська сільська рада, Вільненська сільська рада, Городищенська сільська рада, Карильська сільська рада, Краснопільська сільська рада, Лукнівська сільська рада, Нехаївська сільська рада, Оболонська сільська рада, Поліська сільська рада, Райгородоцька сільська рада, Риботинська сільська рада, Рижківська сільська рада, Рождественська сільська рада, Сохачівська сільська рада, Шабалинівська сільська рада</t>
  </si>
  <si>
    <t>Новгород-Сіверська територіальна громада</t>
  </si>
  <si>
    <t>31.08.2018</t>
  </si>
  <si>
    <t>Новгород-Сіверська міська рада, Березовогатська сільська рада, Биринська сільська рада, Блистівська сільська рада, Будо-Вороб’ївська сільська рада, Бучківська сільська рада, Вороб’ївська сільська рада, Горбівська сільська рада, Грем’яцька сільська рада, Дігтярівська сільська рада, Кам’янсько-Слобідська сільська рада, Ковпинська сільська рада, Команська сільська рада, Кудлаївська сільська рада, Ларинівська сільська рада, Лісконогівська сільська рада, Мамекинська сільська рада, Михальчино-Слобідська сільська рада, Об’єднанська сільська рада, Орлівська сільська рада, Печенюгівська сільська рада, Попівська сільська рада, Смяцька сільська рада, Троїцька сільська рада, Чайкинська сільська рада, Шептаківська сільська рада</t>
  </si>
  <si>
    <t>Понорницька територіальна громада</t>
  </si>
  <si>
    <t>Понорницька селищна рада, Вербівська сільська рада, Деснянська сільська рада, Крисківська сільська рада, Мезинська сільська рада, Покошицька сільська рада, Радичівська сільська рада, Розльотівська сільська рада, Авдіївська сільська рада, Шаболтасівська сільська рада</t>
  </si>
  <si>
    <t>Семенівська міська рада, Іванівська сільська рада, Архипівська сільська рада, Галаганівська сільська рада, Жадівська сільська рада, Карповицька сільська рада, Костобобрівська сільська рада, Машівська сільська рада, Миколаївська сільська рада, Олександрівська сільська рада, Орликівська сільська рада, Погорільська сільська рада, Старогутківська сільська рада, Тимоновицька сільська рада, Хотіївська сільська рада, Чорнорізька сільська рада, Жовтнева сільська рада</t>
  </si>
  <si>
    <t>Ніжинський район</t>
  </si>
  <si>
    <t>Батуринська територіальна громада</t>
  </si>
  <si>
    <t>Батуринська міська рада, Городищенська сільська рада, Красненська сільська рада, Матіївська сільська рада, Митченківська сільська рада, Обмачівська сільська рада, Пальчиківська сільська рада</t>
  </si>
  <si>
    <t>Бахмацька територіальна громада</t>
  </si>
  <si>
    <t>Бахмач</t>
  </si>
  <si>
    <t>Бахмацька міська рада, Бахмацька сільська рада, Біловежівська сільська рада, Григорівська сільська рада, Красилівська сільська рада, Курінська сільська рада, Пісківська сільська рада, Стрільницька сільська рада, Тиницька сільська рада, Фастовецька сільська рада, Халимонівська сільська рада</t>
  </si>
  <si>
    <t>Бобровицька територіальна громада</t>
  </si>
  <si>
    <t>Бобровицька міська рада, Браницька сільська рада, Бригинцівська сільська рада, Гаврилівська сільська рада, Горбачівська сільська рада, Кобижчанська сільська рада, Козацька сільська рада, Марковецька сільська рада, Озерянська сільська рада, Олександрівська сільська рада, Осокорівська сільська рада, Петрівська сільська рада, Пісківська сільська рада, Рудьківська сільська рада, Свидовецька сільська рада, Старобасанська сільська рада, Сухинська сільська рада, Щаснівська сільська рада, Ярославська сільська рада</t>
  </si>
  <si>
    <t>Борзнянська територіальна громада</t>
  </si>
  <si>
    <t>Борзнянська міська рада, Малозагорівська сільська рада, Миколаївська сільська рада, Оленівська сільська рада, Прачівська сільська рада, Шаповалівська сільська рада, Ядутинська сільська рада</t>
  </si>
  <si>
    <t>Вертіївська територіальна громада</t>
  </si>
  <si>
    <t>Вертіївська сільська рада, Березанська сільська рада, Великокошелівська сільська рада, Дуболугівська сільська рада, Заньківська сільська рада, Колісниківська сільська рада, Кукшинська сільська рада, Липоворізька сільська рада, Малокошелівська сільська рада, Стодольська сільська рада, Черняхівська сільська рада</t>
  </si>
  <si>
    <t>Височанська сільська рада, Великодочинська сільська рада, Головеньківська сільська рада, Новомлинівська сільська рада, Носелівська сільська рада, Тростянська сільська рада</t>
  </si>
  <si>
    <t>Дмитрівська селищна рада, Гайворонська сільська рада, Голінська сільська рада, Кропивненська сільська рада, Рубанська сільська рада</t>
  </si>
  <si>
    <t>Комарівська територіальна громада</t>
  </si>
  <si>
    <t>Комарівська сільська рада, Берестовецька сільська рада, Красносільська сільська рада, Прохорівська сільська рада, Смолязька сільська рада, Степанівська сільська рада, Ховмівська сільська рада</t>
  </si>
  <si>
    <t>Крутівська територіальна громада</t>
  </si>
  <si>
    <t>Крути</t>
  </si>
  <si>
    <t>Крутівська сільська рада, Бурківська сільська рада, Перебудівська сільська рада, Омбиська сільська рада, Печівська сільська рада, Хорошеозерська сільська рада</t>
  </si>
  <si>
    <t>Лосинівська територіальна громада</t>
  </si>
  <si>
    <t>Лосинівська селищна рада, Вікторівська сільська рада, Галицька сільська рада, Данинська сільська рада, Перемозька сільська рада, Сальненська сільська рада, Світанківська сільська рада, Терешківська сільська рада, Шатурська сільська рада, Шняківська сільська рада</t>
  </si>
  <si>
    <t>Макіївська територіальна громада</t>
  </si>
  <si>
    <t>Макіївська сільська рада, Ганнівська сільська рада, Калинівська сільська рада, Рівчак-Степанівська сільська рада, Софіївська сільська рада, Степовохутірська сільська рада</t>
  </si>
  <si>
    <t>Мринська територіальна громада</t>
  </si>
  <si>
    <t>Мринська сільська рада, Лихачівська сільська рада, Плосківська сільська рада, Селищенська сільська рада, Хотинівська сільська рада</t>
  </si>
  <si>
    <t>Новобасанська територіальна громада</t>
  </si>
  <si>
    <t>Новобасанська сільська рада, Білоцерківська сільська рада, Веприцька сільська рада, Вороньківська сільська рада, Новобиківська сільська рада, Соколівська сільська рада</t>
  </si>
  <si>
    <t>Носівська територіальна громада</t>
  </si>
  <si>
    <t>Носівська міська рада, Іржавецька сільська рада, Володьковадівицька сільська рада, Держанівська сільська рада, Козарівська сільська рада, Тертишницька сільська рада</t>
  </si>
  <si>
    <t>Ніжинська територіальна громада</t>
  </si>
  <si>
    <t>19.11.2018</t>
  </si>
  <si>
    <t>Ніжинська міська рада, Кунашівська сільська рада</t>
  </si>
  <si>
    <t>Плисківська територіальна громада</t>
  </si>
  <si>
    <t>Плисківська сільська рада, Великозагорівська сільська рада, Махнівська сільська рада, Сиволозька сільська рада</t>
  </si>
  <si>
    <t>Талалаївська територіальна громада</t>
  </si>
  <si>
    <t>Талалаївська сільська рада, Безуглівська сільська рада, Великодорізька сільська рада, Григоро-Іванівська сільська рада</t>
  </si>
  <si>
    <t>Прилуцький район</t>
  </si>
  <si>
    <t>Ічнянська територіальна громада</t>
  </si>
  <si>
    <t>Ічнянська міська рада, Івангородська сільська рада, Іржавецька сільська рада, Андріївська сільська рада, Бакаївська сільська рада, Будянська сільська рада, Бурімська сільська рада, Більмачівська сільська рада, Гмирянська сільська рада, Городнянська сільська рада, Гужівська сільська рада, Дорогинська сільська рада, село Заудайка, Крупичпільська сільська рада, Монастирищенська сільська рада, Ольшанська сільська рада, Припутнівська сільська рада, Рожнівська сільська рада, Сезьківська сільська рада, Ступаківська сільська рада, Хаєнківська сільська рада, Щурівська сільська рада</t>
  </si>
  <si>
    <t>Варвинська територіальна громада</t>
  </si>
  <si>
    <t>Варвинська селищна рада, Антонівська сільська рада, Богданівська сільська рада, Брагинцівська сільська рада, Гнідинська сільська рада, Дащенківська сільська рада, Журавська сільська рада, Калиновицька сільська рада, Кухарська сільська рада, Леляківська сільська рада, Макіївська сільська рада, Мармизівська сільська рада, Озерянська сільська рада, Остапівська сільська рада, Світличненська сільська рада</t>
  </si>
  <si>
    <t>Ладанська територіальна громада</t>
  </si>
  <si>
    <t>Ладан</t>
  </si>
  <si>
    <t>Ладанська селищна рада, Івковецька сільська рада, Краслянська сільська рада</t>
  </si>
  <si>
    <t>Линовицька територіальна громада</t>
  </si>
  <si>
    <t>Линовицька селищна рада, Богданівська сільська рада, Бубнівщинська сільська рада, Даньківська сільська рада, Новогребельська сільська рада, Удайцівська сільська рада</t>
  </si>
  <si>
    <t>Малодівицька територіальна громада</t>
  </si>
  <si>
    <t>Малодівицька селищна рада, Великодівицька сільська рада, Дмитрівська сільська рада, Обичівська сільська рада, Петрівська сільська рада, Товкачівська сільська рада</t>
  </si>
  <si>
    <t>Парафіївська територіальна громада</t>
  </si>
  <si>
    <t>Парафіївська селищна рада, Іваницька сільська рада, Бережівська сільська рада, Мартинівська сільська рада, Петрушівська сільська рада, Тростянецька сільська рада, Южненська сільська рада</t>
  </si>
  <si>
    <t>Прилуцька територіальна громада</t>
  </si>
  <si>
    <t>Прилуки</t>
  </si>
  <si>
    <t>Прилуцька міська рада</t>
  </si>
  <si>
    <t>Срібнянська територіальна громада</t>
  </si>
  <si>
    <t>Срібнянська селищна рада, Дігтярівська селищна рада, Васьковецька сільська рада, Горобіївська сільська рада, Гриціївська сільська рада, Гурбинська сільська рада, Калюжинська сільська рада, Карпилівська сільська рада, Олексинська сільська рада, Подільська сільська рада, Савинська сільська рада, Сокиринська сільська рада, Харитонівська сільська рада</t>
  </si>
  <si>
    <t>Сухополов'янська територіальна громада</t>
  </si>
  <si>
    <t>Сухополов’янська сільська рада, Білорічицька сільська рада, Валківська сільська рада, Замостянська сільська рада, Заїздська сільська рада, Знам’янська сільська рада, Канівщинська сільська рада, Колісниківська сільська рада, Лісовосорочинська сільська рада, Мазківська сільська рада, Малківська сільська рада, Дідовецька сільська рада, Нетяжинська сільська рада, Охіньківська сільська рада, Переволочнянська сільська рада, Погребівська сільська рада, Піддубівська сільська рада, Рудівська сільська рада, Ряшківська сільська рада, Смоська сільська рада</t>
  </si>
  <si>
    <t>Яблунівка</t>
  </si>
  <si>
    <t>Яблунівська сільська рада, Білошапківська сільська рада, Дубовогаївська сільська рада, Ковтунівська сільська рада, Крутоярівська сільська рада, Сергіївська сільська рада</t>
  </si>
  <si>
    <t>Чернігівський район</t>
  </si>
  <si>
    <t>Іванівська сільська рада, Анисівська сільська рада, Будинська сільська рада, Краснянська сільська рада, Ладинська сільська рада, Пісківська сільська рада, Слобідська сільська рада</t>
  </si>
  <si>
    <t>Березнянська територіальна громада</t>
  </si>
  <si>
    <t>Березна</t>
  </si>
  <si>
    <t>Березнянська селищна рада, Бігацька сільська рада, Локнистенська сільська рада, Миколаївська сільська рада, Сахнівська сільська рада</t>
  </si>
  <si>
    <t>Гончарівська територіальна громада</t>
  </si>
  <si>
    <t>Гончарівська селищна рада, Боровиківська сільська рада, Жеведська сільська рада, Слабинська сільська рада, Смолинська сільська рада, Максимівська сільська рада</t>
  </si>
  <si>
    <t>Городнянська територіальна громада</t>
  </si>
  <si>
    <t>Городнянська міська рада, Ільмівська сільська рада, Андріївська сільська рада, Бутівська сільська рада, Ваганицька сільська рада, Володимирівська сільська рада, Гніздищенська сільська рада, Деревинська сільська рада, Дроздовицька сільська рада, Конотопська сільська рада, Кузничівська сільська рада, Лемешівська сільська рада, Моложавська сільська рада, Мощенська сільська рада, Пекурівська сільська рада, Переписька сільська рада, Поліська сільська рада, Сеньківська сільська рада, Смичинська сільська рада, Солонівська сільська рада, Хоробицька сільська рада, Хотівлянська сільська рада, Хрипівська сільська рада</t>
  </si>
  <si>
    <t>Деснянська територіальна громада</t>
  </si>
  <si>
    <t>Деснянська селищна рада, Карпилівська сільська рада, Короп’ївська сільська рада, Косачівська сільська рада, Морівська сільська рада</t>
  </si>
  <si>
    <t>Добрянська територіальна громада</t>
  </si>
  <si>
    <t>Добрянська селищна рада, Горностаївська сільська рада, Клубівська сільська рада, Новояриловицька сільська рада, Олешнянська сільська рада</t>
  </si>
  <si>
    <t>Киселівська територіальна громада</t>
  </si>
  <si>
    <t>Киселівська сільська рада, Боромиківська сільська рада, Улянівська сільська рада, Петрушинська сільська рада, Терехівська сільська рада</t>
  </si>
  <si>
    <t>Киїнська територіальна громада</t>
  </si>
  <si>
    <t>Киїнська сільська рада, Радянсько-Слобідська сільська рада, Шестовицька сільська рада</t>
  </si>
  <si>
    <t>Козелецька територіальна громада</t>
  </si>
  <si>
    <t>Козелецька селищна рада, Берлозівська сільська рада, Бобруйківська сільська рада, Бригинцівська сільська рада, Булахівська сільська рада, Білейківська сільська рада, Данівська сільська рада, Лемешівська сільська рада, Лихолітська сільська рада, Нічогівська сільська рада, Озерненська сільська рада, Олексіївщинська сільська рада, Омелянівська сільська рада, Патютинська сільська рада, Петрівська сільська рада, Пилятинська сільська рада, Савинська сільська рада, Сираївська сільська рада, Скрипчинська сільська рада, Стависька сільська рада</t>
  </si>
  <si>
    <t>Куликівська селищна рада, Авдіївська сільська рада, Бакланово-Муравійська сільська рада, Вересоцька сільська рада, Вершиново-Муравійська сільська рада, Виблівська сільська рада, Горбівська сільська рада, Грабівська сільська рада, Дроздівська сільська рада, Дрімайлівська сільська рада, Жуківська сільська рада, Кладьківська сільська рада, Ковчинська сільська рада, Орлівська сільська рада, Салтиково-Дівицька сільська рада, Хибалівська сільська рада</t>
  </si>
  <si>
    <t>Кіптівська територіальна громада</t>
  </si>
  <si>
    <t>Кіптівська сільська рада, Вовчківська сільська рада, Красилівська сільська рада, Надинівська сільська рада, Новошляхівська сільська рада, Олбинська сільська рада, Прогресівська сільська рада, Підлісненська сільська рада, Хрещатенська сільська рада, Чемерська сільська рада</t>
  </si>
  <si>
    <t>Любецька територіальна громада</t>
  </si>
  <si>
    <t>Любецька селищна рада, Великозліївська сільська рада, Губицька сільська рада, Малинівська сільська рада, Мохначівська сільська рада, Неданчицька сільська рада, Павлівська сільська рада, Смолигівська сільська рада, Тарасо-Шевченківська сільська рада</t>
  </si>
  <si>
    <t>Михайло-Коцюбинська територіальна громада</t>
  </si>
  <si>
    <t>Михайло-Коцюбинська селищна рада, Андріївська сільська рада, Ведильцівська сільська рада, Дніпровська сільська рада, Жукотківська сільська рада, Кархівська сільська рада, Ковпитська сільська рада, Левковицька сільська рада, Мньовська сільська рада, Пакульська сільська рада, Пльохівська сільська рада, Шибиринівська сільська рада</t>
  </si>
  <si>
    <t>Новобілоуська територіальна громада</t>
  </si>
  <si>
    <t>Новобілоуська сільська рада, Довжицька сільська рада, Кувечицька сільська рада, Мохнатинська сільська рада, Редьківська сільська рада, Роїщенська сільська рада, Рудківська сільська рада, Старобілоуська сільська рада, Халявинська сільська рада, Хмільницька сільська рада</t>
  </si>
  <si>
    <t>Олишівська територіальна громада</t>
  </si>
  <si>
    <t>Олишівська селищна рада, Серединська сільська рада, Смолянська сільська рада</t>
  </si>
  <si>
    <t>Остерська територіальна громада</t>
  </si>
  <si>
    <t>Остерська міська рада, Євминська сільська рада, Біликівська сільська рада, Бірківська сільська рада, Крехаївська сільська рада, Одинцівська сільська рада, Пархимівська сільська рада</t>
  </si>
  <si>
    <t>Ріпкинська територіальна громада</t>
  </si>
  <si>
    <t>Ріпки</t>
  </si>
  <si>
    <t>Ріпкинська селищна рада, Замглайська селищна рада, Радульська селищна рада, Великовіська сільська рада, Вербицька сільська рада, Вишнівська сільська рада, Голубицька сільська рада, Грабівська сільська рада, Гучинська сільська рада, Даницька сільська рада, Задеріївська сільська рада, Красківська сільська рада, Ловинська сільська рада, Малолиственська сільська рада, Новоукраїнська сільська рада, Петрушівська сільська рада, Пушкарівська сільська рада, Сиберізька сільська рада</t>
  </si>
  <si>
    <t>Седнівська територіальна громада</t>
  </si>
  <si>
    <t>Седнів</t>
  </si>
  <si>
    <t>Седнівська селищна рада, Черниська сільська рада, Великодирчинська сільська рада, Макишинська сільська рада</t>
  </si>
  <si>
    <t>Тупичівська територіальна громада</t>
  </si>
  <si>
    <t>Тупичівська сільська рада, Івашківська сільська рада, Бурівська сільська рада, Великолиственська сільська рада, Вихвостівська сільська рада, Куликівська сільська рада</t>
  </si>
  <si>
    <t>Чернігів</t>
  </si>
  <si>
    <t>Чернігівська міська рада</t>
  </si>
  <si>
    <t>metadata</t>
  </si>
  <si>
    <t>url</t>
  </si>
  <si>
    <t>oblast</t>
  </si>
  <si>
    <t>rayon</t>
  </si>
  <si>
    <t>Луцька міська громада</t>
  </si>
  <si>
    <t>Луцьк</t>
  </si>
  <si>
    <t>Молодіжна рада Луцька</t>
  </si>
  <si>
    <t>08.10.2018</t>
  </si>
  <si>
    <t>https://www.facebook.com/youthcounciloflutsk</t>
  </si>
  <si>
    <t>м. Луцькyouth.council.of.lutsk@gmail.com43000, Волинська область, м. Луцьк, вул. Богдана Хмельницького, 19+380951519491</t>
  </si>
  <si>
    <t>Зимнівська сільська громада</t>
  </si>
  <si>
    <t>Зимне</t>
  </si>
  <si>
    <t>Зимнівська Молодіжна рада</t>
  </si>
  <si>
    <t>06.11.2018</t>
  </si>
  <si>
    <t>https://www.facebook.com/groups/502447066925845</t>
  </si>
  <si>
    <t>molodizhna.rada.zumne@gmail.com44752 Волинська обл. Володимир-Волинський р-н. с.Зимне вул. Миру 1Перейти на сайт+380631878957</t>
  </si>
  <si>
    <t>https://www.facebook.com/%D0%97%D0%B8%D0%BC%D0%BD%D1%96%D0%B2%D1%81%D1%8C%D0%BA%D0%B0-%D0%BC%D0%BE%D0%BB%D0%BE%D0%B4%D1%96%D0%B6%D0%BD%D0%B0-%D1%80%D0%B0%D0%B4%D0%B0-352919425514965/?ref=bookmarks</t>
  </si>
  <si>
    <t>Кам'янець-Подільська міська громада</t>
  </si>
  <si>
    <t>Кам’янець-Подільська Молодіжна рада</t>
  </si>
  <si>
    <t>11.12.2018</t>
  </si>
  <si>
    <t>https://www.facebook.com/molodradakp/</t>
  </si>
  <si>
    <t>molodradakp@gmail.com32300 Майдан Відродження 1Перейти на сайт+380984206508</t>
  </si>
  <si>
    <t>https://www.facebook.com/%D0%9C%D0%BE%D0%BB%D0%BE%D0%B4%D1%96%D0%B6%D0%BD%D0%B0-%D1%80%D0%B0%D0%B4%D0%B0-%D0%BC%D0%9A%D0%B0%D0%BC%D1%8F%D0%BD%D1%86%D1%8F-%D0%9F%D0%BE%D0%B4%D1%96%D0%BB%D1%8C%D1%81%D1%8C%D0%BA%D0%BE%D0%B3%D0%BE-2023248937886599/</t>
  </si>
  <si>
    <t>Смідинська сільська громада</t>
  </si>
  <si>
    <t>Смідин</t>
  </si>
  <si>
    <t>Смідинська Молодіжна рада</t>
  </si>
  <si>
    <t>02.12.2019</t>
  </si>
  <si>
    <t>https://www.facebook.com/profile.php?id=100068543004037</t>
  </si>
  <si>
    <t>smidinskamolodziznarada@gmail.com44453, Волинська обл, Старовижівський р-н, с.Смідин, вул. Незалежності 25Перейти на сайт380686902522, 380680594292, 380951532304</t>
  </si>
  <si>
    <t>«http://smidynotg.gov.ua/smidynska-molodizhna-rada»</t>
  </si>
  <si>
    <t>Литовезька сільська громада</t>
  </si>
  <si>
    <t>Литовеж</t>
  </si>
  <si>
    <t>Литовезька молодіжна рада</t>
  </si>
  <si>
    <t>lytovezka.mr@gmail.com45325, Волинська область, Іваничівський район, село Литовеж, вулиця Володимира Якобчука, 11Перейти на сайт+38(063)8993460</t>
  </si>
  <si>
    <t>http://lotg.gov.ua/molodizhna-rada/</t>
  </si>
  <si>
    <t>Устилузька міська громада</t>
  </si>
  <si>
    <t>Устилуг</t>
  </si>
  <si>
    <t>Устилуська молодіжна рада</t>
  </si>
  <si>
    <t>ustulyg.mr014@gmail.com44731,Волинська область,Володимер-Волинський район,м.Устилуг380636686204</t>
  </si>
  <si>
    <t>Матеївецька сільська громада</t>
  </si>
  <si>
    <t>Матеївці</t>
  </si>
  <si>
    <t>Матеївецька Молодіжна рада</t>
  </si>
  <si>
    <t>30.08. 2017</t>
  </si>
  <si>
    <t>https://mateivetska-gromada.gov.ua/poryadok-dennij-sesij-20-39-17-10-06-2017/</t>
  </si>
  <si>
    <t>pustovarroman@gmail.com72286Перейти на сайт+380680502665</t>
  </si>
  <si>
    <t>-</t>
  </si>
  <si>
    <t>Печеніжинська селищна громада</t>
  </si>
  <si>
    <t>Печеніжин</t>
  </si>
  <si>
    <t>Печеніжинська молодіжна рада</t>
  </si>
  <si>
    <t>09.06.2021</t>
  </si>
  <si>
    <t>https://www.facebook.com/groups/312508300369291</t>
  </si>
  <si>
    <t>p_molrada@ukr.net74274, Івано-Франківська обл., Коломийський район, смт. Печеніжин, вул. Незалежності, 15Перейти на сайт+380 (97) 100 54 57</t>
  </si>
  <si>
    <t>http://pnotg.if.ua/ukr/2017-11-10-13-35-04</t>
  </si>
  <si>
    <t>Нижньовербізька сільська громада</t>
  </si>
  <si>
    <t>Нижній Вербіж</t>
  </si>
  <si>
    <t>Нижньовербізька молодіжна рада</t>
  </si>
  <si>
    <t>20.11.2018</t>
  </si>
  <si>
    <t>nwerbizh@ukr.net78218, вул. Довбуша, 1, с. Нижній Вербіж, Коломийський район, Івано-Франківська областьПерейти на сайт+380976637587</t>
  </si>
  <si>
    <t>https://www.facebook.com/nvhromadamolodizhna/</t>
  </si>
  <si>
    <t>Дніпровська міська громада</t>
  </si>
  <si>
    <t>Дніпро</t>
  </si>
  <si>
    <t>Молодіжна рада Дніпра</t>
  </si>
  <si>
    <t>11.12.2014</t>
  </si>
  <si>
    <t>https://www.facebook.com/molradadnipra</t>
  </si>
  <si>
    <t>mrdnipra2016@gmail.com49000, Дніпропетровська область, м. Дніпро, просп. Дмитра Яворницького, 75Перейти на сайт0931967323, 0567450395, 0935059997</t>
  </si>
  <si>
    <t>https://www.facebook.com/molradadnipra/</t>
  </si>
  <si>
    <t>Тернопільська міська громада</t>
  </si>
  <si>
    <t>Тернопіль</t>
  </si>
  <si>
    <t>Молодіжна міська рада при Тернопільській міській раді</t>
  </si>
  <si>
    <t>27.01.2016</t>
  </si>
  <si>
    <t>https://www.facebook.com/molodizna.rada.te</t>
  </si>
  <si>
    <t>lesiaholyk@gmail.com46001, вул. Листопадова, 5, м. ТернопільПерейти на сайт+380979791191</t>
  </si>
  <si>
    <t>https://www.facebook.com/molodizna.rada.te/</t>
  </si>
  <si>
    <t>Козівська селищна громада</t>
  </si>
  <si>
    <t>Конюхи</t>
  </si>
  <si>
    <t>Білоберізька молодіжна рада</t>
  </si>
  <si>
    <t>20.08.2017</t>
  </si>
  <si>
    <t>0679650973@ukr.net78713 Івано-Франківська область Верховинський район село Білоберізка прис.Центр,1Перейти на сайт+380971973565</t>
  </si>
  <si>
    <t>https://www.facebook.com/berizkapeeps/</t>
  </si>
  <si>
    <t>Ірпінська міська громада</t>
  </si>
  <si>
    <t>Ірпінська молодіжна громадська рада</t>
  </si>
  <si>
    <t>16.12.2018</t>
  </si>
  <si>
    <t>https://www.facebook.com/irpmgr</t>
  </si>
  <si>
    <t>alena.rozhanska@gmail.comКиївська обл., м. Ірпінь, вул. Шевченка 2аПерейти на сайт+38 098 101 69 70</t>
  </si>
  <si>
    <t>https://www.facebook.com/irpmgr/</t>
  </si>
  <si>
    <t>Бурштинська міська громада</t>
  </si>
  <si>
    <t>Бурштинська Молодіжна Рада</t>
  </si>
  <si>
    <t>24.11.2017</t>
  </si>
  <si>
    <t>askafufel@gmail.com77111, Івано-Франківська обл., м. Бурштин, вул. Січових стрільців, буд. 4Перейти на сайт+380985479735</t>
  </si>
  <si>
    <t>https://www.facebook.com/groups/251616878703310/</t>
  </si>
  <si>
    <t>Межівська селищна громада</t>
  </si>
  <si>
    <t>Райполе</t>
  </si>
  <si>
    <t>Райпільська Молодіжна рада</t>
  </si>
  <si>
    <t>radmolod_rso@ukr.net52940 с. Райполе. Межівський р-н. Дніпропетровська обл. вул. Приозерна, 34Перейти на сайт0665800409</t>
  </si>
  <si>
    <t>fecabook</t>
  </si>
  <si>
    <t>Херсонська міська громада</t>
  </si>
  <si>
    <t>Молодіжна рада при Херсонському міському голові</t>
  </si>
  <si>
    <t>28.01.2019</t>
  </si>
  <si>
    <t>khersonyouthcouncil@gmail.com73000, м.Херсон, вул. Гімназична, 7Перейти на сайт+380959257672</t>
  </si>
  <si>
    <t>https://ums.ks.ua/pro-upravlinnya/molodizhna-rada-pry-hersonskomu-miskomu-golovi/</t>
  </si>
  <si>
    <t>Бучанська міська громада</t>
  </si>
  <si>
    <t>Буча</t>
  </si>
  <si>
    <t>Молодіжна рада Бучанської об‘єднаної територіальної громади</t>
  </si>
  <si>
    <t>17.03.2019</t>
  </si>
  <si>
    <t>https://www.facebook.com/bucha.m.rada/</t>
  </si>
  <si>
    <t>pridma.diana@gmail.com08292 Київська область, м. Буча+380990108603</t>
  </si>
  <si>
    <t>Прибужанівська сільська громада</t>
  </si>
  <si>
    <t>Прибужани</t>
  </si>
  <si>
    <t>Прибужанівська молодіжна рада</t>
  </si>
  <si>
    <t>molradaprybuzhanotg@gmail.com56564, Миколаївська обл., Вознесенський р-н., с. Прибужани+380682664775</t>
  </si>
  <si>
    <t>Доманівська селищна громада</t>
  </si>
  <si>
    <t>Доманівка</t>
  </si>
  <si>
    <t>Доманівська молодіжна рада</t>
  </si>
  <si>
    <t>07.05.2021</t>
  </si>
  <si>
    <t>ilnitsky_oleg@ukr.net56401, Миколаївська область, смт. Доманівка+380950791669</t>
  </si>
  <si>
    <t>Корюківська міська громада</t>
  </si>
  <si>
    <t>Корюківка</t>
  </si>
  <si>
    <t>Корюківська молодіжна рада</t>
  </si>
  <si>
    <t>02.07.2017</t>
  </si>
  <si>
    <t>https://www.facebook.com/groups/285982301875580/</t>
  </si>
  <si>
    <t>mol-rada.krk@ukr.net15300, Чернігівська обл., м. Корюківка, вул. Бульварна, 6Перейти на сайт+380 (99) 763-6795, +380 (99) 090-51-34, +380 (50) 252-74-16</t>
  </si>
  <si>
    <t>Кам'яномостівська сільська громада</t>
  </si>
  <si>
    <t>Кам’яний Міст</t>
  </si>
  <si>
    <t>"Кодимська молодь" Кам'яномостівської сільської ради</t>
  </si>
  <si>
    <t>09.11.2017</t>
  </si>
  <si>
    <t>kammostosvita2017@gmail.com55232, вул.Заводська,1, с-ще Кам'яний Міст Первомайського району Миколаївської областіПерейти на сайт380966251529</t>
  </si>
  <si>
    <t>https://kodymskamolod.blogspot.com/</t>
  </si>
  <si>
    <t>Львівська міська громада</t>
  </si>
  <si>
    <t>Винники</t>
  </si>
  <si>
    <t>Винниківська молодіжна рада</t>
  </si>
  <si>
    <t>17.12.2015</t>
  </si>
  <si>
    <t>grytskiv99@i.ua79495, Львівська обл., м. Винники, вул. Галицька, 20Перейти на сайт</t>
  </si>
  <si>
    <t>http://vynnyky-rada.gov.ua/</t>
  </si>
  <si>
    <t>Фастівська міська громада</t>
  </si>
  <si>
    <t>Молодіжна Рада Фастова</t>
  </si>
  <si>
    <t>03.09.2018</t>
  </si>
  <si>
    <t>https://www.facebook.com/molod.rada.fastiv/</t>
  </si>
  <si>
    <t>molodizna.rada.fastiv@gmail.com08500 Київська область, м. Фастів+38(067)536-54-24</t>
  </si>
  <si>
    <t>Теребовлянська міська громада</t>
  </si>
  <si>
    <t>Теребовля</t>
  </si>
  <si>
    <t>Молодіжна міська рада міста Теребовля</t>
  </si>
  <si>
    <t>lilia_sokha@ukr.net48100, місто Теребовля, Теребовлянський районПерейти на сайт+380976059617</t>
  </si>
  <si>
    <t>https://terebotg.in.ua/partneru/molodizhna-miska-rada/</t>
  </si>
  <si>
    <t>Немішаївська селищна громада</t>
  </si>
  <si>
    <t>Немішаївський Молодіжний Парламент</t>
  </si>
  <si>
    <t>18.06.2017</t>
  </si>
  <si>
    <t>https://www.facebook.com/groups/1420639201335012/about</t>
  </si>
  <si>
    <t>molodizhnyynemish@gmail.com07853, Київська область, Бородянський район, смт Немішаєве, вул. Б.Хмельницького, 1Перейти на сайт+380960941228</t>
  </si>
  <si>
    <t>http://nem-rada.gov.ua/category/molodizhnyy-parlament/</t>
  </si>
  <si>
    <t>Дунаєвецька міська громада</t>
  </si>
  <si>
    <t>Дунаївці</t>
  </si>
  <si>
    <t>Дунаєвецька Молодіжна рада</t>
  </si>
  <si>
    <t>12.07.2018</t>
  </si>
  <si>
    <t>https://www.facebook.com/dunaivtsi.mr/</t>
  </si>
  <si>
    <t>dun_mr@i.ua32400, Хмельницька обл., Дунаєвецький р-н, м. Дунаївці, вул. Шевченка, 50Перейти на сайт+380961424458</t>
  </si>
  <si>
    <t>Марківська селищна громада</t>
  </si>
  <si>
    <t>Кризьке</t>
  </si>
  <si>
    <t>Молодіжна рада при Кризькій сільській раді</t>
  </si>
  <si>
    <t>19.04.2018</t>
  </si>
  <si>
    <t>https://www.facebook.com/groups/276331782906662/</t>
  </si>
  <si>
    <t>krizka_s_r@i.ua92424, Луганська обл, Марківський р-он, с. Кризьке, вул. Миру,18аПерейти на сайт+380500818944, +380661904976</t>
  </si>
  <si>
    <t>Томаківська селищна громада</t>
  </si>
  <si>
    <t>Преображенка</t>
  </si>
  <si>
    <t>Молодіжна громадська рада при виконавчому комітеті Преображенського сільської ради</t>
  </si>
  <si>
    <t>prosvita2016@ukr.net70545, Запорізька область, Оріхівські район, с.Преображенка, вул. Преображенська, 3+380(95)4338400, +380(95)1777071</t>
  </si>
  <si>
    <t>Рівненська міська громада</t>
  </si>
  <si>
    <t>Рівненська</t>
  </si>
  <si>
    <t>Молодіжна міська рада Рівного</t>
  </si>
  <si>
    <t>17.11.2016</t>
  </si>
  <si>
    <t>https://rivne.pb.org.ua/projects/archive/85/show/445</t>
  </si>
  <si>
    <t>romaniuk.i_p16@nuwm.edu.ua+380938300972</t>
  </si>
  <si>
    <t>Арбузинська селищна громада</t>
  </si>
  <si>
    <t>Арбузинка</t>
  </si>
  <si>
    <t>Арбузинська Молодіжна рада</t>
  </si>
  <si>
    <t>05.02.2019</t>
  </si>
  <si>
    <t>https://www.facebook.com/%D0%9C%D0%BE%D0%BB%D0%BE%D0%B4%D1%96%D0%B6%D0%BD%D0%B0-%D1%80%D0%B0%D0%B4%D0%B0-%D0%BF%D1%80%D0%B8-%D0%90%D1%80%D0%B1%D1%83%D0%B7%D0%B8%D0%BD%D1%81%D1%8C%D0%BA%D1%96%D0%B9-%D0%9E%D0%A2%D0%93-115871766468340/</t>
  </si>
  <si>
    <t>dolga1988@ukr.net55301 Миколаївська область, Арбузинський район, смт Арбузинка+380684174813</t>
  </si>
  <si>
    <t>Маловисківська міська громада</t>
  </si>
  <si>
    <t>Мала Виска</t>
  </si>
  <si>
    <t>Маловисківська Молодіжна рада</t>
  </si>
  <si>
    <t>ngo.dievo@gmail.com26200, Кіровоградська область, Маловисківський р-н, м. Мала Виска0500562010</t>
  </si>
  <si>
    <t>Шацька селищна громада</t>
  </si>
  <si>
    <t>Шацьк</t>
  </si>
  <si>
    <t>Молодіжна рада Шацької селищної ради</t>
  </si>
  <si>
    <t>05.01.2022</t>
  </si>
  <si>
    <t>https://www.facebook.com/molodizhna.rada.shatska/</t>
  </si>
  <si>
    <t>shsrada1@ukr.net44000 Волинська обл.Шацький район смт.Шацьк вул Природна,33Перейти на сайт+38 (098)6688228, +38 (96)7983797</t>
  </si>
  <si>
    <t>Кам’янська міська громада</t>
  </si>
  <si>
    <t>Заводський</t>
  </si>
  <si>
    <t>Молодіжна рада місто Кам'янське</t>
  </si>
  <si>
    <t>24.09.2008</t>
  </si>
  <si>
    <t>https://www.facebook.com/groups/1647664491965678/</t>
  </si>
  <si>
    <t>usim@i.ua51931, Дніпропетровська область, м. Кам'янське, проспект Свободи,36+380 (98) 827 12 15</t>
  </si>
  <si>
    <t>Новодмитрівська сільська громада</t>
  </si>
  <si>
    <t>Драбівці</t>
  </si>
  <si>
    <t>Молодіжна рада "Майбутнє Драбівець"</t>
  </si>
  <si>
    <t>02.12.2016</t>
  </si>
  <si>
    <t>https://www.facebook.com/groups/427093111044658/</t>
  </si>
  <si>
    <t>sanjochek2009@ukr.net19731 Золотоніський район село Драбівці+380680202017</t>
  </si>
  <si>
    <t>Сосницька селищна громада</t>
  </si>
  <si>
    <t>Сосниця</t>
  </si>
  <si>
    <t>Молодіжна рада Сосницької ОТГ</t>
  </si>
  <si>
    <t>sosn@cg.gov.ua16109,Чернігівська обл. Смт Сосниця, вул. Л. Українки, 3+380989800001</t>
  </si>
  <si>
    <t>Карпівська сільська громада</t>
  </si>
  <si>
    <t>Молодіжна Рада Широківської ОТГ</t>
  </si>
  <si>
    <t>27.06.2017</t>
  </si>
  <si>
    <t>shyroke.otg@gmail.com69089, вул. Героїв 37-го батальйону, 137, Запоріжжя,+38066-66-51-445</t>
  </si>
  <si>
    <t>Смизька селищна громада</t>
  </si>
  <si>
    <t>Смига</t>
  </si>
  <si>
    <t>Смизька Молодіжна Рада</t>
  </si>
  <si>
    <t>11.04.2019</t>
  </si>
  <si>
    <t>https://www.facebook.com/smyhayouthteam/</t>
  </si>
  <si>
    <t>smyha-molod@ukr.net35680, Рівненська область, Дубенський район, смт Смига, вул. Заводська,1+38(099)384 8452</t>
  </si>
  <si>
    <t>Запорізька обласна студентська рада</t>
  </si>
  <si>
    <t>06.05.2014</t>
  </si>
  <si>
    <t>https://www.facebook.com/zpoblstud/</t>
  </si>
  <si>
    <t>molodzp@ukr.net69107, Запорізька область, м.Запоріжжя, пр.Соборний 164+380662366023</t>
  </si>
  <si>
    <t>Золотоніська міська громада</t>
  </si>
  <si>
    <t>Золотоніська молодіжна рада</t>
  </si>
  <si>
    <t>12.01.2017</t>
  </si>
  <si>
    <t>zolo-vssm@ukr.net19700 м. Золотоноша, Садовий проїзд 8+380632607459</t>
  </si>
  <si>
    <t>Славутицька міська громада</t>
  </si>
  <si>
    <t>Молодіжна рада "Майбутнє Славутича"</t>
  </si>
  <si>
    <t>15.02.2002</t>
  </si>
  <si>
    <t>https://www.facebook.com/mrslavutych/</t>
  </si>
  <si>
    <t>palaz77@ukr.net07100 Київська обл місто Славутич вул 77 Гвардійської дивізії 1+380669112223</t>
  </si>
  <si>
    <t>Мереф'янська міська громада</t>
  </si>
  <si>
    <t>Мерефа</t>
  </si>
  <si>
    <t>Молодіжна рада Мереф'янської громади</t>
  </si>
  <si>
    <t>11.12.2019</t>
  </si>
  <si>
    <t>https://www.facebook.com/motionteammerefa/</t>
  </si>
  <si>
    <t>motion.team.merefa@gmail.com62472, Харківська область, Харківський район, м.Мерефа, вул. Дніпровська 213.+380957359867</t>
  </si>
  <si>
    <t>Городниця</t>
  </si>
  <si>
    <t>Городницька молодіжна рада</t>
  </si>
  <si>
    <t>21.06.2018</t>
  </si>
  <si>
    <t>gid2010@ukr.net11714, Житомирська обл., Новоград-Волинскький район, смт. Городниця, вул. Заводська 80988176080</t>
  </si>
  <si>
    <t>Одеська міська громада</t>
  </si>
  <si>
    <t>Малиновський</t>
  </si>
  <si>
    <t>Молодіжна рада при Одеському міському голові</t>
  </si>
  <si>
    <t>14.06.2011</t>
  </si>
  <si>
    <t>nycukraine.org</t>
  </si>
  <si>
    <t>odessa.branch.nycu@gmail.comПерейти на сайт093 498 1513</t>
  </si>
  <si>
    <t>Залізничний</t>
  </si>
  <si>
    <t>Львівська молодіжна рада</t>
  </si>
  <si>
    <t>24.05.2016</t>
  </si>
  <si>
    <t>https://www.facebook.com/NYCULVIV/</t>
  </si>
  <si>
    <t>lvivyouthcouncil@nycukraine.orgПерейти на сайт073 121 4316</t>
  </si>
  <si>
    <t>zapytivsad.lvivedu.com</t>
  </si>
  <si>
    <t>Чернігівська міська громада</t>
  </si>
  <si>
    <t>Новозаводський</t>
  </si>
  <si>
    <t>Чернігівська молодіжна рада</t>
  </si>
  <si>
    <t>13.03.2019</t>
  </si>
  <si>
    <t>chernigiv-rada.gov.ua</t>
  </si>
  <si>
    <t>info@newch.tvПерейти на сайт0462 774 883</t>
  </si>
  <si>
    <t>Лубенська міська громада</t>
  </si>
  <si>
    <t>Молодіжна рада Лубен</t>
  </si>
  <si>
    <t>mvk@lubnyrada.gov.uaПерейти на сайт053-61-7-27-21</t>
  </si>
  <si>
    <t>http://m-lubnyrada.com.ua/</t>
  </si>
  <si>
    <t>Молодіжна Міська Рада Тернополя</t>
  </si>
  <si>
    <t>https://www.facebook.com/molodizna.rada.te/?ref=page_internal</t>
  </si>
  <si>
    <t>te_info@moemisto.uaПерейти на сайт097 790 5549</t>
  </si>
  <si>
    <t>https://moemisto.ua/te/molodizhna-miska-rada-ternopil-organization</t>
  </si>
  <si>
    <t>Запорізька молодіжна міська рада</t>
  </si>
  <si>
    <t>05.10.2011</t>
  </si>
  <si>
    <t>https://www.facebook.com/groups/mmr.zp.ua/</t>
  </si>
  <si>
    <t>zvern@zp.gov.uaПерейти на сайт066 310 0046, 233-53-14</t>
  </si>
  <si>
    <t>https://zp.gov.ua/uk/page/zaporizka-molodizhna-miska-rada</t>
  </si>
  <si>
    <t>Вінницька міська громада</t>
  </si>
  <si>
    <t>Вінниця</t>
  </si>
  <si>
    <t>Вінницька молодіжна рада</t>
  </si>
  <si>
    <t>22.10.2016</t>
  </si>
  <si>
    <t>https://www.facebook.com/groups/1243189575754763</t>
  </si>
  <si>
    <t>molod@vmr.gov.uaПерейти на сайт0432 595 100</t>
  </si>
  <si>
    <t>vmr.gov.ua</t>
  </si>
  <si>
    <t>Миколаївська міська громада</t>
  </si>
  <si>
    <t>Рада з питань молодіжної політики при Миколаївському міському голові</t>
  </si>
  <si>
    <t>30.08.2019</t>
  </si>
  <si>
    <t>https://www.facebook.com/molodradamk/</t>
  </si>
  <si>
    <t>otd.molod.mk@mkrada.gov.uaПерейти на сайт36-24-18</t>
  </si>
  <si>
    <t>mkrada.gov.ua</t>
  </si>
  <si>
    <t>Житомирська міська громада</t>
  </si>
  <si>
    <t>Молодіжна рада Житомира</t>
  </si>
  <si>
    <t>29.11.2021</t>
  </si>
  <si>
    <t>https://www.facebook.com/mgrzt/</t>
  </si>
  <si>
    <t>mvk@zt-rada.gov.uaПерейти на сайт0412 481 212</t>
  </si>
  <si>
    <t>molod.zt.ua</t>
  </si>
  <si>
    <t>Мостівська сільська громада</t>
  </si>
  <si>
    <t>Мостове</t>
  </si>
  <si>
    <t>Молодіжна рада "Кульбаба"</t>
  </si>
  <si>
    <t>27.11.2017</t>
  </si>
  <si>
    <t>https://www.facebook.com/kulbaba.molodrada/</t>
  </si>
  <si>
    <t>marina-flakey@ukr.net56470, село Мостове Доманівський район Миколаївська областьПерейти на сайт0966756278</t>
  </si>
  <si>
    <t>Девладівська селищна громада</t>
  </si>
  <si>
    <t>Мар'є-Дмитрівка</t>
  </si>
  <si>
    <t>Молодіжна рада "Агент змін"</t>
  </si>
  <si>
    <t>16.03.2019</t>
  </si>
  <si>
    <t>https://www.facebook.com/groups/agentzmin/</t>
  </si>
  <si>
    <t>agent_zmin@ukr.net53132, Дніпропетровська обл., Софіївський р-н., с. Мар'є-Дмитрівка, вул. Молодіжна, буд.4Перейти на сайт+380 (97) 643 - 74 - 67</t>
  </si>
  <si>
    <t>Молодіжна рада при Чернігівському міському голові</t>
  </si>
  <si>
    <t>03.10.2018</t>
  </si>
  <si>
    <t>https://www.facebook.com/mrchernihiv/?epa=SEARCH_BOX</t>
  </si>
  <si>
    <t>mr.chernihiv@gmail.com14000, Чернігівська обл., Чернігівський р-н, вул. Кирпоноса, 9Перейти на сайт(0462) 77-41-34</t>
  </si>
  <si>
    <t>Мелітопольська міська громада</t>
  </si>
  <si>
    <t>Молодіжний парламент Мелітополя</t>
  </si>
  <si>
    <t>17.10.2019</t>
  </si>
  <si>
    <t>https://www.facebook.com/profile.php?id=100037350963367</t>
  </si>
  <si>
    <t>mpm@mlt.gov.ua72312, Запорізька область, місто Мелітополь, вулиця Михайла Грушевського, будинок 5Перейти на сайт+380966128291</t>
  </si>
  <si>
    <t>http://mlt.gov.ua/index.php?option=com_content&amp;task=blogcategory&amp;id=218&amp;Itemid=529</t>
  </si>
  <si>
    <t>Демидівська селищна громада</t>
  </si>
  <si>
    <t>Демидівка</t>
  </si>
  <si>
    <t>Молодіжна рада при Демидівській селищній раді</t>
  </si>
  <si>
    <t>23.06.2018</t>
  </si>
  <si>
    <t>https://www.facebook.com/groups/molod.rada</t>
  </si>
  <si>
    <t>demydivka.mr@gmail.com35200, Рівненська обл., Демидівський р-н, смт Демидівка, вул. Миру, 35Перейти на сайт+380363761842, 096-9502788</t>
  </si>
  <si>
    <t>https://demydivska-gromada.gov.ua/molodizhna-rada-22-34-38-22-06-2018/</t>
  </si>
  <si>
    <t>Чмирівська сільська громада</t>
  </si>
  <si>
    <t>Чмирівка</t>
  </si>
  <si>
    <t>Чмирівська Молодіжна Рада</t>
  </si>
  <si>
    <t>24.05.2018</t>
  </si>
  <si>
    <t>https://www.facebook.com/%D0%9C%D0%BE%D0%BB%D0%BE%D0%B4%D1%96%D0%B6%D0%BD%D0%B0-%D1%80%D0%B0%D0%B4%D0%B0-%D0%A7%D0%BC%D0%B8%D1%80%D1%96%D0%B2%D1%81%D1%8C%D0%BA%D0%BE%D1%97-%D0%A1%D0%A2%D0%93-2312561742094192/</t>
  </si>
  <si>
    <t>molod.rada.ch.otg@gmail.com92740, Луганська обл, Старобільський р-н, с.Чмирівка, вул. Запорізька, 15.Перейти на сайт</t>
  </si>
  <si>
    <t>https://www.facebook.com/%D0%9C%D0%BE%D0%BB%D0%BE%D0%B4%D1%96%D0%B6%D0%BD%D0%B0-%D1%80%D0%B0%D0%B4%D0%B0-%D0%A7%D0%BC%D0%B8%D1%80%D1%96%D0%B2%D1%81%D1%8C%D0%BA%D0%BE%D1%97-%D0%9E%D0%A2%D0%93-2312561742094192/</t>
  </si>
  <si>
    <t>Варвинська селищна громада</t>
  </si>
  <si>
    <t>Варва</t>
  </si>
  <si>
    <t>Варвинська молодіжна рада</t>
  </si>
  <si>
    <t>10.07.2019</t>
  </si>
  <si>
    <t>https://www.facebook.com/VARVAMR/</t>
  </si>
  <si>
    <t>oksanalukavenko1@gmail.com17600 Чернігівська обл смт Варва0502894877</t>
  </si>
  <si>
    <t>Шполянська міська громада</t>
  </si>
  <si>
    <t>Шпола</t>
  </si>
  <si>
    <t>Шполянська молодіжна рада</t>
  </si>
  <si>
    <t>24.05.2019</t>
  </si>
  <si>
    <t>https://www.facebook.com/molodradashpola</t>
  </si>
  <si>
    <t>koval_nn@ukr.net20603, Черкаська обл., м. Шпола, вул. Лозуватська,59Перейти на сайт+380(98)9423818</t>
  </si>
  <si>
    <t>http://shpola-otg.gov.ua/molodizhna-rada/</t>
  </si>
  <si>
    <t>Лановецька міська громада</t>
  </si>
  <si>
    <t>Ланівці</t>
  </si>
  <si>
    <t>Молодыжна рада при Лановецькій міській раді</t>
  </si>
  <si>
    <t>19.03.2019</t>
  </si>
  <si>
    <t>vitaliia.druziuk@gmail.com47402, Тернопільська обл., м.Ланівці, вул.Незалежності, 34Перейти на сайт+380986684083</t>
  </si>
  <si>
    <t>lanmisto.gov.ua</t>
  </si>
  <si>
    <t>Люботинська міська громада</t>
  </si>
  <si>
    <t>Люботинська молодіжна рада при Люботинській молодіжній раді</t>
  </si>
  <si>
    <t>15.08.2019</t>
  </si>
  <si>
    <t>https://www.facebook.com/LubYouthCouncil/</t>
  </si>
  <si>
    <t>initsiativ@gmail.comул.Вольная б.15Перейти на сайт0967000972</t>
  </si>
  <si>
    <t>http://lubotin-rada.gov.ua/info/page/3227</t>
  </si>
  <si>
    <t>Мала Білка</t>
  </si>
  <si>
    <t>Молодіжна рада Лановецького району</t>
  </si>
  <si>
    <t>davidandroshchuk@yahoo.com+380962866805</t>
  </si>
  <si>
    <t>Городнянська міська громада</t>
  </si>
  <si>
    <t>Городня</t>
  </si>
  <si>
    <t>Городнянська молодіжна рада Городнянської міської ради</t>
  </si>
  <si>
    <t>https://www.facebook.com/gorodnyanskamr</t>
  </si>
  <si>
    <t>mrgorm@ukr.net15100, Чернігівська область, місто Городня, вулиця Троїцька, будинок 13Перейти на сайт0687972713</t>
  </si>
  <si>
    <t>https://gormr.gov.ua/molodizhna-rada/</t>
  </si>
  <si>
    <t>Микулинецька селищна громада</t>
  </si>
  <si>
    <t>Микулинці</t>
  </si>
  <si>
    <t>Микулинецька Молодіжна рада</t>
  </si>
  <si>
    <t>ivanisinjulija13@gmail.com48120, Тернопільська обл., Теребовлянський р-н, смт Микулинці, вул. Степана Бандери, буд. 11+380 (67) 130-20-13</t>
  </si>
  <si>
    <t>Березівська міська громада</t>
  </si>
  <si>
    <t>Березівська Молодіжна рада</t>
  </si>
  <si>
    <t>povcharenko200312@gmail.comБиблиотека, General Pliev Square, Berezivka, 67300-67305, UkraineПерейти на сайт380973670589</t>
  </si>
  <si>
    <t>https:/https://www.facebook.com/groups/546593049444076/?ref=bookmarks/www.facebook.com/groups/546593049444076/?ref=bookmarks</t>
  </si>
  <si>
    <t>Вільховецька сільська громада</t>
  </si>
  <si>
    <t>Вільхівці</t>
  </si>
  <si>
    <t>Вільховецька молодіжна рада</t>
  </si>
  <si>
    <t>19.06.2019</t>
  </si>
  <si>
    <t>http://vilhovecka.gromada.org.ua/news/1560961624/</t>
  </si>
  <si>
    <t>gromadavilhovecka@gmail.com90542, Закарпатська обл. Тячівський р-н, с. Вільхівці, вул. Центральна, 101Перейти на сайт+з8 0962062833, +380962062833</t>
  </si>
  <si>
    <t>https://gromada.org.ua/gromada/vilhovecka/</t>
  </si>
  <si>
    <t>Іршавська міська громада</t>
  </si>
  <si>
    <t>Іршава</t>
  </si>
  <si>
    <t>Іршавська молодіжна рада</t>
  </si>
  <si>
    <t>20.01.2019</t>
  </si>
  <si>
    <t>https://www.facebook.com/%D0%9C%D0%BE%D0%BB%D0%BE%D0%B4%D1%96%D0%B6%D0%BD%D0%B0-%D1%80%D0%B0%D0%B4%D0%B0-%D0%86%D1%80%D1%88%D0%B0%D0%B2%D0%B8-592242971220152/</t>
  </si>
  <si>
    <t>8888s0000@gmail.com90100+380967239906</t>
  </si>
  <si>
    <t>Слобожанська селищна громада</t>
  </si>
  <si>
    <t>Слобожанське</t>
  </si>
  <si>
    <t>Молодіжна Рада при Слобожанському Селищному Голові</t>
  </si>
  <si>
    <t>olgashapovalova0405@gmail.com52005, Дніпропетровська область, Дніпровський район, смт Слобожанське, вул.Василя Сухомлинського, 56-б+38 068 775 35 51</t>
  </si>
  <si>
    <t>Перечинська міська громада</t>
  </si>
  <si>
    <t>Перечин</t>
  </si>
  <si>
    <t>Молодіжна рада Перечинської ОТГ</t>
  </si>
  <si>
    <t>15.05.2019</t>
  </si>
  <si>
    <t>https://www.facebook.com/Molodizhnarada1/</t>
  </si>
  <si>
    <t>molodozhnaradaperechyn@gmail.com89200, Закарпатська область, Перечинський р-н, Перечинська ОТГ, м. Перечин, Ужгородська, 76Перейти на сайт+38 (099) 471 26 31</t>
  </si>
  <si>
    <t>https://www.facebook.com/%D0%9C%D0%BE%D0%BB%D0%BE%D0%B4%D1%96%D0%B6%D0%BD%D0%B0-%D1%80%D0%B0%D0%B4%D0%B0-%D0%9F%D0%B5%D1%80%D0%B5%D1%87%D0%B8%D0%BD%D1%81%D1%8C%D0%BA%D0%BE%D1%97-%D0%9E%D0%A2%D0%93-1278003385691879/?epa=SEARCH_BOX</t>
  </si>
  <si>
    <t>Тячівська міська громада</t>
  </si>
  <si>
    <t>Тячів</t>
  </si>
  <si>
    <t>Тячівська Молодіжна рада</t>
  </si>
  <si>
    <t>14.01.2020</t>
  </si>
  <si>
    <t>https://www.facebook.com/%D0%9C%D0%BE%D0%BB%D0%BE%D0%B4%D1%96%D0%B6%D0%BD%D0%B0-%D1%80%D0%B0%D0%B4%D0%B0-%D0%A2%D1%8F%D1%87%D1%96%D0%B2%D1%81%D1%8C%D0%BA%D0%BE%D1%97-%D0%A2%D0%93-109995663870061/</t>
  </si>
  <si>
    <t>chex6025@gmail.com90500, Закарпатська обл., Тячівський район, м. Тячів, вул. Шевченка, 2Перейти на сайт+380989230797</t>
  </si>
  <si>
    <t>https://tyachiv-city.gov.ua/feedback/</t>
  </si>
  <si>
    <t>Краматорська міська громада</t>
  </si>
  <si>
    <t>Краматорська Молодіжна рада</t>
  </si>
  <si>
    <t>13.04.2017</t>
  </si>
  <si>
    <t>https://www.facebook.com/%D0%9A%D1%80%D0%B0%D0%BC%D0%B0%D1%82%D0%BE%D1%80%D1%81%D1%8C%D0%BA%D0%B0-%D0%9C%D0%BE%D0%BB%D0%BE%D0%B4%D1%96%D0%B6%D0%BD%D0%B0-%D0%A0%D0%B0%D0%B4%D0%B0-Kramatorsk-Youth-Council-104683114881034/?ref=page_internal</t>
  </si>
  <si>
    <t>molodradakram@gmail.com84313, Донецька обл., м. Краматорськ, бул. Машинобудівників, 37Перейти на сайт+380952217009, +380636116000</t>
  </si>
  <si>
    <t>https://www.facebook.com/groups/molod.kram.rada/</t>
  </si>
  <si>
    <t>Приморська міська громада</t>
  </si>
  <si>
    <t>Приморськ</t>
  </si>
  <si>
    <t>Молодіжна Приморської ОТГ</t>
  </si>
  <si>
    <t>ridna90@gmail.com72102, Запорізька область, Приморський район, м.Приморськ, вул.Центральна, б.7380505610902</t>
  </si>
  <si>
    <t>Старовижівська селищна громада</t>
  </si>
  <si>
    <t>Стара Вижівка</t>
  </si>
  <si>
    <t>Старовижівська Молодіжна Рада</t>
  </si>
  <si>
    <t>ribal4enko.kolia@ukr.net44401, Волинська обл. Старовижівський р-н, смт. Стара Вижівка вул. Незалежності 50+380991397615</t>
  </si>
  <si>
    <t>Острозька міська громада</t>
  </si>
  <si>
    <t>Острозька Молодіжна рада</t>
  </si>
  <si>
    <t>30.11.2018</t>
  </si>
  <si>
    <t>https://www.facebook.com/youthcouncilofostroh</t>
  </si>
  <si>
    <t>Ostrogmolodsport@ukr.net35800, м. Острог, просп.Незалежності, 2Перейти на сайт+380964604645</t>
  </si>
  <si>
    <t>https://www.ostroh.rv.ua/</t>
  </si>
  <si>
    <t>Кушугумська селищна громада</t>
  </si>
  <si>
    <t>Кушугумська Молодіжна Рада</t>
  </si>
  <si>
    <t>25.09.2017</t>
  </si>
  <si>
    <t>https://www.facebook.com/kush.mr/?ref=page_internal</t>
  </si>
  <si>
    <t>kmolodiznarada@gmail.com70450, Запорізька обл., Запорізький р-н, смт. Кушугум, вул. Кірова, буд 192Перейти на сайт+380967385369</t>
  </si>
  <si>
    <t>https://www.instagram.com/mr_kushugum</t>
  </si>
  <si>
    <t>Білоцерківська міська громада</t>
  </si>
  <si>
    <t>Білоцерківська Молодіжна рада</t>
  </si>
  <si>
    <t>https://www.facebook.com/radamolodi.bc/</t>
  </si>
  <si>
    <t>btsms@ukr.net09100 Київська область, Білоцерківський район, місто Біла Церква, вул. Олеся Гончара, 11+380935477505</t>
  </si>
  <si>
    <t>Рівненська молодіжна міська рада</t>
  </si>
  <si>
    <t>07.06.2019</t>
  </si>
  <si>
    <t>viktor.pidgrushnij@gmail.com+380 (73) 083 82 96</t>
  </si>
  <si>
    <t>Славутська міська громада</t>
  </si>
  <si>
    <t>Славута</t>
  </si>
  <si>
    <t>Молодіжна рада Славутської міської ОТГ</t>
  </si>
  <si>
    <t>18.10.2019</t>
  </si>
  <si>
    <t>https://www.facebook.com/molodizhna.rada.slavuty/</t>
  </si>
  <si>
    <t>info-mvk@ukr.net30000, Хмельницька обл., м. Славута, вул. Соборності, 7Перейти на сайт</t>
  </si>
  <si>
    <t>Асканія-Нова селищна громада</t>
  </si>
  <si>
    <t>Асканія-Нова</t>
  </si>
  <si>
    <t>Молодіжна рада при Асканія-Нова селищній раді</t>
  </si>
  <si>
    <t>ask.molod.rada@gmail.com+380663328887</t>
  </si>
  <si>
    <t>Коломийська міська громада</t>
  </si>
  <si>
    <t>Молодіжна рада Коломийської ОТГ</t>
  </si>
  <si>
    <t>27.09.2013</t>
  </si>
  <si>
    <t>https://www.facebook.com/molodiznaradakolo/</t>
  </si>
  <si>
    <t>molodizna.rada.klm@gmail.com78200, Івано-Франківська область, м.Коломия, вул. Грушевського, 1+380669862931</t>
  </si>
  <si>
    <t>Красноградська міська громада</t>
  </si>
  <si>
    <t>Красноградська молодіжна рада</t>
  </si>
  <si>
    <t>19.10.2020</t>
  </si>
  <si>
    <t>https://www.facebook.com/molodrada.krd/</t>
  </si>
  <si>
    <t>grshna55@gmail.com63304 м. Красноград, вул. Бєльовська, 88+380501450929</t>
  </si>
  <si>
    <t>Підволочиська селищна громада</t>
  </si>
  <si>
    <t>Підволочиськ</t>
  </si>
  <si>
    <t>Підволочиська молодіжна селищна рада</t>
  </si>
  <si>
    <t>15.09.2019</t>
  </si>
  <si>
    <t>https://www.facebook.com/youthparlament.po/</t>
  </si>
  <si>
    <t>youthparlament.pidvol@gmail.com47800.Тернопільска обл.смт Підволочиськ.вул ШептицькогоПерейти на сайт+38(096)13-45-949</t>
  </si>
  <si>
    <t>https://sites.google.com/view/youthparlament/</t>
  </si>
  <si>
    <t>Маріупольська міська громада</t>
  </si>
  <si>
    <t>Молодіжна рада Маріуполя</t>
  </si>
  <si>
    <t>16.10.2020</t>
  </si>
  <si>
    <t>https://www.facebook.com/youthcouncil.mrpl/</t>
  </si>
  <si>
    <t>molodrada.mrpl@gmail.com87500 Донецька область, місто Маріуполь, Архітектора Нільсена 35а+38 096 465 4328</t>
  </si>
  <si>
    <t>Меденицька селищна громада</t>
  </si>
  <si>
    <t>Летня</t>
  </si>
  <si>
    <t>Меденицька Молодіжна рада</t>
  </si>
  <si>
    <t>04.09.2019</t>
  </si>
  <si>
    <t>https://rada.info/upload/users_files/04374743/c442f83195763dc2504f86b3af7d05af.pdf</t>
  </si>
  <si>
    <t>kisera.ivan18@gmail.com82160, 82161 Львівська обл., Дрогобицький р-н, смт Меденичі, вул. Незалежності, 52+380972047094</t>
  </si>
  <si>
    <t>Кам’янка-Бузька міська громада</t>
  </si>
  <si>
    <t>Кам’янка-Бузька</t>
  </si>
  <si>
    <t>Молодіжна рада при Кам‘янка-Бузькій міській раді</t>
  </si>
  <si>
    <t>https://kbmr.gov.ua/news/1535964847/</t>
  </si>
  <si>
    <t>ikvas@i.ua80400, Львівська обл., м. Кам‘янка-Бузька, вул. Шевченка 2+380977585899</t>
  </si>
  <si>
    <t>Сокальська міська громада</t>
  </si>
  <si>
    <t>Молодіжна Рада м.Сокаль</t>
  </si>
  <si>
    <t>20.01.2020</t>
  </si>
  <si>
    <t>https://www.facebook.com/youngcouncilsokal/</t>
  </si>
  <si>
    <t>youngconcilsokal@gmail.com80001, Львівська область, Червоноградський район, м. Сокаль+380687721515</t>
  </si>
  <si>
    <t>Здовбицька сільська громада</t>
  </si>
  <si>
    <t>Здовбицька молодіжна рада</t>
  </si>
  <si>
    <t>21.12.2020</t>
  </si>
  <si>
    <t>https://www.facebook.com/groups/755150098737871</t>
  </si>
  <si>
    <t>mrzdovbytsia@gmail.com35700, Рівненська обл. Рівненський р-н, с. Здовбиця, вул. Шосова 105Перейти на сайт+380680520238</t>
  </si>
  <si>
    <t>Коломацька селищна громада</t>
  </si>
  <si>
    <t>Коломацька молодіжна рада</t>
  </si>
  <si>
    <t>23.10.2019</t>
  </si>
  <si>
    <t>http://kolomak-rada.gov.ua/2019/10/23/ogoloshennya-pro-provedennya-ustanovchyh-zboriv-dlya-formuvannya-skladu-molodizhnoyi-rady-pry-kolomatskij-selyshhnij-radi/</t>
  </si>
  <si>
    <t>tanabobonec@gmail.com63101Перейти на сайт380508751944</t>
  </si>
  <si>
    <t>https://www.facebook.com/profile.php?id=100057804232575</t>
  </si>
  <si>
    <t>Новоград-Волинська міська громада</t>
  </si>
  <si>
    <t>Новоград-Волинська Молодіжна рада</t>
  </si>
  <si>
    <t>25.06.2010</t>
  </si>
  <si>
    <t>http://www.molodijna-rada.narod.ru/statut.htm</t>
  </si>
  <si>
    <t>molodizhna.rada.nv@gmail.com11702, Житомирська обл., Новоград-Волинський р-н, м Новоград-Волинський, вул. Шевченка, буд. 16Перейти на сайт+380 (93) 483 42 94, +380 (93) 483 42 94</t>
  </si>
  <si>
    <t>https://www.facebook.com/%D0%9C%D0%BE%D0%BB%D0%BE%D0%B4%D1%96%D0%B6%D0%BD%D0%B0-%D0%A0%D0%B0%D0%B4%D0%B0-%D0%9D%D0%BE%D0%B2%D0%BE%D0%B3%D1%80%D0%B0%D0%B4%D0%B0-%D0%92%D0%BE%D0%BB%D0%B8%D0%BD%D1%81%D1%8C%D0%BA%D0%BE%D0%B3%D0%BE-105533141053295/</t>
  </si>
  <si>
    <t>Угринівська сільська громада</t>
  </si>
  <si>
    <t>Угринів</t>
  </si>
  <si>
    <t>Молодіжна рада Угринівської ТГ</t>
  </si>
  <si>
    <t>03.03.2021</t>
  </si>
  <si>
    <t>https://www.facebook.com/molodiznaradauhryniv/</t>
  </si>
  <si>
    <t>molodiznaradauhryniv@gmail.com77421 Угринів вул.Польова 1+380966572932</t>
  </si>
  <si>
    <t>Васильківська міська громада</t>
  </si>
  <si>
    <t>Молодіжна Рада Василькова</t>
  </si>
  <si>
    <t>28.01.2020</t>
  </si>
  <si>
    <t>https://www.facebook.com/molodradavasylkiv/</t>
  </si>
  <si>
    <t>m.rada.vasylkiv@gmail.com08601, Київська обл., Обухівський р-н, м. Васильків, вул. Покровська, буд. 5+380638969891</t>
  </si>
  <si>
    <t>Жовківська міська громада</t>
  </si>
  <si>
    <t>Жовківська Молодіжа Рада</t>
  </si>
  <si>
    <t>26.01.2021</t>
  </si>
  <si>
    <t>https://www.facebook.com/youthcouncilzhovkva/</t>
  </si>
  <si>
    <t>youthcouncilzhovkva@gmail.com80300, м.Жовква, пл.Вічева 1Перейти на сайт+380980488121, +380994943745</t>
  </si>
  <si>
    <t>https://www.facebook.com/youthcouncilzhovkva</t>
  </si>
  <si>
    <t>Жмеринська міська громада</t>
  </si>
  <si>
    <t>Жмеринка</t>
  </si>
  <si>
    <t>Жмеринська молодіжна рада</t>
  </si>
  <si>
    <t>16.20.2020</t>
  </si>
  <si>
    <t>https://www.facebook.com/molod.zhmr/</t>
  </si>
  <si>
    <t>ms30082004091173@gmail.com23100+380983551526</t>
  </si>
  <si>
    <t>Охтирська міська громада</t>
  </si>
  <si>
    <t>Молодіжна рада при Охтирській міській раді</t>
  </si>
  <si>
    <t>26.05.2020</t>
  </si>
  <si>
    <t>https://okhtyrkamr.gov.ua/%D0%B4%D0%BE%D1%80%D0%B0%D0%B4%D1%87%D0%B0-%D1%80%D0%B0%D0%B4%D0%B0/</t>
  </si>
  <si>
    <t>aza017@gmail.comвулиця Незалежності, 11 місто Охтирка Сумська область 42700 УкраїнаПерейти на сайт+380661182520</t>
  </si>
  <si>
    <t>https://www.facebook.com/molodizhnarada.okht</t>
  </si>
  <si>
    <t>Горностаївська селищна громада</t>
  </si>
  <si>
    <t>Горностаївка</t>
  </si>
  <si>
    <t>Верхньодніпровська молодіжна рада</t>
  </si>
  <si>
    <t>22.06.2018</t>
  </si>
  <si>
    <t>https://www.facebook.com/groups/222728875168647/</t>
  </si>
  <si>
    <t>molodizhnaradahotg@gmail.com+380(66)183-84-27</t>
  </si>
  <si>
    <t>Сумська міська громада</t>
  </si>
  <si>
    <t>Молодіжна рада при Сумській обласній державній адміністрації.</t>
  </si>
  <si>
    <t>18.12.2020</t>
  </si>
  <si>
    <t>https://www.facebook.com/sumy.somr/</t>
  </si>
  <si>
    <t>omr.sumy@gmail.com40000, Сумська обл., м. Суми, майдан Незалежності, буд. 2Перейти на сайт+38 (099) 2284070</t>
  </si>
  <si>
    <t>https://www.facebook.com/sumy.somr</t>
  </si>
  <si>
    <t>Стрілківська сільська громада</t>
  </si>
  <si>
    <t>Молодіжна рада при Стрілківській сільській раді</t>
  </si>
  <si>
    <t>20.04.2021</t>
  </si>
  <si>
    <t>https://strilky-gromada.gov.ua/wp-content/uploads/2021/06/1-rish-%E2%84%96177-poryadok-dennyj.docx</t>
  </si>
  <si>
    <t>molodizhnarada.strilky@gmail.com82092, Львівська обл., Самбірський р-н, с. Стрілки, вул. М.Вербицького, 2(098) 271-9903, (096) 984-8560</t>
  </si>
  <si>
    <t>Ужгородська міська громада</t>
  </si>
  <si>
    <t>Закарпатська молодіжна рада</t>
  </si>
  <si>
    <t>https://www.facebook.com/ZakarpattiaYouthCouncil/</t>
  </si>
  <si>
    <t>kaniyk2000@icloud.com88000(095) 070-5822</t>
  </si>
  <si>
    <t>Батівська селищна громада</t>
  </si>
  <si>
    <t>Батівька Молодіжна рада</t>
  </si>
  <si>
    <t>19.06.2021</t>
  </si>
  <si>
    <t>https://www.facebook.com/profile.php?id=100069908079433&amp;sk=about_profile_transparency</t>
  </si>
  <si>
    <t>mrbatyovo@gmail.com90212, Закарпатська обл., Берегівський р-н, смт Батьово, вул. Кошута, буд. 128Перейти на сайт(031) 414-9355</t>
  </si>
  <si>
    <t>https://batyovo-rada.gov.ua</t>
  </si>
  <si>
    <t>Борщів</t>
  </si>
  <si>
    <t>Молодіжна рада при Борщівській міській раді</t>
  </si>
  <si>
    <t>27.07.2020</t>
  </si>
  <si>
    <t>https://www.facebook.com/%D0%9C%D0%BE%D0%BB%D0%BE%D0%B4%D1%96%D0%B6%D0%BD%D0%B0-%D1%80%D0%B0%D0%B4%D0%B0-%D0%BF%D1%80%D0%B8-%D0%91%D0%BE%D1%80%D1%89%D1%96%D0%B2%D1%81%D1%8C%D0%BA%D1%96%D0%B9-%D0%BC%D1%96%D1%81%D1%8C%D0%BA%D1%96%D0%B9-%D1%80%D0%B0%D0%B4%D1%96-110417270760356/</t>
  </si>
  <si>
    <t>katschan@ukr.net48700, Тернопільська область, Чортківський район, місто Борщів,0977205031</t>
  </si>
  <si>
    <t>Кропивницька міська громада</t>
  </si>
  <si>
    <t>Кропивницька молодіжна рада</t>
  </si>
  <si>
    <t>11.11.2017</t>
  </si>
  <si>
    <t>https://www.facebook.com/krmolrada/</t>
  </si>
  <si>
    <t>Kropmolodrada@gmail.com25000 Кіровоградська область, Кропивницький, вулиця Велика Перспективна, 41,(099) 782-7883</t>
  </si>
  <si>
    <t>Молодіжна рада при Волинській ОДА</t>
  </si>
  <si>
    <t>10.06.2019</t>
  </si>
  <si>
    <t>https://www.facebook.com/youthcouncilofvolyn/</t>
  </si>
  <si>
    <t>youth.council.of.volyn@gmail.com43000, Волинська область, м. Луцьк, Градний узвіз, 5Перейти на сайт(096) 412-1534</t>
  </si>
  <si>
    <t>https://voladm.gov.ua/category/molodizhna-rada/1/</t>
  </si>
  <si>
    <t>Миропільська селищна громада</t>
  </si>
  <si>
    <t>Миропіль</t>
  </si>
  <si>
    <t>Миропільська молодіжна рада</t>
  </si>
  <si>
    <t>06.10.2021</t>
  </si>
  <si>
    <t>https://myropilska-gromada.gov.ua/news/1633531514/</t>
  </si>
  <si>
    <t>molod.rada.m@gmail.com13033, смт.Миропіль, Житомирська область, Житомирський район, вул. Центральна 38Перейти на сайт(096) 533-1025, (096) 533-1025</t>
  </si>
  <si>
    <t>https://www.instagram.com/molodizhna_rada_myropil/</t>
  </si>
  <si>
    <t>Ківерцівська міська громада</t>
  </si>
  <si>
    <t>Ківерці</t>
  </si>
  <si>
    <t>Ківерцівська молодіжна рада (Youth Council Kivertsi)</t>
  </si>
  <si>
    <t>19.04.2019</t>
  </si>
  <si>
    <t>https://www.facebook.com/YCKvts/</t>
  </si>
  <si>
    <t>yckvtsyo@gmail.com45201, Волинська область, Луцький район, місто Ківерці, вулиця Шевченка 14Перейти на сайт(095) 130-0971</t>
  </si>
  <si>
    <t>https://www.facebook.com/YCKvts/?ref=pages_you_manage</t>
  </si>
  <si>
    <t>Великобичківська селищна громада</t>
  </si>
  <si>
    <t>Великобичківська молодіжна рада</t>
  </si>
  <si>
    <t>11.04.2018</t>
  </si>
  <si>
    <t>https://www.facebook.com/bychkiv.rada</t>
  </si>
  <si>
    <t>yurii.tkach5@gmail.com90615, Закарпатська обл., Рахівський р-н, смт Великий Бичків, вул. Покровська 16(096) 111-6590</t>
  </si>
  <si>
    <t>Рожищенська міська громада</t>
  </si>
  <si>
    <t>Рожище</t>
  </si>
  <si>
    <t>Молодіжна рада при Рожищенській міській раді</t>
  </si>
  <si>
    <t>06.03.2019</t>
  </si>
  <si>
    <t>https://www.facebook.com/groups/1188096574692150</t>
  </si>
  <si>
    <t>Kuchmukmaksimm@gmail.comNezalezhnosti 60 street0667085266</t>
  </si>
  <si>
    <t>Романівська селищна громада</t>
  </si>
  <si>
    <t>Романів</t>
  </si>
  <si>
    <t>Романівська Молодіжна Рада</t>
  </si>
  <si>
    <t>29.07.2021</t>
  </si>
  <si>
    <t>https://romanivska-gromada.gov.ua/molodizhna-rada-pri-romanivskij-selischnij-radi-14-55-17-13-08-2021/</t>
  </si>
  <si>
    <t>mrromaniv@ukr.net13001, Житомирська область, Житомирський район, смт РоманівПерейти на сайт0989881398</t>
  </si>
  <si>
    <t>https://www.facebook.com/groups/304576727873325/?ref=share</t>
  </si>
  <si>
    <t>Чортківська міська громада</t>
  </si>
  <si>
    <t>Чортківська молодіжна рада</t>
  </si>
  <si>
    <t>https://www.facebook.com/chortkivflow/?ref=page_internal</t>
  </si>
  <si>
    <t>youthcouncil.chortkiv@gmail.com48500, Тернопільська обл.; м. Чортків; вул. Тараса Шевченка 21(067) 496-9780</t>
  </si>
  <si>
    <t>Мирноградська міська громада</t>
  </si>
  <si>
    <t>Молодіжна Рада Мирнограда</t>
  </si>
  <si>
    <t>09.10.2019</t>
  </si>
  <si>
    <t>https://www.facebook.com/groups/776539039914666/</t>
  </si>
  <si>
    <t>myrnograd@ukr.net85322, Донецька обл., м. Мирноград, вул. Центральна, 9Перейти на сайт(063) 684-1023</t>
  </si>
  <si>
    <t>https://www.instagram.com/m.r.myrnograda/</t>
  </si>
  <si>
    <t>Добросинсько-Магерівська селищна громада</t>
  </si>
  <si>
    <t>Добросин</t>
  </si>
  <si>
    <t>Добросинсько-Магерівська молодіжна рада</t>
  </si>
  <si>
    <t>31.03.2021</t>
  </si>
  <si>
    <t>https://dmg.gov.ua/news/1617820688/</t>
  </si>
  <si>
    <t>orest.borus@gmail.com80337, Львівська область, Львівський район, село Добросин, площа 40-річчя Перемоги,3Перейти на сайт(067) 890-9728, (067) 890-9728</t>
  </si>
  <si>
    <t>https://dmg.gov.ua/molodizhna-rada-09-36-54-08-07-2021/</t>
  </si>
  <si>
    <t>Балаклійська міська громада</t>
  </si>
  <si>
    <t>Балаклійська Молодіжна Рада</t>
  </si>
  <si>
    <t>10.09.2021</t>
  </si>
  <si>
    <t>https://www.facebook.com/balmolrad/</t>
  </si>
  <si>
    <t>bal.mol.rada@gmail.com64200, Харківська область, місто Балаклія, вулиця Жовтнева,14Перейти на сайт0660646290, 0574920716</t>
  </si>
  <si>
    <t>https://www.instagram.com/invites/contact/?i=1x6jq8quguwpg&amp;utm_content=n9x0cnb</t>
  </si>
  <si>
    <t>Варковицька сільська громада</t>
  </si>
  <si>
    <t>Дядьковичі</t>
  </si>
  <si>
    <t>Молодіжна рада при Дядьковицькій сільській раді</t>
  </si>
  <si>
    <t>06.06.2019</t>
  </si>
  <si>
    <t>https://www.facebook.com/groups/dyadkovychi.molod/</t>
  </si>
  <si>
    <t>molodiznaradadadkovichi@gmail.comПерейти на сайт0950708081, 0967034060</t>
  </si>
  <si>
    <t>https://www.facebook.com/groups/dyadkovychi.molod/?ref=share</t>
  </si>
  <si>
    <t>Торчинська селищна громада</t>
  </si>
  <si>
    <t>Торчин</t>
  </si>
  <si>
    <t>Моложна рада при Торчинській селищній раді</t>
  </si>
  <si>
    <t>18.10.2020</t>
  </si>
  <si>
    <t>https://www.facebook.com/molodtorchinskoiotg/</t>
  </si>
  <si>
    <t>super.lady.iron@gmail.com45612, Волинська область, Луцький район, смт Торчин вул Незалежності 35Перейти на сайт0505226102</t>
  </si>
  <si>
    <t>Чернеччинська сільська громада</t>
  </si>
  <si>
    <t>Гупалівка</t>
  </si>
  <si>
    <t>Чернеччинська Молодіжна Рада</t>
  </si>
  <si>
    <t>31.05.2021</t>
  </si>
  <si>
    <t>https://chernet.otg.dp.gov.ua/</t>
  </si>
  <si>
    <t>elenagunko55577@gmail.com51110, Дніпропетровська область, Новомосковський район, с. Гупалівка, вул. Романа Савченко 40А0664427344, 0664427344</t>
  </si>
  <si>
    <t>Кіптівська сільська громада</t>
  </si>
  <si>
    <t>Кіпті</t>
  </si>
  <si>
    <t>Молодіжна рада при Кіптівській сільській раді</t>
  </si>
  <si>
    <t>21.02.2022</t>
  </si>
  <si>
    <t>https://www.cg.gov.ua/index.php?id=452133&amp;tp=page</t>
  </si>
  <si>
    <t>vidksmskipti@ukr.net17035, с.Кіпті, вулиця Слов'янська 53Перейти на сайт0663958982</t>
  </si>
  <si>
    <t>https://www.facebook.com/groups/4492444994210231/?ref=share</t>
  </si>
  <si>
    <t>Зміївська міська громада</t>
  </si>
  <si>
    <t>Молодіжна рада при Зміївському міському голові</t>
  </si>
  <si>
    <t>21.07.2021</t>
  </si>
  <si>
    <t>http://www.zmiivmisto.gov.ua/molodizhna-rada.html</t>
  </si>
  <si>
    <t>artysha90@gmail.com63404, Харківська обл., Чугуївський р-н, місто Зміїв, вул.Адміністративна, будинок 9Перейти на сайт(066) 286-8133</t>
  </si>
  <si>
    <t>https://www.facebook.com/profile.php?id=100073631853570</t>
  </si>
  <si>
    <t>Підгайцівська сільська громада</t>
  </si>
  <si>
    <t>Піддубці</t>
  </si>
  <si>
    <t>Підгайцівська Молодіжна рада</t>
  </si>
  <si>
    <t>04.10.2021</t>
  </si>
  <si>
    <t>https://www.volynpost.com/news/192807-u-pidgajcivskij-gromadi-ziavytsia-molodizhna-rada</t>
  </si>
  <si>
    <t>pidgaytsi.youth.council@gmail.com45635,Волинська обл., Луцький р-н, с. ПіддубціПерейти на сайт(066) 474-4235</t>
  </si>
  <si>
    <t>https://pidgayci-gromada.gov.ua/molodizhna-rada-pri-pidgajcivskij-silskij-radi-14-25-23-09-11-2021/</t>
  </si>
  <si>
    <t>Верхньодніпровська міська громада</t>
  </si>
  <si>
    <t>Верхньодніпровськ</t>
  </si>
  <si>
    <t>donskihtoropchinanatalia@gmail.com51600, м.Верхньодніпровськ, пр. Шевченко, 21Перейти на сайт0676372929</t>
  </si>
  <si>
    <t>https://www.facebook.com/groups/222728875168647</t>
  </si>
  <si>
    <t>м. Київ</t>
  </si>
  <si>
    <t>МЦГО Молодіжний центр громадянської освіти</t>
  </si>
  <si>
    <t>комунальний</t>
  </si>
  <si>
    <t>https://youthcenters.net.ua/mtsgo-molodigniy-tsentr-gromadyanskoi-osviti/</t>
  </si>
  <si>
    <t>Київський молодіжний центр</t>
  </si>
  <si>
    <t>10.04.1998</t>
  </si>
  <si>
    <t>https://kyc.org.ua/</t>
  </si>
  <si>
    <t>https://youthcenters.net.ua/kiivskiy-molodigniy-tsentr/</t>
  </si>
  <si>
    <t>Всеукраїнський молодіжний центр</t>
  </si>
  <si>
    <t>https://auyc.org.ua/</t>
  </si>
  <si>
    <t>https://youthcenters.net.ua/vseukrainskiy-molodigniy-tsentr/</t>
  </si>
  <si>
    <t>Молодіжний центр СОС Дитячі Містечка Україна</t>
  </si>
  <si>
    <t>28.02.2006</t>
  </si>
  <si>
    <t>громадський</t>
  </si>
  <si>
    <t>https://sos-ukraine.org/</t>
  </si>
  <si>
    <t>https://youthcenters.net.ua/molodigniy-tsentr-sos-dityachi-mistechka-ukraina/</t>
  </si>
  <si>
    <t>Київський обласний молодіжний центр</t>
  </si>
  <si>
    <t>https://www.facebook.com/kzkorkomc</t>
  </si>
  <si>
    <t>https://youthcenters.net.ua/kiivskiy-oblasniy-molodigniy-tsentr/</t>
  </si>
  <si>
    <t>Студентський простір “Крила”</t>
  </si>
  <si>
    <t>21.12.2019</t>
  </si>
  <si>
    <t>https://l.facebook.com/l.php?u=https%3A%2F%2Flinktr.ee%2Fprostirkryla%3Ffbclid%3DIwAR21aOGefStSOLf7uIAdDI_uScxp87S_b_y1ZB7CJI6VMx5L0QxlZMbYjYA&amp;h=AT2MUU72T9FecJ2IE09p0a6B7NECqrURAEmByi197nNdfeYpIIkhDs3CO0GwfqVtBPCzTYStEWxes7XEFd_42fNVOXpb6GzYzTCWIj654AkO8XHGbEPqMGxJqFGMFbCWg0jTzPnmI3J3u-A1GRSG</t>
  </si>
  <si>
    <t>https://youthcenters.net.ua/studentskiy-prostir-krila/</t>
  </si>
  <si>
    <t>білоцерківська міська територіальна громада</t>
  </si>
  <si>
    <t>Молодіжний центр міста Біла Церква</t>
  </si>
  <si>
    <t>28.02.20219(відкриття)</t>
  </si>
  <si>
    <t>https://www.facebook.com/bc.molodcenter</t>
  </si>
  <si>
    <t>https://youthcenters.net.ua/molodigniy-tsentr-mista-bila-tserkva/</t>
  </si>
  <si>
    <t>Фастівська міська територіальна громада</t>
  </si>
  <si>
    <t>м. Фастів</t>
  </si>
  <si>
    <t>Фастівський міський молодіжний центр</t>
  </si>
  <si>
    <t>18.07.2018</t>
  </si>
  <si>
    <t>https://www.facebook.com/groups/360417634530988/</t>
  </si>
  <si>
    <t>https://youthcenters.net.ua/fastivskiy-miskiy-molodignyi-tsentr/</t>
  </si>
  <si>
    <t>м. Буча</t>
  </si>
  <si>
    <t>Пластовий Вишкільний Центр</t>
  </si>
  <si>
    <t>https://youthcenters.net.ua/natsionalniy-plastoviy-vishkilniy-tsentr/</t>
  </si>
  <si>
    <t>м. Переяслав</t>
  </si>
  <si>
    <t>23.05.2013</t>
  </si>
  <si>
    <t>https://www.facebook.com/dzhemtoloka/posts/3529115937315712</t>
  </si>
  <si>
    <t>https://youthcenters.net.ua/toloka-hab/</t>
  </si>
  <si>
    <t>Молодіжний простір «Зустріч»</t>
  </si>
  <si>
    <t xml:space="preserve"> 
02.06.1994 ( КЗ "ПЕРЕЯСЛАВСЬКИЙ ЦКМ" , в них одна адреса , самої 'Зустрічі ' не знайшла)</t>
  </si>
  <si>
    <t>https://m.facebook.com/mczustrich/</t>
  </si>
  <si>
    <t>https://youthcenters.net.ua/molodigniy-prostir-zustrich/</t>
  </si>
  <si>
    <t>Славутицька громада</t>
  </si>
  <si>
    <t>м. Славутич</t>
  </si>
  <si>
    <t>Молодіжний простір м. Славутич</t>
  </si>
  <si>
    <t>https://www.facebook.com/Youth.Hub.Slavutych/</t>
  </si>
  <si>
    <t>https://youthcenters.net.ua/slavutitskiy-molodigniy-prostir/</t>
  </si>
  <si>
    <t>Медвинська громада</t>
  </si>
  <si>
    <t>с. Медвин</t>
  </si>
  <si>
    <t>Молодіжний центр Медвинської ОТГ</t>
  </si>
  <si>
    <t>жовтні 2019 р</t>
  </si>
  <si>
    <t>https://youthcenters.net.ua/molodigniy-tsentr-medvinskoi-otg/</t>
  </si>
  <si>
    <t>Вишгородська міська громада</t>
  </si>
  <si>
    <t>м. Вишгород</t>
  </si>
  <si>
    <t>Клуб професій "Генерація UA"</t>
  </si>
  <si>
    <t>ВИШГОРОДСЬКИЙ МРЦ ????</t>
  </si>
  <si>
    <t>https://www.facebook.com/%D0%93%D0%B5%D0%BD%D0%B5%D1%80%D0%B0%D1%86%D1%96%D1%8F-UA-%D0%BA%D0%BB%D1%83%D0%B1-%D0%BF%D1%80%D0%BE%D1%84%D0%B5%D1%81%D1%96%D0%B9-102062968614219/</t>
  </si>
  <si>
    <t>https://youthcenters.net.ua/klub-profesiy-generatsiya-ua/</t>
  </si>
  <si>
    <t>Боярська міська громада</t>
  </si>
  <si>
    <t>м. Боярка</t>
  </si>
  <si>
    <t>Молодіжний Центр міста Боярка</t>
  </si>
  <si>
    <t>9 квіт. 2021 р</t>
  </si>
  <si>
    <t>https://www.facebook.com/bo.molodi</t>
  </si>
  <si>
    <t>https://youthcenters.net.ua/molodigniy-tsentr-mista-boyarka/</t>
  </si>
  <si>
    <t>м. Вінниця</t>
  </si>
  <si>
    <t>Квадрат( ППО ВОМЦ "КВАДРАТ")</t>
  </si>
  <si>
    <t xml:space="preserve"> 
01.06.2021</t>
  </si>
  <si>
    <t>https://www.facebook.com/kvadrat.vn.ua/</t>
  </si>
  <si>
    <t>https://youthcenters.net.ua/kvadrat/</t>
  </si>
  <si>
    <t>Центр підліткових клубів за місцем проживання “УНІВЕР”</t>
  </si>
  <si>
    <t>20 жовт. 2011 р</t>
  </si>
  <si>
    <t>https://youthcenters.net.ua/tsentr-pidlitkovih-klubiv-za-mistsem-progivannya-univer/</t>
  </si>
  <si>
    <t>Креативний простір "Level-80"</t>
  </si>
  <si>
    <t>2011 р</t>
  </si>
  <si>
    <t>https://www.instagram.com/level80_vinn/</t>
  </si>
  <si>
    <t>https://youthcenters.net.ua/kreativniy-prostir-level-80/</t>
  </si>
  <si>
    <t>HUB "Місто змістів"</t>
  </si>
  <si>
    <t>2018 рік</t>
  </si>
  <si>
    <t>https://mistozmistiv.vn.ua/</t>
  </si>
  <si>
    <t>https://youthcenters.net.ua/hub-misto-zmistiv/</t>
  </si>
  <si>
    <t>м. Жмеринка</t>
  </si>
  <si>
    <t>Учнівський хаб #Квартіра</t>
  </si>
  <si>
    <t>https://www.facebook.com/kvartirahub/?ref=page_internal</t>
  </si>
  <si>
    <t>https://youthcenters.net.ua/uchnivskiy-hab-kvartira/</t>
  </si>
  <si>
    <t>с. Війтівці</t>
  </si>
  <si>
    <t>ZHDANSPACE</t>
  </si>
  <si>
    <t>9 вересня 2019</t>
  </si>
  <si>
    <t>https://www.facebook.com/ZhdanspaceProject/</t>
  </si>
  <si>
    <t>https://youthcenters.net.ua/zhdanspace/</t>
  </si>
  <si>
    <t xml:space="preserve">
Луцька міська громада</t>
  </si>
  <si>
    <t>м. Луцьк</t>
  </si>
  <si>
    <t>Молодіжний центр YouthСфера</t>
  </si>
  <si>
    <t>https://www.facebook.com/youthsfera/</t>
  </si>
  <si>
    <t>https://youthcenters.net.ua/youthsfera/</t>
  </si>
  <si>
    <t>Молодіжний центр Волині</t>
  </si>
  <si>
    <t>20.02.2017</t>
  </si>
  <si>
    <t>https://www.facebook.com/youth.center.volyn/</t>
  </si>
  <si>
    <t>https://youthcenters.net.ua/molodigniy-tsentr-volini/</t>
  </si>
  <si>
    <t>Луцький міський молодіжний центр</t>
  </si>
  <si>
    <t>27.04.2017</t>
  </si>
  <si>
    <t>https://www.facebook.com/LutskCYC/</t>
  </si>
  <si>
    <t>https://youthcenters.net.ua/lutskiy-miskiy-molodigniy-tsentr/</t>
  </si>
  <si>
    <t>Простір для молоді "Place for teens"</t>
  </si>
  <si>
    <t>16 липня 2021</t>
  </si>
  <si>
    <t>https://www.facebook.com/groups/226191012439631/about/</t>
  </si>
  <si>
    <t>https://youthcenters.net.ua/place-for-teens/</t>
  </si>
  <si>
    <t>Ковельська міська громада</t>
  </si>
  <si>
    <t>м. Ковель</t>
  </si>
  <si>
    <t>Ковельський молодіжний центр "Місто ідей"</t>
  </si>
  <si>
    <t>03.01.2019</t>
  </si>
  <si>
    <t>https://www.facebook.com/ideascitykovel/</t>
  </si>
  <si>
    <t>https://youthcenters.net.ua/kovelskiy-molodigniy-tsentr-misto-idey/</t>
  </si>
  <si>
    <t>ВАТРА-правильний простір</t>
  </si>
  <si>
    <t>22.01.2021</t>
  </si>
  <si>
    <t>https://www.facebook.com/vatra.rightspace/</t>
  </si>
  <si>
    <t>https://youthcenters.net.ua/vatra-pravilniy-prostir/</t>
  </si>
  <si>
    <t>Нововолинська міська громада</t>
  </si>
  <si>
    <t>м. Нововолинськ</t>
  </si>
  <si>
    <t>Молодіжний центр "Нові крила"</t>
  </si>
  <si>
    <t>28.09.2016</t>
  </si>
  <si>
    <t>https://www.facebook.com/groups/NOVIKRYLA/</t>
  </si>
  <si>
    <t>https://youthcenters.net.ua/novi-kryla/</t>
  </si>
  <si>
    <t>Володимиро-Волинська міська громада</t>
  </si>
  <si>
    <t>м. Володимир-Волинський</t>
  </si>
  <si>
    <t>Хаб "Creative Studio"</t>
  </si>
  <si>
    <t>https://www.facebook.com/vvcreativestudio</t>
  </si>
  <si>
    <t>https://youthcenters.net.ua/hab-creative-studio/</t>
  </si>
  <si>
    <t>Ківерцівська громада</t>
  </si>
  <si>
    <t>м. Ківерці</t>
  </si>
  <si>
    <t>Молодіжно-рятувальний центр "Тивер"</t>
  </si>
  <si>
    <t>https://www.facebook.com/%D0%93%D0%9E-%D0%A2%D0%B8%D0%B2%D0%B5%D1%80-1658046927642691/</t>
  </si>
  <si>
    <t>https://youthcenters.net.ua/molodigno-ryatuvalniy-tsent-tiver/</t>
  </si>
  <si>
    <t>м. Рожище</t>
  </si>
  <si>
    <t>Відкритий простір для молоді “Цитрус”</t>
  </si>
  <si>
    <t>15.12.2017</t>
  </si>
  <si>
    <t>https://www.facebook.com/groups/art.citrus/</t>
  </si>
  <si>
    <t>https://youthcenters.net.ua/vidkritiy-prostir-dlya-molodi-tsitrus/</t>
  </si>
  <si>
    <t>Молодіжний простір «City life»</t>
  </si>
  <si>
    <t>https://youthcenters.net.ua/molodigniy-prostir-city-life/</t>
  </si>
  <si>
    <t>Копачівська громада</t>
  </si>
  <si>
    <t>с. Копачівка</t>
  </si>
  <si>
    <t>МЦ DidUhim</t>
  </si>
  <si>
    <t>https://www.facebook.com/MCdidUhim/</t>
  </si>
  <si>
    <t>https://youthcenters.net.ua/mts-diduhim/</t>
  </si>
  <si>
    <t>Поромівська громада</t>
  </si>
  <si>
    <t>c. Будятичі</t>
  </si>
  <si>
    <t>Молодіжний простір «ПораДій»</t>
  </si>
  <si>
    <t>16.09.2016</t>
  </si>
  <si>
    <t>https://www.facebook.com/molodizhnyy.prostir.poradiy/</t>
  </si>
  <si>
    <t>https://youthcenters.net.ua/molodigniy-prostir-poradiy/</t>
  </si>
  <si>
    <t>c. Зимне</t>
  </si>
  <si>
    <t>Молодіжний центр Зимнівської ОТГ</t>
  </si>
  <si>
    <t>19 Січня, 2018</t>
  </si>
  <si>
    <t>https://youthcenters.net.ua/molodigniy-tsentr-zimnivskoi-otg/</t>
  </si>
  <si>
    <t>Смідинська об'єднена громада</t>
  </si>
  <si>
    <t>с. Смідин</t>
  </si>
  <si>
    <t>Smidyn Hub</t>
  </si>
  <si>
    <t>https://www.facebook.com/smidyn.culture/</t>
  </si>
  <si>
    <t>https://youthcenters.net.ua/smidyn-hub/</t>
  </si>
  <si>
    <t>м. Дніпро</t>
  </si>
  <si>
    <t>МЦ Освіторіум</t>
  </si>
  <si>
    <t>12.04.2012</t>
  </si>
  <si>
    <t>https://www.facebook.com/osvitorium/</t>
  </si>
  <si>
    <t>https://youthcenters.net.ua/osvitorium/</t>
  </si>
  <si>
    <t>КП "Молодіжний центр Дніпропетровщини" Дніпропетровської облради</t>
  </si>
  <si>
    <t>https://youthcenters.net.ua/kp-molodigniy-tsentr-dnipropetrovshchini-dnipropetrovskoi-oblradi/</t>
  </si>
  <si>
    <t>Молодіжний центр Дніпра</t>
  </si>
  <si>
    <t>24.07.1992</t>
  </si>
  <si>
    <t>https://www.facebook.com/molcentrdnipra/</t>
  </si>
  <si>
    <t>https://youthcenters.net.ua/molodigniy-tsentr-dnipra/</t>
  </si>
  <si>
    <t>КЗ "Міський дитячо-молодіжний центр" Дніпровської міської ради</t>
  </si>
  <si>
    <t>https://www.facebook.com/kzmdmcdmr</t>
  </si>
  <si>
    <t>https://youthcenters.net.ua/kz-miskiy-dityacho-molodigniy-tsentr-dniprovskoi-miskoi-radi/</t>
  </si>
  <si>
    <t>Молодіжний медіацентр Дніпра</t>
  </si>
  <si>
    <t>20.11.2019</t>
  </si>
  <si>
    <t>https://www.facebook.com/molmediadnipra/</t>
  </si>
  <si>
    <t>https://youthcenters.net.ua/molodigniy-mediatsentr-dnipra/</t>
  </si>
  <si>
    <t>Молодіжний центр "Кузня української інтелігенції"</t>
  </si>
  <si>
    <t>2-го вересня 2017</t>
  </si>
  <si>
    <t>https://www.facebook.com/ukrintelligentsia/</t>
  </si>
  <si>
    <t>https://youthcenters.net.ua/kuznya-ukrainskoi-inteligentsii/</t>
  </si>
  <si>
    <t>Молодіжний центр "Strum"</t>
  </si>
  <si>
    <t>20 грудня 2019</t>
  </si>
  <si>
    <t>https://www.facebook.com/strum.centre/</t>
  </si>
  <si>
    <t>https://youthcenters.net.ua/molodigniy-tsentr-strum/</t>
  </si>
  <si>
    <t>Інклюзивний молодіжний центр "Даруємо радість" на базі Благодійної організації "Благодійний фонд "Даруємо радість"</t>
  </si>
  <si>
    <t>26 вересня 2018 р</t>
  </si>
  <si>
    <t>https://uk-ua.facebook.com/groups/MCDarimRadost/</t>
  </si>
  <si>
    <t>https://youthcenters.net.ua/inklyuzivniy-molodigniy-tsentr-daruemo-radist-na-bazi-blagodiynoi-organizatsii-blagodiyniy-fond-daruemo-radist/</t>
  </si>
  <si>
    <t>Молдіжний центр "Advanced worker"</t>
  </si>
  <si>
    <t>26 ЧЕРВНЯ 2019</t>
  </si>
  <si>
    <t>https://www.facebook.com/robitnychamolod/?modal=admin_todo_tour</t>
  </si>
  <si>
    <t>https://youthcenters.net.ua/moldigniy-tsentr-advanced-worker/</t>
  </si>
  <si>
    <t>Простір CoLibry, '' Дніпровська політехніка''</t>
  </si>
  <si>
    <t>25.09.2019</t>
  </si>
  <si>
    <t>https://www.facebook.com/libnmu/</t>
  </si>
  <si>
    <t>https://youthcenters.net.ua/prostir-colibry/</t>
  </si>
  <si>
    <t>м. Кривий Ріг</t>
  </si>
  <si>
    <t>Молодіжний центр #StudHub</t>
  </si>
  <si>
    <t>https://youthcenters.net.ua/molodigniy-tsentr-studhub/</t>
  </si>
  <si>
    <t>Криворізька міська громада</t>
  </si>
  <si>
    <t>Культурно-громадський центр ШELTER+</t>
  </si>
  <si>
    <t>https://www.facebook.com/shelterplus.ua/</t>
  </si>
  <si>
    <t>https://youthcenters.net.ua/kulturno-gromadskiy-tsentr-shelter/</t>
  </si>
  <si>
    <t>ВАТРА. Простір щирого спілкування</t>
  </si>
  <si>
    <t>26 листопада 2016 р</t>
  </si>
  <si>
    <t>https://www.facebook.com/vatra.prostir/</t>
  </si>
  <si>
    <t>https://youthcenters.net.ua/vatra-prostir-shchirogo-spilkuvannya/</t>
  </si>
  <si>
    <t>BiblioHab</t>
  </si>
  <si>
    <t>https://www.facebook.com/bibliohub.eu/</t>
  </si>
  <si>
    <t>https://youthcenters.net.ua/bibliohab/</t>
  </si>
  <si>
    <t>м. Кам'янське</t>
  </si>
  <si>
    <t>Комунальна установа "Центр молодіжних ініціатив" Кам'янської міської ради</t>
  </si>
  <si>
    <t xml:space="preserve"> 
16.01.2019 </t>
  </si>
  <si>
    <t>https://www.facebook.com/yic.kam/?ref=bookmarks</t>
  </si>
  <si>
    <t>https://youthcenters.net.ua/komunalna-ustanova-tsentr-molodignih-initsiativ-kam-yanskoi-miskoi-radi/</t>
  </si>
  <si>
    <t>Культурно-молодіжний центр "М.И.Р.HUB"</t>
  </si>
  <si>
    <t>6 березня 2019 р.  ·</t>
  </si>
  <si>
    <t>https://www.facebook.com/yic.kam/?ref=page_internal</t>
  </si>
  <si>
    <t>https://youthcenters.net.ua/kulturno-molodigniy-tsentr-m-i-r-hub/</t>
  </si>
  <si>
    <t>м. Павлоград</t>
  </si>
  <si>
    <t>«Молодіжний центр спілкування «Позитивний Павлоград»</t>
  </si>
  <si>
    <t>18.03.2015</t>
  </si>
  <si>
    <t>https://www.facebook.com/groups/pozitivepavlograd</t>
  </si>
  <si>
    <t>https://youthcenters.net.ua/molodigniy-tsentr-spilkuvannya-pozitivniy-pavlograd/</t>
  </si>
  <si>
    <t>м. Новомосковськ</t>
  </si>
  <si>
    <t>Новомосковський молодіжний центр</t>
  </si>
  <si>
    <t>04.01.2017</t>
  </si>
  <si>
    <t>https://www.facebook.com/novomoskovskmolodcenter/</t>
  </si>
  <si>
    <t>https://youthcenters.net.ua/novomoskovskiy-molodigniy-tsentr/</t>
  </si>
  <si>
    <t>м. Тернівка</t>
  </si>
  <si>
    <t>Тернівський міський молодіжний центр "InTern"</t>
  </si>
  <si>
    <t>https://www.facebook.com/YCinTern/</t>
  </si>
  <si>
    <t>https://youthcenters.net.ua/komunalniy-zaklad-ternivskiy-miskiy-molodigniy-tsentr/</t>
  </si>
  <si>
    <t>смт. Слобожанське</t>
  </si>
  <si>
    <t>Комунальний заклад "Молодіжний центр"Смарт" Слобожанської селищної ради</t>
  </si>
  <si>
    <t xml:space="preserve"> 
12.07.2019</t>
  </si>
  <si>
    <t>https://www.facebook.com/smart.ssr</t>
  </si>
  <si>
    <t>https://youthcenters.net.ua/komunalniy-zaklad-molodigniy-tsentr-smart-sloboganskoi-selishchnoi-radi/</t>
  </si>
  <si>
    <t>смт. Покровське</t>
  </si>
  <si>
    <t>Молодіжний простір "Pokrovske"</t>
  </si>
  <si>
    <t>23 серпня 2019 р.</t>
  </si>
  <si>
    <t>https://www.facebook.com/groups/mpPokrovske/about</t>
  </si>
  <si>
    <t>https://youthcenters.net.ua/molodigniy-prostir-pokrovske/</t>
  </si>
  <si>
    <t>смт. Обухівка</t>
  </si>
  <si>
    <t>Молодіжний центр А.Т.О.М.</t>
  </si>
  <si>
    <t>20.08.2018</t>
  </si>
  <si>
    <t>https://www.facebook.com/pg/%D0%9C%D0%BE%D0%BB%D0%BE%D0%B4%D1%96%D0%B6%D0%BD%D0%B8%D0%B9-%D1%86%D0%B5%D0%BD%D1%82%D1%80-%D0%90%D0%A2%D0%9E%D0%9C-102225441260104/about/?ref=page_internal</t>
  </si>
  <si>
    <t>https://youthcenters.net.ua/molodigniy-tsentr-a-t-o-m/</t>
  </si>
  <si>
    <t>Софіївська селищна територіальна громада</t>
  </si>
  <si>
    <t>смт. Софіївка</t>
  </si>
  <si>
    <t>Молодіжний центр "UNREAL"</t>
  </si>
  <si>
    <t>18 жовтня 2019 р</t>
  </si>
  <si>
    <t>https://www.facebook.com/profile.php?id=100025164801150&amp;sk=about</t>
  </si>
  <si>
    <t>https://youthcenters.net.ua/molodigniy-tsentr-unreal/</t>
  </si>
  <si>
    <t>с. Спаське</t>
  </si>
  <si>
    <t>Центр розвитку громади (на базі будинку культури) Спаський простір</t>
  </si>
  <si>
    <t>23 червня 2014 року</t>
  </si>
  <si>
    <t>https://youthcenters.net.ua/tsentr-rozvitku-gromadi-na-bazi-budinku-kulturi/</t>
  </si>
  <si>
    <t>с. Олександрівка</t>
  </si>
  <si>
    <t>Молодіжний центр "Friends"</t>
  </si>
  <si>
    <t>3 березня 2020 р.</t>
  </si>
  <si>
    <t>https://m.facebook.com/%D0%9C%D0%BE%D0%BB%D0%BE%D0%B4%D1%96%D0%B6%D0%BD%D0%B8%D0%B9-%D1%86%D0%B5%D0%BD%D1%82%D1%80-Friends-108237084120408/</t>
  </si>
  <si>
    <t>https://youthcenters.net.ua/molodigniy-tsentr-friends/</t>
  </si>
  <si>
    <t>с. Миколаївка</t>
  </si>
  <si>
    <t>Молодіжний медіа-центр "Резиденція молоді"</t>
  </si>
  <si>
    <t>27 февраля 2020</t>
  </si>
  <si>
    <t>https://m.facebook.com/pg/mku.youth.residence/posts/</t>
  </si>
  <si>
    <t>https://youthcenters.net.ua/molodigniy-media-tsentr-rezidentsiya-molodi/</t>
  </si>
  <si>
    <t>смт. Петропавлівка</t>
  </si>
  <si>
    <t>Focus Hub</t>
  </si>
  <si>
    <t>https://youthcenters.net.ua/focus-hub/</t>
  </si>
  <si>
    <t>с. Прядівка</t>
  </si>
  <si>
    <t>Молодіжний центр "Чіл@ут place"</t>
  </si>
  <si>
    <t>6 березня 2020</t>
  </si>
  <si>
    <t>https://www.facebook.com/MOLOdbOfficall/</t>
  </si>
  <si>
    <t>https://youthcenters.net.ua/molodigniy-tsentr-chil-ut-place/</t>
  </si>
  <si>
    <t>с. Новомиколаївка</t>
  </si>
  <si>
    <t>Вільний простір "Flash Без Меж"</t>
  </si>
  <si>
    <t>31 січня 2019</t>
  </si>
  <si>
    <t>https://www.facebook.com/groups/354329238627845</t>
  </si>
  <si>
    <t>https://youthcenters.net.ua/vilniy-prostir-flashbez-meg/</t>
  </si>
  <si>
    <t>Арт-пазл</t>
  </si>
  <si>
    <t>22 січня 2018 р.</t>
  </si>
  <si>
    <t>https://www.facebook.com/artpuzzlemrpl/</t>
  </si>
  <si>
    <t>https://youthcenters.net.ua/art-pazl/</t>
  </si>
  <si>
    <t>Центр розвитку дітей, молоді та вчителів "ГЕНЕРАЦІЯ UA МАРІУПОЛЬ"</t>
  </si>
  <si>
    <t xml:space="preserve"> 19 січня 2021 р</t>
  </si>
  <si>
    <t>https://www.facebook.com/generationuamariupol/</t>
  </si>
  <si>
    <t>https://youthcenters.net.ua/tsentr-rozvitku-ditey-molodi-ta-vchiteliv-generatsiya-ua-mariupol/</t>
  </si>
  <si>
    <t>Вільний простір «Вежа»</t>
  </si>
  <si>
    <t xml:space="preserve">02.11.2016 </t>
  </si>
  <si>
    <t>https://www.facebook.com/vezhacreativespace/</t>
  </si>
  <si>
    <t>https://youthcenters.net.ua/vilniy-prostir-vega/</t>
  </si>
  <si>
    <t>освітній хаб Халабуда</t>
  </si>
  <si>
    <t>14 квітня 2016 р.</t>
  </si>
  <si>
    <t>https://www.facebook.com/halabudavp/</t>
  </si>
  <si>
    <t>https://youthcenters.net.ua/osvitniy-hab-halabuda/</t>
  </si>
  <si>
    <t>Молодіжна платформа "Вільна Хата"</t>
  </si>
  <si>
    <t>18.01.2017</t>
  </si>
  <si>
    <t>https://www.facebook.com/vilha.ua/</t>
  </si>
  <si>
    <t>https://youthcenters.net.ua/molodigna-platforma-vilna-hata/</t>
  </si>
  <si>
    <t>Донецький обласний дитячо-молодіжний центр</t>
  </si>
  <si>
    <t>03.04.2009</t>
  </si>
  <si>
    <t>https://www.facebook.com/KramatorskDODMC/</t>
  </si>
  <si>
    <t>https://youthcenters.net.ua/donetskiy-oblasniy-dityacho-molodigniy-tsentr/</t>
  </si>
  <si>
    <t>Факел</t>
  </si>
  <si>
    <t>18 вер. 2015 р</t>
  </si>
  <si>
    <t>https://www.facebook.com/groups/837381130309956/permalink/904683933579675/</t>
  </si>
  <si>
    <t>https://youthcenters.net.ua/fakel/</t>
  </si>
  <si>
    <t>молодіжний центр "Молодість"</t>
  </si>
  <si>
    <t>https://youthcenters.net.ua/molodigniy-tsentr-molodist/</t>
  </si>
  <si>
    <t>Молодіжний пластовий центр</t>
  </si>
  <si>
    <t>1911 рік</t>
  </si>
  <si>
    <t>https://www.facebook.com/KramatorskPLAST</t>
  </si>
  <si>
    <t>https://youthcenters.net.ua/molodigniy-plastoviy-tsentr-kramatorsk/</t>
  </si>
  <si>
    <t>OASIS молодіжно-сімейний центр</t>
  </si>
  <si>
    <t>30 серпня 2018</t>
  </si>
  <si>
    <t>https://www.facebook.com/oasis.kram/</t>
  </si>
  <si>
    <t>https://youthcenters.net.ua/oasis-molodigno-simeyniy-tsentr/</t>
  </si>
  <si>
    <t>Бахмут</t>
  </si>
  <si>
    <t>Перспектива</t>
  </si>
  <si>
    <t>10.10.2018</t>
  </si>
  <si>
    <t>https://www.facebook.com/groups/Bahmutperspektiva/</t>
  </si>
  <si>
    <t>https://youthcenters.net.ua/perspektiva/</t>
  </si>
  <si>
    <t>Добропільська міська громада</t>
  </si>
  <si>
    <t>Добропілля</t>
  </si>
  <si>
    <t>Dobro Lab</t>
  </si>
  <si>
    <t>14 липня 2011 р</t>
  </si>
  <si>
    <t>https://www.facebook.com/DCMDobro/?%20fref=mentions&amp;pnref=story</t>
  </si>
  <si>
    <t>https://youthcenters.net.ua/dobro-lab/</t>
  </si>
  <si>
    <t>Святогірська міська громада</t>
  </si>
  <si>
    <t>Молодіжний клуб "Слов'янське серце"</t>
  </si>
  <si>
    <t>25.01.2015</t>
  </si>
  <si>
    <t>http://www.slavicheart.org/wp-content/themes/slavicheart/assests/svg-icons/facebook-outlines.svg</t>
  </si>
  <si>
    <t>https://youthcenters.net.ua/molodigniy-klub-slov-yanske-sertse/</t>
  </si>
  <si>
    <t>Костянтинівська громада</t>
  </si>
  <si>
    <t>Молодіжна платформа вільний простір «D•R•U•Z•I»</t>
  </si>
  <si>
    <t>28 січня 2017 рок</t>
  </si>
  <si>
    <t>https://www.facebook.com/druzifreespace/</t>
  </si>
  <si>
    <t>https://youthcenters.net.ua/molodigna-platforma-vilniy-prostir-d-r-u-z-i/</t>
  </si>
  <si>
    <t>Центр для молоді та дітей «ТАЛАНТАУН»</t>
  </si>
  <si>
    <t>13.05.2017</t>
  </si>
  <si>
    <t>https://youcontrol.com.ua/catalog/company_details/41332888/</t>
  </si>
  <si>
    <t>https://youthcenters.net.ua/tsentr-dlya-molodi-ta-ditey-talantaun/</t>
  </si>
  <si>
    <t>«ХВИЛЯ» Інноваційний центр розвитку для молоді та дітей</t>
  </si>
  <si>
    <t>2 березня 2018 р.</t>
  </si>
  <si>
    <t>https://www.facebook.com/HviliaMC/</t>
  </si>
  <si>
    <t>https://youthcenters.net.ua/hvilya-innovatsiyniy-tsentr-rozvitku-dlya-molodi-ta-ditey/</t>
  </si>
  <si>
    <t>Junior Trackers</t>
  </si>
  <si>
    <t>06 лютого 2018 року,</t>
  </si>
  <si>
    <t>https://youthcenters.net.ua/junior-trackers/</t>
  </si>
  <si>
    <t>Молодіжний центр «Молодіжний центр Покровська»</t>
  </si>
  <si>
    <t>4 лютого 2017 р</t>
  </si>
  <si>
    <t>https://www.facebook.com/pokrovsk.youth.hub/</t>
  </si>
  <si>
    <t>https://youthcenters.net.ua/molodigniy-tsentr-molodigniy-tsentr-pokrovska/</t>
  </si>
  <si>
    <t>Слов'янська міська громада</t>
  </si>
  <si>
    <t>Слов’янськ</t>
  </si>
  <si>
    <t>Молодіжний центр «Теплиця»</t>
  </si>
  <si>
    <t>15.02.2017</t>
  </si>
  <si>
    <t>https://www.facebook.com/teplitsia/</t>
  </si>
  <si>
    <t>https://youthcenters.net.ua/molodigniy-tsentr-teplitsya/</t>
  </si>
  <si>
    <t>Молодіжний Центр "АртПростір "Happy Hub" при КЗ "Центр культури і довкілля"</t>
  </si>
  <si>
    <t>https://www.facebook.com/artprostir2017/</t>
  </si>
  <si>
    <t>https://youthcenters.net.ua/molodigniy-tsentr-tvorchoi-aktivnosti-artprostir-happy-hub/</t>
  </si>
  <si>
    <t>Центр інноваційного розвитку дітей та молоді "Вулик"</t>
  </si>
  <si>
    <t>14 березня 2020 р.</t>
  </si>
  <si>
    <t>https://www.facebook.com/groups/813072235841659/</t>
  </si>
  <si>
    <t>https://youthcenters.net.ua/tsentr-innovatsiynogo-rozvitku-ditey-ta-molodi-vulik/</t>
  </si>
  <si>
    <t>смт. Олександрівка</t>
  </si>
  <si>
    <t>М-АК</t>
  </si>
  <si>
    <t>7 червня 2018 р.</t>
  </si>
  <si>
    <t>https://www.facebook.com/groups/344877336036908/</t>
  </si>
  <si>
    <t>https://youthcenters.net.ua/m-ak/</t>
  </si>
  <si>
    <t>Очерет</t>
  </si>
  <si>
    <t>https://www.facebook.com/Ocheret-102630343614313/</t>
  </si>
  <si>
    <t>https://youthcenters.net.ua/ocheret/</t>
  </si>
  <si>
    <t>с.Роздольне</t>
  </si>
  <si>
    <t>Нові горизонти</t>
  </si>
  <si>
    <t>10 вересня 2020 р.</t>
  </si>
  <si>
    <t>https://www.facebook.com/novigoruzontu/?ref=page_internal</t>
  </si>
  <si>
    <t>https://youthcenters.net.ua/novi-gorizonti/</t>
  </si>
  <si>
    <t>с. Комар</t>
  </si>
  <si>
    <t>Перлина майбутнього</t>
  </si>
  <si>
    <t>https://youthcenters.net.ua/perlina-maybutnogo/</t>
  </si>
  <si>
    <t>с. Сонячне</t>
  </si>
  <si>
    <t>Інноваційний центр розвитку для молоді та дітей «Оріана»</t>
  </si>
  <si>
    <t>https://youthcenters.net.ua/innovatsiyniy-tsentr-rozvitku-dlya-molodi-ta-ditey-oriana/</t>
  </si>
  <si>
    <t>Вугледарська міська громада</t>
  </si>
  <si>
    <t>Вугледар</t>
  </si>
  <si>
    <t>Молодіжний центр "МІКС"</t>
  </si>
  <si>
    <t xml:space="preserve"> 
11.01.2019</t>
  </si>
  <si>
    <t>Комунальний</t>
  </si>
  <si>
    <t>https://www.facebook.com/miksvugledar</t>
  </si>
  <si>
    <t>https://youthcenters.net.ua/miks/</t>
  </si>
  <si>
    <t>смт. Святогорівка</t>
  </si>
  <si>
    <t>Територія дозвілля</t>
  </si>
  <si>
    <t>https://youthcenters.net.ua/teritoriya-dozvillya/</t>
  </si>
  <si>
    <t>"Святогорівка-Арт"</t>
  </si>
  <si>
    <t xml:space="preserve">  7 та 8 вересня 2018 </t>
  </si>
  <si>
    <t>https://dobropol-rayon-rada.blogspot.com/2018/09/blog-post_563.html</t>
  </si>
  <si>
    <t>https://youthcenters.net.ua/svyatogorivka-art/</t>
  </si>
  <si>
    <t>с. Ганнівка</t>
  </si>
  <si>
    <t>Молодіжна альтернатива</t>
  </si>
  <si>
    <t>https://youthcenters.net.ua/molodigna-alternativa/</t>
  </si>
  <si>
    <t>«СOOL DRIVE»</t>
  </si>
  <si>
    <t>https://youthcenters.net.ua/sool-drive/</t>
  </si>
  <si>
    <t>с. Криворіжжя</t>
  </si>
  <si>
    <t>Нове покоління</t>
  </si>
  <si>
    <t>https://youthcenters.net.ua/nove-pokolinnya-1/</t>
  </si>
  <si>
    <t>Інноваційний центр розвитку молоді та дітей «ART HUB – Калейдоскоп»</t>
  </si>
  <si>
    <t>https://youthcenters.net.ua/innovatsiyniy-tsentr-rozvitku-molodi-ta-ditey-art-hub-kaleydoskop/</t>
  </si>
  <si>
    <t>Надсучасний мультимедійний центр для молодих людей з інвалідністю «Modern media»</t>
  </si>
  <si>
    <t>https://youthcenters.net.ua/nadsuchasniy-multimediyniy-tsentr-dlya-molodih-lyudey-z-invalidnistyu-modern-media/</t>
  </si>
  <si>
    <t>молодіжний центр "Modern media"</t>
  </si>
  <si>
    <t>https://youthcenters.net.ua/molodigniy-tsentr-modern-media/</t>
  </si>
  <si>
    <t>Молодіжний центр «Lesya Hub»</t>
  </si>
  <si>
    <t>https://youthcenters.net.ua/molodigniy-tsentr-lesya-hub/</t>
  </si>
  <si>
    <t>Мар'їнська міська громада</t>
  </si>
  <si>
    <t>Марьїнка</t>
  </si>
  <si>
    <t>Молодіжний центр «Вікторія»</t>
  </si>
  <si>
    <t>17 вересня 2018 р</t>
  </si>
  <si>
    <t>https://www.facebook.com/groups/245143416195564/</t>
  </si>
  <si>
    <t>https://youthcenters.net.ua/molodigniy-tsentr-viktoriya/</t>
  </si>
  <si>
    <t>Лиман</t>
  </si>
  <si>
    <t>Альтанка</t>
  </si>
  <si>
    <t xml:space="preserve"> 
05.08.2016.</t>
  </si>
  <si>
    <t>https://www.facebook.com/groups/goaltanka/</t>
  </si>
  <si>
    <t>https://youthcenters.net.ua/altanka/</t>
  </si>
  <si>
    <t>с.Урзуф</t>
  </si>
  <si>
    <t>Молодіжний центр «Молодіжне сузір’я»</t>
  </si>
  <si>
    <t>https://www.instagram.com/molodizhne_suzirya/</t>
  </si>
  <si>
    <t>https://youthcenters.net.ua/molodigniy-tsentr-molodigne-suzir-ya/</t>
  </si>
  <si>
    <t>Сартанська громада</t>
  </si>
  <si>
    <t>с.Сартана</t>
  </si>
  <si>
    <t>"CHERDAK"</t>
  </si>
  <si>
    <t>https://youthcenters.net.ua/cherdak/</t>
  </si>
  <si>
    <t>Молодіжний центр «Рух»</t>
  </si>
  <si>
    <t>13 грудня 2017 р.</t>
  </si>
  <si>
    <t>https://www.facebook.com/center.ruh/</t>
  </si>
  <si>
    <t>https://youthcenters.net.ua/molodigniy-tsentr-ruh/</t>
  </si>
  <si>
    <t>смт. Нікольське</t>
  </si>
  <si>
    <t>Сузір’я</t>
  </si>
  <si>
    <t>3 липня 2019</t>
  </si>
  <si>
    <t>https://m.facebook.com/profile.php?id=100038834295258&amp;__tn__=C-R</t>
  </si>
  <si>
    <t>https://youthcenters.net.ua/suzir-ya/</t>
  </si>
  <si>
    <t>Молодіжна платформа ініціатив «NovoСхід»</t>
  </si>
  <si>
    <t>27.02.2017</t>
  </si>
  <si>
    <t>https://youthcenters.net.ua/molodigna-platforma-initsiativ-novoshid/</t>
  </si>
  <si>
    <t>платформа ініциатив «Move»</t>
  </si>
  <si>
    <t>20 травня 2016 р.</t>
  </si>
  <si>
    <t>https://www.facebook.com/move.novogrodivka/</t>
  </si>
  <si>
    <t>https://youthcenters.net.ua/platforma-initsiativ-move/</t>
  </si>
  <si>
    <t>Селидове</t>
  </si>
  <si>
    <t>Платформа молодіжних та дитячих ініціатив«START UP»</t>
  </si>
  <si>
    <t xml:space="preserve">30 січня 2018 р.  </t>
  </si>
  <si>
    <t>https://www.facebook.com/start.up.52643</t>
  </si>
  <si>
    <t>https://youthcenters.net.ua/platforma-molodignih-ta-dityachih-initsiativ-start-up/</t>
  </si>
  <si>
    <t>Молодіжний центр з робочою назвою  «Сучасник»</t>
  </si>
  <si>
    <t>https://youthcenters.net.ua/molodigniy-tsentr-z-robochoyu-nazvoyu-suchasnik/</t>
  </si>
  <si>
    <t>молодіжний центр «Молодь +»</t>
  </si>
  <si>
    <t>https://youthcenters.net.ua/molodigniy-tsentr-molod/</t>
  </si>
  <si>
    <t>Райгородоцька громада</t>
  </si>
  <si>
    <t>смт. Райгородок</t>
  </si>
  <si>
    <t>Вільний простір «Молода хвиля»</t>
  </si>
  <si>
    <t>ГРУДНЯ 18, 2017</t>
  </si>
  <si>
    <t>https://www.instagram.com/moloda_hvilya/</t>
  </si>
  <si>
    <t>https://youthcenters.net.ua/vilniy-prostir-moloda-hvilya/</t>
  </si>
  <si>
    <t>смт. Очеретяне</t>
  </si>
  <si>
    <t>Молодіжний центр "Смайлик"</t>
  </si>
  <si>
    <t>05 вересня 2017 року,</t>
  </si>
  <si>
    <t>https://www.youtube.com/watch?v=hKOTEIi1Qm0</t>
  </si>
  <si>
    <t>https://youthcenters.net.ua/molodigniy-tsentr-smaylik/</t>
  </si>
  <si>
    <t>Черкаська ОТГ с.Олександрівка</t>
  </si>
  <si>
    <t>Спектр</t>
  </si>
  <si>
    <t>26.03.2015</t>
  </si>
  <si>
    <t>https://youthcenters.net.ua/spektr/</t>
  </si>
  <si>
    <t>Білозерська міська територіальна громада</t>
  </si>
  <si>
    <t>Білозерське</t>
  </si>
  <si>
    <t>Молодіжний центр "Iнтрига"</t>
  </si>
  <si>
    <t>16.02.2012</t>
  </si>
  <si>
    <t>https://www.facebook.com/groups/264904790898086</t>
  </si>
  <si>
    <t>https://youthcenters.net.ua/intriga/</t>
  </si>
  <si>
    <t>Білицьке</t>
  </si>
  <si>
    <t>Молодіжний центр "Громада без обмежень"</t>
  </si>
  <si>
    <t>https://youthcenters.net.ua/shche-ne-vidkritiy/</t>
  </si>
  <si>
    <t>Гродівська громада</t>
  </si>
  <si>
    <t>смт. Гродівка</t>
  </si>
  <si>
    <t>Інноваційний центр розвитку молоді та дітей "Гродівський гурт"</t>
  </si>
  <si>
    <t xml:space="preserve"> 
25.08.2009</t>
  </si>
  <si>
    <t>https://www.facebook.com/pages/category/Youth-Organization/%D0%93%D1%80%D0%BE%D0%B4%D1%96%D0%B2%D1%81%D1%8C%D0%BA%D0%B8%D0%B9-%D0%93%D1%83%D1%80%D1%82-135951987262875/</t>
  </si>
  <si>
    <t>https://youthcenters.net.ua/innovatsiyniy-tsentr-rozvitku-molodi-ta-ditey-grodivskiy-gurt/</t>
  </si>
  <si>
    <t>Шахівська ОТГ</t>
  </si>
  <si>
    <t>Енерджайзер</t>
  </si>
  <si>
    <t>https://youthcenters.net.ua/enerdgayzer/</t>
  </si>
  <si>
    <t>Фреш</t>
  </si>
  <si>
    <t>https://youthcenters.net.ua/fresh/</t>
  </si>
  <si>
    <t>"TeenДім"</t>
  </si>
  <si>
    <t>14 травня 2018</t>
  </si>
  <si>
    <t>https://youthcenters.net.ua/teendim/</t>
  </si>
  <si>
    <t>Олексіїво-Дружківка</t>
  </si>
  <si>
    <t>Молодіжний центр «Greenwich»</t>
  </si>
  <si>
    <t>19 квітня 2019 року</t>
  </si>
  <si>
    <t>https://www.facebook.com/groups/439733513500074/</t>
  </si>
  <si>
    <t>https://youthcenters.net.ua/molodigniy-tsentr-greenwich/</t>
  </si>
  <si>
    <t>Світлодарськ</t>
  </si>
  <si>
    <t>Інноваційний центр розвитку молоді "Імпульс"</t>
  </si>
  <si>
    <t>https://youthcenters.net.ua/innovatsiyniy-tsentr-rozvitku-molodi-impuls/</t>
  </si>
  <si>
    <t>смт. Миронівський</t>
  </si>
  <si>
    <t>молодіжний центр «Вітер змін»</t>
  </si>
  <si>
    <t>https://www.facebook.com/groups/377856432992403</t>
  </si>
  <si>
    <t>https://youthcenters.net.ua/molodigniy-tsentr-viter-zmin/</t>
  </si>
  <si>
    <t>с. Шевченко</t>
  </si>
  <si>
    <t>Молодіжний центр «Оріон»</t>
  </si>
  <si>
    <t>20.01.2009</t>
  </si>
  <si>
    <t>https://youthcenters.net.ua/molodigniy-tsentr-orion/</t>
  </si>
  <si>
    <t>с. Старомлинівка</t>
  </si>
  <si>
    <t>Молодіжний центр «SENS»</t>
  </si>
  <si>
    <t>https://youthcenters.net.ua/molodigniy-tsentr-sens/</t>
  </si>
  <si>
    <t>смт. Новодонецьке</t>
  </si>
  <si>
    <t>молодіжний центр «Альтаір»</t>
  </si>
  <si>
    <t>https://youthcenters.net.ua/molodigniy-tsentr-altair/</t>
  </si>
  <si>
    <t>Торецька міська громада</t>
  </si>
  <si>
    <t>с. Торецьке</t>
  </si>
  <si>
    <t>молодіжний центр «Фреш»</t>
  </si>
  <si>
    <t>https://youthcenters.net.ua/molodigniy-tsentr-fresh/</t>
  </si>
  <si>
    <t>с. Званівка</t>
  </si>
  <si>
    <t>Молодіжний центр «Freedom»</t>
  </si>
  <si>
    <t>https://youthcenters.net.ua/molodigniy-tsentr-freedom/</t>
  </si>
  <si>
    <t>ЛЕМКО (Лемківський Екологічний Молодіжний Культурно-Освітній) - центр</t>
  </si>
  <si>
    <t>https://youthcenters.net.ua/lemko-lemkivskiy-ekologichniy-molodigniy-kulturno-osvitniy-tsentr/</t>
  </si>
  <si>
    <t>с. Іллінівка</t>
  </si>
  <si>
    <t>Молодіжний центр "Простір без обмежень"</t>
  </si>
  <si>
    <t>https://youthcenters.net.ua/molodigniy-tsentr-prostir-bez-obmegen/</t>
  </si>
  <si>
    <t>с. Іванопілля</t>
  </si>
  <si>
    <t>«Lider-land»</t>
  </si>
  <si>
    <t>https://youthcenters.net.ua/lider-land/</t>
  </si>
  <si>
    <t>с.Торське</t>
  </si>
  <si>
    <t>молодіжний центр «Галактика»</t>
  </si>
  <si>
    <t>https://youthcenters.net.ua/molodigniy-tsentr-galaktika/</t>
  </si>
  <si>
    <t>Красногорівка</t>
  </si>
  <si>
    <t>Молодіжний центр "Надія"</t>
  </si>
  <si>
    <t>https://youthcenters.net.ua/molodigniy-tsentr-nadiya/</t>
  </si>
  <si>
    <t>с. Новомихайлівка</t>
  </si>
  <si>
    <t>молодіжний центр «Крок до мрії»</t>
  </si>
  <si>
    <t>https://youthcenters.net.ua/molodigniy-tsentr-krok-do-mrii/</t>
  </si>
  <si>
    <t>с. Максимільянівка</t>
  </si>
  <si>
    <t>молодіжний центр «Мексика»</t>
  </si>
  <si>
    <t>https://youthcenters.net.ua/molodigniy-tsentr-meksika/</t>
  </si>
  <si>
    <t>с. Зоря</t>
  </si>
  <si>
    <t>"Зоря"</t>
  </si>
  <si>
    <t>https://youthcenters.net.ua/zorya/</t>
  </si>
  <si>
    <t>с. Очеретине</t>
  </si>
  <si>
    <t>Молодіжний іноваційний центр «Імпульс-О»</t>
  </si>
  <si>
    <t>https://youthcenters.net.ua/molodigniy-inovatsiyniy-tsentr-impuls-o/</t>
  </si>
  <si>
    <t>с. Родинське</t>
  </si>
  <si>
    <t>Молодіжний центр «Родінський молодіжний центр»</t>
  </si>
  <si>
    <t>https://youthcenters.net.ua/molodigniy-tsentr-rodinskiy-molodigniy-tsentr/</t>
  </si>
  <si>
    <t>смт Вернхнєторецьке</t>
  </si>
  <si>
    <t>молодіжний центр «Відродження»</t>
  </si>
  <si>
    <t>https://youthcenters.net.ua/molodigniy-tsentr-vidrodgennya/</t>
  </si>
  <si>
    <t>с. Єлизаветівка</t>
  </si>
  <si>
    <t>YelizavetCity</t>
  </si>
  <si>
    <t>https://youthcenters.net.ua/yelizavetcity/</t>
  </si>
  <si>
    <t>"380 Volt"</t>
  </si>
  <si>
    <t>https://youthcenters.net.ua/380-volt/</t>
  </si>
  <si>
    <t>Хлібодарівської сільської громад</t>
  </si>
  <si>
    <t>с. Вільне</t>
  </si>
  <si>
    <t>Вільні</t>
  </si>
  <si>
    <t>https://youthcenters.net.ua/vilni/</t>
  </si>
  <si>
    <t>c. Катеринівка</t>
  </si>
  <si>
    <t>Молодіжний центр "FOX"</t>
  </si>
  <si>
    <t>https://youthcenters.net.ua/molodigniy-tsentr-fox/</t>
  </si>
  <si>
    <t>м. Житомир</t>
  </si>
  <si>
    <t>Міський культурно-спортивний центр (21 клуб)</t>
  </si>
  <si>
    <t>https://youthcenters.net.ua/miskiy-kulturno-sportivniy-tsentr-21-klub/</t>
  </si>
  <si>
    <t>м. Бердичів</t>
  </si>
  <si>
    <t>М-Формація</t>
  </si>
  <si>
    <t>https://youthcenters.net.ua/m-formatsiya/</t>
  </si>
  <si>
    <t>м. Коростень</t>
  </si>
  <si>
    <t>Кора Хаб</t>
  </si>
  <si>
    <t>https://youthcenters.net.ua/kora-hab/</t>
  </si>
  <si>
    <t>‎Новоград-Волинський район</t>
  </si>
  <si>
    <t>Новоград-Волинська міська громада.</t>
  </si>
  <si>
    <t>м. Новоград-Волинський</t>
  </si>
  <si>
    <t>міський Молодіжний центр</t>
  </si>
  <si>
    <t>https://youthcenters.net.ua/miskiy-molodigniy-tsentr/</t>
  </si>
  <si>
    <t>м. Малин</t>
  </si>
  <si>
    <t>Міжнародний культурний центр ПРОСТІР</t>
  </si>
  <si>
    <t>https://youthcenters.net.ua/mignarodniy-kulturniy-tsentr-prostir/</t>
  </si>
  <si>
    <t>с. Іванківці</t>
  </si>
  <si>
    <t>Арт-простір</t>
  </si>
  <si>
    <t>https://youthcenters.net.ua/art-prostir/</t>
  </si>
  <si>
    <t>м. Мукачеве</t>
  </si>
  <si>
    <t>Навчальний центр «Platform 9 3/4» та ГО "Німецька молодь Закарпаття"</t>
  </si>
  <si>
    <t>https://youthcenters.net.ua/navchalniy-tsentr-platform-9-3-4/</t>
  </si>
  <si>
    <t>м. Виноградів</t>
  </si>
  <si>
    <t>Молодіжний хаб "Майстерня ідей"</t>
  </si>
  <si>
    <t>https://youthcenters.net.ua/molodigniy-hab-maysternya-idey/</t>
  </si>
  <si>
    <t>м. Іршава</t>
  </si>
  <si>
    <t>Молодіжний хаб "Пак Дись"</t>
  </si>
  <si>
    <t>https://youthcenters.net.ua/molodigniy-hab-pak-dis/</t>
  </si>
  <si>
    <t>м. Тячів</t>
  </si>
  <si>
    <t>Молодіжний хаб "Bulb"</t>
  </si>
  <si>
    <t>https://youthcenters.net.ua/molodigniy-hab-bulb/</t>
  </si>
  <si>
    <t>смт. Ясіня</t>
  </si>
  <si>
    <t>Креденц</t>
  </si>
  <si>
    <t>https://youthcenters.net.ua/kredents/</t>
  </si>
  <si>
    <t>м. Перечин</t>
  </si>
  <si>
    <t>Молодіжний хаб "Хижа"</t>
  </si>
  <si>
    <t>https://youthcenters.net.ua/molodigniy-hab-higa/</t>
  </si>
  <si>
    <t>с. Довге</t>
  </si>
  <si>
    <t>Довге Хаб</t>
  </si>
  <si>
    <t>https://youthcenters.net.ua/dovge-hab/</t>
  </si>
  <si>
    <t>Запорізький обласний центр молоді</t>
  </si>
  <si>
    <t>https://youthcenters.net.ua/zaporizkiy-oblasniy-tsentr-molodi/</t>
  </si>
  <si>
    <t>Спільно HUB</t>
  </si>
  <si>
    <t>https://youthcenters.net.ua/spilno-hub/</t>
  </si>
  <si>
    <t>Hub UHO</t>
  </si>
  <si>
    <t>https://youthcenters.net.ua/hub-uho/</t>
  </si>
  <si>
    <t>FreeDom</t>
  </si>
  <si>
    <t>https://youthcenters.net.ua/freedom/</t>
  </si>
  <si>
    <t>с.Широке</t>
  </si>
  <si>
    <t>Space</t>
  </si>
  <si>
    <t>https://www.facebook.com/profile.php?id=100001241943408</t>
  </si>
  <si>
    <t>https://youthcenters.net.ua/space/</t>
  </si>
  <si>
    <t>Приморської міської громади</t>
  </si>
  <si>
    <t>Молодіжний центр "Портал"</t>
  </si>
  <si>
    <t>https://www.facebook.com/YCenterPortal/</t>
  </si>
  <si>
    <t>https://youthcenters.net.ua/molodigniy-tsentr-portal/</t>
  </si>
  <si>
    <t>Бердянської міської громад</t>
  </si>
  <si>
    <t>Хаб "Маяк"</t>
  </si>
  <si>
    <t>https://youthcenters.net.ua/hab-mayak/</t>
  </si>
  <si>
    <t>смт. Комиш-Зоря</t>
  </si>
  <si>
    <t>Молодіжний хаб "TalkHub"</t>
  </si>
  <si>
    <t>https://www.facebook.com/talkhubkz/</t>
  </si>
  <si>
    <t>https://youthcenters.net.ua/molodigniy-hab-talkhub/</t>
  </si>
  <si>
    <t>Простір для дітей, сім"ї та молоді</t>
  </si>
  <si>
    <t>https://www.facebook.com/prostirMelitopoll/</t>
  </si>
  <si>
    <t>https://youthcenters.net.ua/prostir-dlya-ditey-sim-i-ta-molodi/</t>
  </si>
  <si>
    <t>Молодіжний центр "People.ua"</t>
  </si>
  <si>
    <t>https://youthcenters.net.ua/molodigniy-tsentr-people-ua/</t>
  </si>
  <si>
    <t>Остриківська сільська об'єднана територіальна громада</t>
  </si>
  <si>
    <t>Остриківська ОТГ</t>
  </si>
  <si>
    <t>Молодіжний хаб Остриківської ОТГ</t>
  </si>
  <si>
    <t>https://youthcenters.net.ua/molodigniy-hab-ostrikivskoi-otg/</t>
  </si>
  <si>
    <t>Якимівська громада</t>
  </si>
  <si>
    <t>смт. Якимівка</t>
  </si>
  <si>
    <t>FreeDom Hub</t>
  </si>
  <si>
    <t>https://youthcenters.net.ua/freedom-hub/</t>
  </si>
  <si>
    <t>Чернігівська селищна громада</t>
  </si>
  <si>
    <t>смт. Чернігівка</t>
  </si>
  <si>
    <t>Бібліохаб "ХАБ·Л"</t>
  </si>
  <si>
    <t>https://youthcenters.net.ua/bibliohab-hab-l/</t>
  </si>
  <si>
    <t>Молодіжний центр Paragraph</t>
  </si>
  <si>
    <t>https://youthcenters.net.ua/paragraph/</t>
  </si>
  <si>
    <t>Івано-Франківський обласний пластовий центр</t>
  </si>
  <si>
    <t>https://youthcenters.net.ua/ivano-frankivskiy-oblasniy-plastoviy-tsentr/</t>
  </si>
  <si>
    <t>Рогатинської громади</t>
  </si>
  <si>
    <t>Рогатинський молодіжний пластовий центр</t>
  </si>
  <si>
    <t>https://youthcenters.net.ua/rogatinskiy-molodigniy-plastoviy-tsentr/</t>
  </si>
  <si>
    <t>Молодіжний центр Городенківщини</t>
  </si>
  <si>
    <t>https://youthcenters.net.ua/molodigniy-tsentr-gorodenkivshchini/</t>
  </si>
  <si>
    <t>Центр громадських ініціатив "Вільний простір"</t>
  </si>
  <si>
    <t>https://youthcenters.net.ua/tsentr-gromadskih-initsiativ-vilniy-prostir/</t>
  </si>
  <si>
    <t>Думка</t>
  </si>
  <si>
    <t>https://youthcenters.net.ua/dumka/</t>
  </si>
  <si>
    <t>с.Витвиця</t>
  </si>
  <si>
    <t>СІЧ Сильні Ідейні Чесні</t>
  </si>
  <si>
    <t>https://youthcenters.net.ua/sich-silni-ideyni-chesni/</t>
  </si>
  <si>
    <t>Тлумацької міської громади</t>
  </si>
  <si>
    <t>с.Надорожна</t>
  </si>
  <si>
    <t>Громадський простір с.Надорожна</t>
  </si>
  <si>
    <t>https://youthcenters.net.ua/gromadskiy-prostir-s-nadorogna/</t>
  </si>
  <si>
    <t>Нижньовербізька громада</t>
  </si>
  <si>
    <t>с. Верхній Вербіж</t>
  </si>
  <si>
    <t>"Центр соціального розвитку та підтримки" Нижньовербізької ОТГ</t>
  </si>
  <si>
    <t>https://youthcenters.net.ua/tsentr-sotsialnogo-rozvitku-ta-pidtrimki-nignoverbizkoi-otg/</t>
  </si>
  <si>
    <t>Старобогородчанська сільська громада</t>
  </si>
  <si>
    <t>Старобогородчанська ОТГ</t>
  </si>
  <si>
    <t>#StBogoHub</t>
  </si>
  <si>
    <t>https://youthcenters.net.ua/stbogohub/</t>
  </si>
  <si>
    <t>Дзвиняцька сільська громада</t>
  </si>
  <si>
    <t>Дзвиняцька ОТГ</t>
  </si>
  <si>
    <t>Комора</t>
  </si>
  <si>
    <t>https://youthcenters.net.ua/komora/</t>
  </si>
  <si>
    <t>Печеніжинської селищної територіальної громади</t>
  </si>
  <si>
    <t>смт. Печеніжин</t>
  </si>
  <si>
    <t>Громадський простір "Liberty Space"</t>
  </si>
  <si>
    <t>https://youthcenters.net.ua/gromadskiy-prostir-liberty-space/</t>
  </si>
  <si>
    <t>Молодіжний простір у Юнацькій бібліотеці</t>
  </si>
  <si>
    <t>https://youthcenters.net.ua/molodigniy-prostir-u-yunatskiy-bibliotetsi/</t>
  </si>
  <si>
    <t>Креативний простір KOWO</t>
  </si>
  <si>
    <t>https://youthcenters.net.ua/kreativniy-prostir-kowo/</t>
  </si>
  <si>
    <t>Молодіжний центр Кіровоградської області</t>
  </si>
  <si>
    <t>https://youthcenters.net.ua/molodigniy-tsentr-kirovogradskoi-oblasti/</t>
  </si>
  <si>
    <t>Молодіжний простір "Дієво"</t>
  </si>
  <si>
    <t>https://youthcenters.net.ua/molodigniy-prostir-dievo/</t>
  </si>
  <si>
    <t>Центр молоді з інвалідністю "Сильні духом"</t>
  </si>
  <si>
    <t>https://youthcenters.net.ua/tsentr-molodi-z-invalidnistyu-silni-duhom/</t>
  </si>
  <si>
    <t>Дмитрівська сільська територіальна громада</t>
  </si>
  <si>
    <t>с. Дмитрівка</t>
  </si>
  <si>
    <t>Молодіжний простір "Youth Space"</t>
  </si>
  <si>
    <t>https://youthcenters.net.ua/molodigniy-prostir-youth-space/</t>
  </si>
  <si>
    <t>Новопразька селищної громади</t>
  </si>
  <si>
    <t>смт. Нова Прага</t>
  </si>
  <si>
    <t>Молодіжний АРТ-центр</t>
  </si>
  <si>
    <t>https://youthcenters.net.ua/molodigniy-art-tsentr/</t>
  </si>
  <si>
    <t>Сєвєродонецька міська територіальна громада</t>
  </si>
  <si>
    <t>Сєверодонецьк</t>
  </si>
  <si>
    <t>Громадський майданчик "ХочуБуду"</t>
  </si>
  <si>
    <t>https://youthcenters.net.ua/gromadskiy-maydanchik-hochubudu/</t>
  </si>
  <si>
    <t>Луганський обласний центр підтримки молодіжних ініціатив та соціальних досліджень</t>
  </si>
  <si>
    <t>https://youthcenters.net.ua/luganskiy-oblasniy-molodigniy-tsentr/</t>
  </si>
  <si>
    <t>"Інклюзивний молодіжний хаб" (Сєвєродонецьк), БО"БФ"Карітас Сєвєродонецьк".</t>
  </si>
  <si>
    <t>https://youthcenters.net.ua/inklyuzivniy-molodigniy-hab-severodonetsk-bo-bf-karitas-severodonetsk/</t>
  </si>
  <si>
    <t>Дитячий центр соціально-психологічної підтримки "Генерація UA"</t>
  </si>
  <si>
    <t>https://youthcenters.net.ua/dityachiy-tsentr-sotsialno-psihologichnoi-pidtrimki-generatsiya-ua/</t>
  </si>
  <si>
    <t>Студентський простір "YO!Гурт"</t>
  </si>
  <si>
    <t>https://youthcenters.net.ua/studentskiy-prostir-yo-gurt/</t>
  </si>
  <si>
    <t>Центр розвитку молоді "Sever HUB"</t>
  </si>
  <si>
    <t>https://youthcenters.net.ua/tsentr-rozvitku-molodi-sever-hub/</t>
  </si>
  <si>
    <t>Лисичанська міська територіальна громада</t>
  </si>
  <si>
    <t>FoxHab</t>
  </si>
  <si>
    <t>https://youthcenters.net.ua/foxhab/</t>
  </si>
  <si>
    <t>BIBLIO HUB</t>
  </si>
  <si>
    <t>https://youthcenters.net.ua/biblio-hub/</t>
  </si>
  <si>
    <t>Молодіжний медіа-хаб «FREEDOMHUB»</t>
  </si>
  <si>
    <t>https://youthcenters.net.ua/freedom-hub-1/</t>
  </si>
  <si>
    <t>GENERATION CENTER HUB</t>
  </si>
  <si>
    <t>https://youthcenters.net.ua/generation-center-hub/</t>
  </si>
  <si>
    <t>Молодіжний центр "Druzi_hub"</t>
  </si>
  <si>
    <t>https://youthcenters.net.ua/molodigniy-tsentr-druzi-hub/</t>
  </si>
  <si>
    <t>Центр урбан культур «Дружба»</t>
  </si>
  <si>
    <t>https://youthcenters.net.ua/tsentr-urban-kultur-drugba/</t>
  </si>
  <si>
    <t>Новопсковської селищної громади</t>
  </si>
  <si>
    <t>Новопсков</t>
  </si>
  <si>
    <t>Молодіжний центр "Vektor" Новопсковської центральної районної бібліотеки</t>
  </si>
  <si>
    <t>https://youthcenters.net.ua/molodigniy-tsentr-vektor-novopskovskoi-tsentralnoi-rayonnoi-biblioteki/</t>
  </si>
  <si>
    <t>Станично-Луганська селищна громада</t>
  </si>
  <si>
    <t>смт Станиця Луганська</t>
  </si>
  <si>
    <t>"МОЯ Станица HUB"</t>
  </si>
  <si>
    <t>https://youthcenters.net.ua/moya-stanitsa-hub/</t>
  </si>
  <si>
    <t>Сватівська міська громада</t>
  </si>
  <si>
    <t>Сватово</t>
  </si>
  <si>
    <t>Сватівський районний молодіжний центр</t>
  </si>
  <si>
    <t>https://youthcenters.net.ua/svativskiy-rayonniy-molodigniy-tsentr/</t>
  </si>
  <si>
    <t>Молодіжний центр "Ліфт"</t>
  </si>
  <si>
    <t>https://youthcenters.net.ua/molodigniy-tsentr-lift/</t>
  </si>
  <si>
    <t>Рубіжанської міської громади</t>
  </si>
  <si>
    <t>Громадський Дім</t>
  </si>
  <si>
    <t>https://youthcenters.net.ua/gromadskiy-dim/</t>
  </si>
  <si>
    <t>Старобільська міська громада</t>
  </si>
  <si>
    <t>Старобільськ</t>
  </si>
  <si>
    <t>Молодіжний хаб "INVENTORS"</t>
  </si>
  <si>
    <t>https://youthcenters.net.ua/molodigniy-hab-inventors/</t>
  </si>
  <si>
    <t>с. Кризьке</t>
  </si>
  <si>
    <t>Молодіжна платформа "Вільний простір"</t>
  </si>
  <si>
    <t>https://youthcenters.net.ua/molodigna-platforma-vilniy-prostir/</t>
  </si>
  <si>
    <t>Сєвєродонецької міської громади</t>
  </si>
  <si>
    <t>смт Борівське</t>
  </si>
  <si>
    <t>Молодіжний центр "Твій вибір"</t>
  </si>
  <si>
    <t>https://youthcenters.net.ua/molodigniy-tsentr-tviy-vibir/</t>
  </si>
  <si>
    <t>смт Комишуваха</t>
  </si>
  <si>
    <t>New Generation</t>
  </si>
  <si>
    <t>https://youthcenters.net.ua/new-generation/</t>
  </si>
  <si>
    <t>КЗ "Львівський обласний молодіжний центр"</t>
  </si>
  <si>
    <t>https://youthcenters.net.ua/lvivskiy-oblasniy-molodigniy-tsentr/</t>
  </si>
  <si>
    <t>Львівський обласний пластовий центр</t>
  </si>
  <si>
    <t>https://youthcenters.net.ua/kz-lor-lvivskiy-oblasniy-plastoviy-tsentr/</t>
  </si>
  <si>
    <t>Молодіжний центр "Нові Орбіти" (КМЦ "Супутник")</t>
  </si>
  <si>
    <t>https://youthcenters.net.ua/suputnik/</t>
  </si>
  <si>
    <t>МолоДвіж Центр (КУ "Львівський міський молодіжний центр")</t>
  </si>
  <si>
    <t>https://youthcenters.net.ua/molodvig-tsentr-ku-lvivskiy-miskiy-molodigniy-tsentr/</t>
  </si>
  <si>
    <t>Центр YMCA міста Львова</t>
  </si>
  <si>
    <t>https://youthcenters.net.ua/tsentr-ymca-mista-lvova/</t>
  </si>
  <si>
    <t>Lviv Open Lab (КУ "Львівський міський молодіжний центр")</t>
  </si>
  <si>
    <t>https://youthcenters.net.ua/lviv-open-lab/</t>
  </si>
  <si>
    <t>Молодіжний Центр Птах</t>
  </si>
  <si>
    <t>https://youthcenters.net.ua/molodigniy-tsentr-ptah/</t>
  </si>
  <si>
    <t>Молодіжний простір "Білка"</t>
  </si>
  <si>
    <t>https://youthcenters.net.ua/molodigniy-prostir-bilka/</t>
  </si>
  <si>
    <t>Червоноградської міської громади</t>
  </si>
  <si>
    <t>Молодіжний ХАБ "Космодром"</t>
  </si>
  <si>
    <t>https://youthcenters.net.ua/molodigniy-hab-kosmodrom/</t>
  </si>
  <si>
    <t>Жовтанецька сільська громада</t>
  </si>
  <si>
    <t>Жовтанецька ОТГ</t>
  </si>
  <si>
    <t>Молодіжний центр "IDEA"</t>
  </si>
  <si>
    <t>https://youthcenters.net.ua/molodigniy-tsentr-idea-govtanetskoi-otg/</t>
  </si>
  <si>
    <t>Дрогобицької міської громади</t>
  </si>
  <si>
    <t>ГО "Молодіжний простір Дрогобича"</t>
  </si>
  <si>
    <t>https://youthcenters.net.ua/go-molodigniy-prostir-drogobicha/</t>
  </si>
  <si>
    <t>Червоноградська міська громада</t>
  </si>
  <si>
    <t>смт. Гірник</t>
  </si>
  <si>
    <t>Молодіжний простір "Гірлянда"</t>
  </si>
  <si>
    <t>https://youthcenters.net.ua/molodigniy-prostir-girlyanda/</t>
  </si>
  <si>
    <t>смт. Дубляни</t>
  </si>
  <si>
    <t>Молодіжний громадський простір "Вулик"</t>
  </si>
  <si>
    <t>https://youthcenters.net.ua/molodigniy-gromadskiy-prostir-vulik/</t>
  </si>
  <si>
    <t>Бродівська міська громада</t>
  </si>
  <si>
    <t>Молодіжний простір міжшкільного учнівського парламенту</t>
  </si>
  <si>
    <t>https://youthcenters.net.ua/molodigniy-prostir-migshkilnogo-uchnivskogo-parlamentu/</t>
  </si>
  <si>
    <t>Молодіжний простір МУП</t>
  </si>
  <si>
    <t>https://youthcenters.net.ua/molodigniy-prostir-mup/</t>
  </si>
  <si>
    <t>с. Велике Колодно</t>
  </si>
  <si>
    <t>https://youthcenters.net.ua/molodigniy-tsentr-idea/</t>
  </si>
  <si>
    <t>с. Вільшаник</t>
  </si>
  <si>
    <t>Молодіжний простір ГО "Ми - це Вільшаник"</t>
  </si>
  <si>
    <t>https://youthcenters.net.ua/molodigniy-prostir-go-mi-tse-vilshanik/</t>
  </si>
  <si>
    <t>с. Давидів</t>
  </si>
  <si>
    <t>Молодіжний простір ГО "I AM"</t>
  </si>
  <si>
    <t>https://youthcenters.net.ua/molodigniy-prostir-go-i-am/</t>
  </si>
  <si>
    <t>с. Деревня</t>
  </si>
  <si>
    <t>Молодіжний простір "Хата Читальня"</t>
  </si>
  <si>
    <t>https://youthcenters.net.ua/molodigniy-prostir-hata-chitalnya/</t>
  </si>
  <si>
    <t>Стрийської міської громади</t>
  </si>
  <si>
    <t>с. Добряни</t>
  </si>
  <si>
    <t>Молодіжний простір "За горнятком"</t>
  </si>
  <si>
    <t>https://youthcenters.net.ua/molodigniy-prostir-za-gornyatkom/</t>
  </si>
  <si>
    <t>с. Красів</t>
  </si>
  <si>
    <t>Коворкінг на селі</t>
  </si>
  <si>
    <t>https://youthcenters.net.ua/kovorking-na-seli/</t>
  </si>
  <si>
    <t>Молодіжно-християнський центр "Синай"</t>
  </si>
  <si>
    <t>https://youthcenters.net.ua/molodigno-hristiyanskiy-tsentr-sinay/</t>
  </si>
  <si>
    <t>Самбірської міської громади</t>
  </si>
  <si>
    <t>Молодіжний простір "ПораДій"</t>
  </si>
  <si>
    <t>https://youthcenters.net.ua/molodigniy-prostir-poradiy-1/</t>
  </si>
  <si>
    <t>Молодіжний простір "MindHouse"</t>
  </si>
  <si>
    <t>https://youthcenters.net.ua/molodigniy-prostir-mindhouse/</t>
  </si>
  <si>
    <t>Центр військово-патріотичного виховання дітей та молоді</t>
  </si>
  <si>
    <t>https://youthcenters.net.ua/tsentr-viyskovo-patriotichnogo-vihovannya-ditey-ta-molodi/</t>
  </si>
  <si>
    <t>Молодіжний простір "Літній театр"</t>
  </si>
  <si>
    <t>https://youthcenters.net.ua/molodigniy-prostir-litniy-teatr/</t>
  </si>
  <si>
    <t>НАЦІОНАЛЬНО-КУЛЬТУРНИЙ МОЛОДІЖНИЙ ЦЕНТР</t>
  </si>
  <si>
    <t>https://youthcenters.net.ua/natsionalno-kulturniy-molodigniy-tsentr/</t>
  </si>
  <si>
    <t>Стрийський Молодіжний центр</t>
  </si>
  <si>
    <t>https://youthcenters.net.ua/striyskiy-molodigniy-tsentr/</t>
  </si>
  <si>
    <t>Молодіжний центр "Inspire"</t>
  </si>
  <si>
    <t>https://youthcenters.net.ua/molodigniy-tsentr-inspire/</t>
  </si>
  <si>
    <t>с. Доманівка</t>
  </si>
  <si>
    <t>Творчий простір Доманівки "ПораДій"</t>
  </si>
  <si>
    <t>https://youthcenters.net.ua/tvorchiy-prostir-domanivki-poradiy/</t>
  </si>
  <si>
    <t>Вознесенськ</t>
  </si>
  <si>
    <t>Молодіжний HUB</t>
  </si>
  <si>
    <t>https://youthcenters.net.ua/molodigniy-hub/</t>
  </si>
  <si>
    <t>Одеська обласна універсальна наукова бібліотека ім. М.С. Грушевського</t>
  </si>
  <si>
    <t>https://youthcenters.net.ua/odeska-oblasna-universalna-naukova-biblioteka-im-m-s-grushevskogo/</t>
  </si>
  <si>
    <t>PMA Odesa Hub</t>
  </si>
  <si>
    <t>https://youthcenters.net.ua/pma-odesa-hub/</t>
  </si>
  <si>
    <t>Доброслав</t>
  </si>
  <si>
    <t>Dobro HUB</t>
  </si>
  <si>
    <t>https://youthcenters.net.ua/dobro-hub/</t>
  </si>
  <si>
    <t>https://youthcenters.net.ua/nove-pokolinnya/</t>
  </si>
  <si>
    <t>с. Концеба</t>
  </si>
  <si>
    <t>Філіал молодіжного центру «Нове покоління»</t>
  </si>
  <si>
    <t>https://youthcenters.net.ua/filial-molodignogo-tsentru-nove-pokolinnya/</t>
  </si>
  <si>
    <t>Обласний молодіжний центр</t>
  </si>
  <si>
    <t>https://youthcenters.net.ua/oblasniy-molodigniy-tsentr/</t>
  </si>
  <si>
    <t>Молодіжний центр «Lighthouse» Благодійної організації «Світло надії»</t>
  </si>
  <si>
    <t>https://youthcenters.net.ua/molodigniy-tsentr-lighthouse-blagodiynoi-organizatsii-svitlo-nadii/</t>
  </si>
  <si>
    <t>Молодіжний комунікаційний простір «Speak &amp; Do»</t>
  </si>
  <si>
    <t>https://youthcenters.net.ua/molodigniy-komunikatsiyniy-prostir-speak-do/</t>
  </si>
  <si>
    <t>Адаптер</t>
  </si>
  <si>
    <t>https://youthcenters.net.ua/adapter/</t>
  </si>
  <si>
    <t>Простір ідей</t>
  </si>
  <si>
    <t>https://youthcenters.net.ua/prostir-idey/</t>
  </si>
  <si>
    <t>Омельник</t>
  </si>
  <si>
    <t>Молодіжний хаб</t>
  </si>
  <si>
    <t>https://youthcenters.net.ua/molodigniy-hab/</t>
  </si>
  <si>
    <t>Нові Санжари</t>
  </si>
  <si>
    <t>Молодіжний центр "Друкарня"</t>
  </si>
  <si>
    <t>https://youthcenters.net.ua/molodigniy-tsentr-drukarnya/</t>
  </si>
  <si>
    <t>Рівненський обласний молодіжний пластовий вишкільний центр</t>
  </si>
  <si>
    <t>https://youthcenters.net.ua/rivnenskiy-oblasniy-molodigniy-plastoviy-vishkilniy-tsentr/</t>
  </si>
  <si>
    <t>Молодіжний простір НОТА</t>
  </si>
  <si>
    <t>https://youthcenters.net.ua/molodigniy-prostir-nota/</t>
  </si>
  <si>
    <t>Вільний простір</t>
  </si>
  <si>
    <t>https://youthcenters.net.ua/vilniy-prostir/</t>
  </si>
  <si>
    <t>с. Привільне</t>
  </si>
  <si>
    <t>Молодіжний центр Привільненської ОТГ</t>
  </si>
  <si>
    <t>https://youthcenters.net.ua/molodigniy-tsentr-privilnenskoi-otg/</t>
  </si>
  <si>
    <t>с. Берестя</t>
  </si>
  <si>
    <t>Молодіжний центр с. Берестя</t>
  </si>
  <si>
    <t>https://youthcenters.net.ua/molodigniy-tsentr-s-berestya/</t>
  </si>
  <si>
    <t>Клуб Юнацтва</t>
  </si>
  <si>
    <t>https://youthcenters.net.ua/klub-yunatstva/</t>
  </si>
  <si>
    <t>Вараської міської громади</t>
  </si>
  <si>
    <t>Вараш</t>
  </si>
  <si>
    <t>Гуркіт - Вараський молодіжний центр</t>
  </si>
  <si>
    <t>https://youthcenters.net.ua/gurkit-varaskiy-molodigniy-tsentr/</t>
  </si>
  <si>
    <t>Молодіжний простір Home'Як</t>
  </si>
  <si>
    <t>https://youthcenters.net.ua/molodigniy-prostir-home-yak/</t>
  </si>
  <si>
    <t>Сумський міський Центр дозвілля молоді Сумської міської ради</t>
  </si>
  <si>
    <t>https://youthcenters.net.ua/sumskiy-miskiy-tsentr-dozvillya-molodi-sumskoi-miskoi-radi/</t>
  </si>
  <si>
    <t>Сумський обласний центр відпочинку, оздоровлення, туризму та військово-патріотичного виховання</t>
  </si>
  <si>
    <t>https://youthcenters.net.ua/sumskiy-oblasniy-tsentr-vidpochinku-ozdorovlennya-turizmu-ta-viyskovo-patriotichnogo-vihovannya/</t>
  </si>
  <si>
    <t>Розумний хаб</t>
  </si>
  <si>
    <t>https://youthcenters.net.ua/rozumniy-hab/</t>
  </si>
  <si>
    <t>Молодіжна платформа «VILNO»</t>
  </si>
  <si>
    <t>https://youthcenters.net.ua/molodigna-platforma-vilno/</t>
  </si>
  <si>
    <t>Охтирський молодіжний центр</t>
  </si>
  <si>
    <t>https://youthcenters.net.ua/ohtirskiy-molodigniy-tsentr/</t>
  </si>
  <si>
    <t>Тернопільский Молодіжний центр</t>
  </si>
  <si>
    <t>https://youthcenters.net.ua/ternopilskiy-molodigniy-tsent/</t>
  </si>
  <si>
    <t>Тернопільський обласний пластовий вишкільний центр</t>
  </si>
  <si>
    <t>https://youthcenters.net.ua/ternopilskiy-oblasniy-plastoviy-vishkilniy-tsentr/</t>
  </si>
  <si>
    <t>с. Великі Гаї</t>
  </si>
  <si>
    <t>Молодіжний коворкінг центр РavuTyna</t>
  </si>
  <si>
    <t>https://youthcenters.net.ua/molodigniy-kovorking-tsentr-ravutyna/</t>
  </si>
  <si>
    <t>Бережани</t>
  </si>
  <si>
    <t>Рідне місто</t>
  </si>
  <si>
    <t>https://youthcenters.net.ua/ridne-misto/</t>
  </si>
  <si>
    <t>с. Ланівці</t>
  </si>
  <si>
    <t>Культурний центр Єловицьких</t>
  </si>
  <si>
    <t>https://youthcenters.net.ua/kulturniy-tsentr-elovitskih/</t>
  </si>
  <si>
    <t>с. Нирків</t>
  </si>
  <si>
    <t>Ґалатиґа: Простір для альтернативної освіти та розвитку громади</t>
  </si>
  <si>
    <t>https://youthcenters.net.ua/alati-a-prostir-dlya-alternativnoi-osviti-ta-rozvitku-gromadi/</t>
  </si>
  <si>
    <t>Вулик</t>
  </si>
  <si>
    <t>https://youthcenters.net.ua/vulik/</t>
  </si>
  <si>
    <t>ГО"Молодіжна Пластова Станиця Бучач"</t>
  </si>
  <si>
    <t>https://youthcenters.net.ua/go-molodigna-plastova-stanitsya-buchach/</t>
  </si>
  <si>
    <t>с. Угрик</t>
  </si>
  <si>
    <t>Угрик центр</t>
  </si>
  <si>
    <t>https://youthcenters.net.ua/ugrik-tsentr/</t>
  </si>
  <si>
    <t>м. Харків</t>
  </si>
  <si>
    <t>Харківський Обласний Центр Молоді</t>
  </si>
  <si>
    <t>https://youthcenters.net.ua/kharkivskiy-oblasniy-tsentr-molodi/</t>
  </si>
  <si>
    <t>Центр розвитку лідерства Української академії лідерства в м.Харків</t>
  </si>
  <si>
    <t>https://youthcenters.net.ua/tsentr-rozvitku-liderstva-ukrainskoi-akademii-liderstva-v-m-harkiv/</t>
  </si>
  <si>
    <t>Молодіжний центр "ХАБ 6/9"</t>
  </si>
  <si>
    <t>https://youthcenters.net.ua/hub_6-9/</t>
  </si>
  <si>
    <t>Підлітковий центр "Семиэтажка"</t>
  </si>
  <si>
    <t>https://youthcenters.net.ua/pidlitkoviy-tsentr-semietagka/</t>
  </si>
  <si>
    <t>м. Первомайський</t>
  </si>
  <si>
    <t>Молодіжний хаб "[КОМОРА]"</t>
  </si>
  <si>
    <t>https://youthcenters.net.ua/hub_komora/</t>
  </si>
  <si>
    <t>м. Лозова</t>
  </si>
  <si>
    <t>Молодіжний хаб "PIXEL"</t>
  </si>
  <si>
    <t>https://youthcenters.net.ua/hub_pixel/</t>
  </si>
  <si>
    <t>м. Ізюм</t>
  </si>
  <si>
    <t>Молодіжний центр "ІЗЮМ"</t>
  </si>
  <si>
    <t>https://youthcenters.net.ua/hub_izyum/</t>
  </si>
  <si>
    <t>Пластовий Молодіжний Центр Ізюмської ОТГ</t>
  </si>
  <si>
    <t>https://youthcenters.net.ua/plastoviy-molodigniy-tsentr-izyumskoi-otg/</t>
  </si>
  <si>
    <t>м. Чугуїв</t>
  </si>
  <si>
    <t>Молодіжний хаб "CITY"</t>
  </si>
  <si>
    <t>https://youthcenters.net.ua/hub_city/</t>
  </si>
  <si>
    <t>м. Балаклія</t>
  </si>
  <si>
    <t>Молодіжний хаб "CUBE"</t>
  </si>
  <si>
    <t>https://youthcenters.net.ua/hub_cube/</t>
  </si>
  <si>
    <t>м. Куп'янськ</t>
  </si>
  <si>
    <t>Молодіжний хаб "ОРБІТА"</t>
  </si>
  <si>
    <t>https://youthcenters.net.ua/hub_orbita/</t>
  </si>
  <si>
    <t>м. Мерефа</t>
  </si>
  <si>
    <t>Молодіжний центр "DobreBus"</t>
  </si>
  <si>
    <t>https://youthcenters.net.ua/dobrebus/</t>
  </si>
  <si>
    <t>Молодіжний хаб "MOTION SPACE"</t>
  </si>
  <si>
    <t>https://youthcenters.net.ua/hub_motion_space/</t>
  </si>
  <si>
    <t>Красноградська міська територіальна громада</t>
  </si>
  <si>
    <t>м. Красноград</t>
  </si>
  <si>
    <t>Молодіжний хаб "REDHUB"</t>
  </si>
  <si>
    <t>https://youthcenters.net.ua/redhub/</t>
  </si>
  <si>
    <t>КЗ "Красноградський молодіжний центр" Красноградської міської ради</t>
  </si>
  <si>
    <t>https://youthcenters.net.ua/kz-krasnogradskiy-molodigniy-tsentr/</t>
  </si>
  <si>
    <t>м. Зміїв</t>
  </si>
  <si>
    <t>Молодіжний хаб "HUB_ІДЕЙ"</t>
  </si>
  <si>
    <t>https://youthcenters.net.ua/hub_idey/</t>
  </si>
  <si>
    <t>смт. Нова Водолага</t>
  </si>
  <si>
    <t>Молодіжний хаб "SMART"</t>
  </si>
  <si>
    <t>https://youthcenters.net.ua/hub_smart/</t>
  </si>
  <si>
    <t>Молодіжний хаб "NEBO"</t>
  </si>
  <si>
    <t>https://youthcenters.net.ua/nebo/</t>
  </si>
  <si>
    <t>м. Валки</t>
  </si>
  <si>
    <t>Молодіжний хаб "РОЗВИТОК"</t>
  </si>
  <si>
    <t>https://youthcenters.net.ua/hub_rozvitok/</t>
  </si>
  <si>
    <t>смт. Золочів</t>
  </si>
  <si>
    <t>Молодіжний хаб "ENERGY"</t>
  </si>
  <si>
    <t>https://youthcenters.net.ua/hub_energy/</t>
  </si>
  <si>
    <t>смт. Рогань</t>
  </si>
  <si>
    <t>Молодіжний хаб "SEL`CLUB"</t>
  </si>
  <si>
    <t>https://youthcenters.net.ua/hub_sels_club/</t>
  </si>
  <si>
    <t>смт. Малинівка</t>
  </si>
  <si>
    <t>Молодіжний хаб "MALINA"</t>
  </si>
  <si>
    <t>https://youthcenters.net.ua/hub_malina/</t>
  </si>
  <si>
    <t>с. Липці</t>
  </si>
  <si>
    <t>Молодіжний хаб "Територія Молоді"</t>
  </si>
  <si>
    <t>https://youthcenters.net.ua/Terytoriia_Molodi/</t>
  </si>
  <si>
    <t>Новорайськ</t>
  </si>
  <si>
    <t>Молодіжний центр "Workspace"</t>
  </si>
  <si>
    <t>https://youthcenters.net.ua/molodigniy-tsentr-workspace/</t>
  </si>
  <si>
    <t>Молодіжний центр "Щастя поруч"</t>
  </si>
  <si>
    <t>https://youthcenters.net.ua/molodigniy-tsentr-shchastya-poruch/</t>
  </si>
  <si>
    <t>смт. Високопілля</t>
  </si>
  <si>
    <t>Молодіжний хаб Високопільської громади</t>
  </si>
  <si>
    <t>https://youthcenters.net.ua/molodigniy-hab-visokopilskoi-gromadi/</t>
  </si>
  <si>
    <t>Скадовськ</t>
  </si>
  <si>
    <t>Молодіжний центр «Lighthouse»</t>
  </si>
  <si>
    <t>https://youthcenters.net.ua/light-house-dim-svitlih-idey-skadovskiy-molodigniy-tsentr/</t>
  </si>
  <si>
    <t>м. Гуляйполе</t>
  </si>
  <si>
    <t>Хаб "Територія Свободи"</t>
  </si>
  <si>
    <t>https://youthcenters.net.ua/hab-teritoriya-svobodi/</t>
  </si>
  <si>
    <t>Комунальна установа "Молодіжний центр"</t>
  </si>
  <si>
    <t>https://youthcenters.net.ua/komunalna-ustanova-molodigniy-tsentr/</t>
  </si>
  <si>
    <t>Кам'янець-Подільський</t>
  </si>
  <si>
    <t>Loveka</t>
  </si>
  <si>
    <t>https://youthcenters.net.ua/loveka/</t>
  </si>
  <si>
    <t>Черкаський обласний молодіжний ресурсний центр</t>
  </si>
  <si>
    <t>https://youthcenters.net.ua/cherkaskiy-oblasniy-molodigniy-resursniy-tsentr/</t>
  </si>
  <si>
    <t>АртПростір</t>
  </si>
  <si>
    <t>https://youthcenters.net.ua/artprostir/</t>
  </si>
  <si>
    <t>Молодіжний простір Chill out Zolo</t>
  </si>
  <si>
    <t>https://youthcenters.net.ua/molodigniy-prostir-chill-out-zolo/</t>
  </si>
  <si>
    <t>Громадський простір</t>
  </si>
  <si>
    <t>https://youthcenters.net.ua/gromadskiy-prostir/</t>
  </si>
  <si>
    <t>с. Драбівці</t>
  </si>
  <si>
    <t>Молодіжний простір "АТМОСФЕРА"</t>
  </si>
  <si>
    <t>https://youthcenters.net.ua/molodigniy-prostir-atmosfera/</t>
  </si>
  <si>
    <t>с. Мартинівка</t>
  </si>
  <si>
    <t>Арт простір "Мартинівський скарб"</t>
  </si>
  <si>
    <t>https://youthcenters.net.ua/art-prostir-martinivskiy-skarb/</t>
  </si>
  <si>
    <t>с. Степанці</t>
  </si>
  <si>
    <t>Центр розвитку особистості "STEPHUB"</t>
  </si>
  <si>
    <t>https://youthcenters.net.ua/tsentr-rozvitku-osobistosti-stephub/</t>
  </si>
  <si>
    <t>Молодіжний центр "START" Уманського державного педагогічного університету імені Павла Тичини</t>
  </si>
  <si>
    <t>https://youthcenters.net.ua/molodigniy-tsentr-start/</t>
  </si>
  <si>
    <t>Чигирин</t>
  </si>
  <si>
    <t>Вільний простір "ХАТА - ХАБ"</t>
  </si>
  <si>
    <t>https://youthcenters.net.ua/vilniy-prostir-hata-hab/</t>
  </si>
  <si>
    <t>Молодіжний простір "Саме час"</t>
  </si>
  <si>
    <t>https://youthcenters.net.ua/molodigniy-prostir-same-chas/</t>
  </si>
  <si>
    <t>КУ "Молодіжний центр Чернівців "Резиденція молоді"</t>
  </si>
  <si>
    <t>https://youthcenters.net.ua/ku-molodigniy-tsentr-chernivtsiv-rezidentsiya-molodi/</t>
  </si>
  <si>
    <t>Чернігівський обласний молодіжний центр</t>
  </si>
  <si>
    <t>https://youthcenters.net.ua/chernigivskiy-oblasniy-molodigniy-tsentr/</t>
  </si>
  <si>
    <t>Центр роботи з дітьми та молоддю за місцем проживання (21 клуб)</t>
  </si>
  <si>
    <t>https://youthcenters.net.ua/tsentr-roboti-z-ditmi-ta-moloddyu-za-mistsem-progivannya-21-klub/</t>
  </si>
  <si>
    <t>Молодіжний центр у м. Прилуки</t>
  </si>
  <si>
    <t>https://youthcenters.net.ua/molodigniy-tsentr-u-m-priluki/</t>
  </si>
  <si>
    <t>Ніжин</t>
  </si>
  <si>
    <t>Ніжинський міський молодіжний центр</t>
  </si>
  <si>
    <t>https://youthcenters.net.ua/niginskiy-miskiy-molodigniy-tsentr/</t>
  </si>
  <si>
    <t>Корюківської міської територіальної громади</t>
  </si>
  <si>
    <t>м. Корюківка</t>
  </si>
  <si>
    <t>Корюківський молодіжний центр "КУБ"</t>
  </si>
  <si>
    <t>https://youthcenters.net.ua/koryukivskiy-molodigniy-tsentr-kub/</t>
  </si>
  <si>
    <t>с. Добрянка</t>
  </si>
  <si>
    <t>Молодіжний центр</t>
  </si>
  <si>
    <t>https://youthcenters.net.ua/molodigniy-tsentr/</t>
  </si>
  <si>
    <t>с. Комарівка</t>
  </si>
  <si>
    <t>Молодіжний простір</t>
  </si>
  <si>
    <t>https://youthcenters.net.ua/molodigniy-prostir/</t>
  </si>
  <si>
    <t>с. Прогрес</t>
  </si>
  <si>
    <t>https://youthcenters.net.ua/molodigniy-prostir-1/</t>
  </si>
  <si>
    <t>town</t>
  </si>
  <si>
    <t>name</t>
  </si>
  <si>
    <t>category</t>
  </si>
  <si>
    <t>description</t>
  </si>
  <si>
    <t>address</t>
  </si>
  <si>
    <t>ГО "Центр громадської освіти"</t>
  </si>
  <si>
    <t>Консультаційні та освітні центри</t>
  </si>
  <si>
    <t>Центр громадської освіти здійснює діяльність у сфері бізнес-освіти для малого та середнього бізнесу через проведення тренінгів, семінарів та зустрічей, які допомагають не лише в отриманні знань та навичок для розвитку власної справи, а й формують якісне бізнес-середовище Волинської області.</t>
  </si>
  <si>
    <t>м. Луцьк, вул. Коперника, 8А, 3 пов., оф. 13</t>
  </si>
  <si>
    <t>ГО "Агенція місцевого розвитку міста Енергодар"</t>
  </si>
  <si>
    <t>Агенції регіонального та місцевого розвитку</t>
  </si>
  <si>
    <t>Агенція створена для сприяння соціально-економічного, освітнього, культурного, екологічного та іншого розвитку громади, підвищенню якості єиття населення шляхом розшрення та налагодження ефективної співпраці між владою, бізнесом, мітцями, науковцями та громадою; шляхом реалізації соціальних, культурних, економічних та освітніх проєктів та програм; сприяння залученню додаткових інвестицій, у тому числі і для впровадження нових технологій у сфері життя населення та інше.</t>
  </si>
  <si>
    <t>м. Енергодар, вул. Курчатова, 11, каб. 216</t>
  </si>
  <si>
    <t>Агенція місцевого економічного розвитку Кам’янка-Бузького району</t>
  </si>
  <si>
    <t>Місцевий економічний розвиток: участь у стратегічному планування розвитку району; проведення навчальних програм, семінарів, конференцій; розвиток громади через промоцію спорту, туризму та історико-культурної спадщини. Розвиток бізнесу: промоція регіону серед потенційних інвесторів; розробка інвестиційних паспортів територій; підтримка іноземних інвесторів, допомога при плануванні та здійсненні інвестицій; реалізація навчальних програм для бізнесу; консультування бізнесу.</t>
  </si>
  <si>
    <t>м. Львів, вул. І. Франка 16/6</t>
  </si>
  <si>
    <t>ГО Організація роботодавців "Асоціація роботодавців у галузі франчайзингу"</t>
  </si>
  <si>
    <t>Об'єднання підприємців</t>
  </si>
  <si>
    <t>29 грудня 2001 року розпочала свою діяльність Асоціація франчайзингу України. Її завдання – представляти інтереси підприємців та їх операторів, які використовують франчайзингові договори, на урядовому рівні, надавати їм практичну допомогу при організації та просуванні на ринку. Одночасно з діяльністю в середині країни, Асоціація встановлює зв'язки з іноземними асоціаціями, вивчає франчайзинговий досвід інших країн.</t>
  </si>
  <si>
    <t>Поштова адреса: м. Боярка, вулиця Гоголя, 53/25-3</t>
  </si>
  <si>
    <t>ГО "Українська платформа "Жінки в бізнесі"</t>
  </si>
  <si>
    <t>Українська платформа “Жінки в бізнесі» створена з метою об’єднання жінок-підприємиць, жінок-лідерок, представниць жіночих бізнес-асоціацій. Платформа має на меті стати опорою та рушійною силою для розвитку й популяризації жіночого підприємництва в Україні. Це майданчик для нових знайомств, розвитку та навчання, нетворкінгу, взаємної підтримки, обміну досвідом, генерування нових ідей, реалізації спільних проєктів та менторства.</t>
  </si>
  <si>
    <t>м. Вінниця, вул. Івана Богуна, 2, оф. 315</t>
  </si>
  <si>
    <t>Луганська регіональна торгово-промислова палата</t>
  </si>
  <si>
    <t>Торгово-промислові палати</t>
  </si>
  <si>
    <t>Луганська РТПП є недержавною неприбутковою самоврядною організацією, яка об'єднує юридичних осіб, що створені і діють відповідно до законодавства України, та громадян України, зареєстрованих як підприємці, та їх об'єднання, і функціонує відповідно до Закону України «Про торгово-промислові палати в Україні». Створена з метою сприяння розвиткові народного господарства та національної економіки, її інтеграції у світову господарську систему та інше.</t>
  </si>
  <si>
    <t>м. Сєвєродонецьк, пр-т Хіміків, 48А</t>
  </si>
  <si>
    <t>ГО "Агенція розвитку громад "Інтонація ЗМІН"</t>
  </si>
  <si>
    <t>Громадська організація створена для підтримки та розвитку мікро-, малого та середнього бізнесу у сільській місцевості вразливими категоріями населення, в першу чергу сільських жінок, започаткування власної справи у сфері креативних індустрій, розвитку молодіжного соціального підприємництва на території громад. "Інтонація ЗМІН" створена молодими жінками для жінок, які хочуть розвиватися та розвивати свої громади, вчити дітей та підлітків фінансової грамотності тощо.</t>
  </si>
  <si>
    <t>Дубенський район, смт Смига, вул. Заводська, 3а</t>
  </si>
  <si>
    <t>ГО "Агенція зі сталого розвитку та інновацій"</t>
  </si>
  <si>
    <t>Головна мета організації - сприяння реалізації цілей сталого та інноваційного розвитку регіону та України у цілому, підвищення конкурентоспроможності та інвестиційної привабливості. Напрямки роботи: &lt;br /&gt;
- проєктний супровід представників малого бізнесу, консалтинг об'єднань підприємців у сумісній діяльності;&lt;br /&gt;
- аналітична робота щодо можливостей розвитку територій ОТГ;&lt;br /&gt;
- навчання з питань технічних стандартів, експорту зовнішніх ринків.</t>
  </si>
  <si>
    <t>м. Бахмут, вул. Різдвяна, 6/2</t>
  </si>
  <si>
    <t>Громадська спілка "Західноукраїнський кластер індустрії моди"</t>
  </si>
  <si>
    <t>Кластери</t>
  </si>
  <si>
    <t>Кластер є об'єднанням підприємців галузі легкої промисловості, представників освіти, влади та суміжних галузей. Учасники кластера активно комунікують та діють спільно для досягнення успіху.</t>
  </si>
  <si>
    <t>м. Львів, вул. Тобілевича, 8</t>
  </si>
  <si>
    <t>Державна організація "Регіональний фонд підтримки підприємництва по Чернігівській області"</t>
  </si>
  <si>
    <t>Фонди підтримки підприємництва</t>
  </si>
  <si>
    <t>ДО "РФПП по Чернігівській області" надає фінансово-кредитну підтримку суб'єктам МСП, послуги консультаційно-інформаційного характеру, проводить навчання, тренінги, семінари з питань створення та ведення бізнесу.</t>
  </si>
  <si>
    <t>м. Чернігів, вул. Преображенська, 12</t>
  </si>
  <si>
    <t>Західноукраїнський офіс Європейської Бізнес Асоціації</t>
  </si>
  <si>
    <t>Офіс створено в березні 2004 року з метою підтримки компаній з іноземними інвестиціями, які працюють в західному регіоні України.&lt;br /&gt;
На сьогодні Офіс охоплює Львівську, Івано-Франківську, Тернопільську та Закарпатську області. Офіс регулярно проводить загальні збори членів Асоціації та організовує різноманітні заходи для них.</t>
  </si>
  <si>
    <t>м. Львів, вул. М. Вербицького, 3, офіс 2</t>
  </si>
  <si>
    <t>Південний офіс Європейської Бізнес Асоціації</t>
  </si>
  <si>
    <t>Офіс Асоціації був заснований в листопаді 2004 року, згідно інтересу компаній, що працюють в Одеському регіоні, до діяльності Європейської Бізнес Асоціації.&lt;br /&gt;
На сьогодні Офіс охоплює Одеську, Миколаївську та Херсонську області. Регулярно проводить загальні зустрічі, організовує тематичні та соціальні події.</t>
  </si>
  <si>
    <t>м. Одеса, пров. Топольського, 4А, офіс 126</t>
  </si>
  <si>
    <t>Харківський офіс Європейської Бізнес Асоціації</t>
  </si>
  <si>
    <t>Харківський офіс Асоціації був створений у березні 2004 року. Діяльність офісу спрямована на створення сприятливих умов для ведення бізнесу та розвиток співпраці між компаніями-членами Асоціації.&lt;br /&gt;
Представники – лідери українського ринку у сфері IT, сільського господарства, поліграфії, виробництва, фінансових послуг.</t>
  </si>
  <si>
    <t>м. Харків, вул. Сумська, 49, 3 поверх</t>
  </si>
  <si>
    <t>Дніпровський офіс Європейської Бізнес Асоціації</t>
  </si>
  <si>
    <t>Дніпровський офіс Асоціації був заснований у вересні 2006 року, згідно інтересу компаній Асоціації, що працюють в Дніпровському регіоні.&lt;br /&gt;
Діяльність офісу спрямована на створення сприятливих умов для ведення бізнесу в регіоні та розвиток співпраці між компаніями-членами Асоціації.</t>
  </si>
  <si>
    <t>м. Дніпро, вул. Івана Акінфієва, 18, оф. Г211</t>
  </si>
  <si>
    <t>Регіональний фонд підтримки підприємництва по Івано-Франківській області</t>
  </si>
  <si>
    <t>У рамках реалізації державної політики підтримки підприємництва на регіональному рівні РФПП по Івано-Франківській області спрямовує свою діяльність в наступних напрямках: &lt;br /&gt;
І. Фінансово-кредитна та інвестиційна підтримка.&lt;br /&gt;
ІІ. Діяльність Консультаційного центру Фонду.&lt;br /&gt;
ІІІ. Формування інфраструктури підтримки підприємництва в області.&lt;br /&gt;</t>
  </si>
  <si>
    <t>м. Івано-Франківськ, вул. Василіянок, 62А.</t>
  </si>
  <si>
    <t>Бізнес-інкубатор в Таврійському державному агротехнологічний університеті імені Дмитра Моторного</t>
  </si>
  <si>
    <t>Коворкінги, інкубатори, акселератори</t>
  </si>
  <si>
    <t>Учасники «Бізнес-інкубатору ТДАТУ» отримують підтримку власних бізнес-ініціатив, необхідні знання задля започаткування власної справи, розвивають вміння формувати команду та набувають здібностей лідера. &lt;br /&gt;
Бізнес-інкубатор покликаний розвивати студентам та підприємцям-початківцям здібності, які допоможуть їм започаткувати та розвивати власну справу, навчитись формувати команду та бути справжніми лідерами своєї справи.</t>
  </si>
  <si>
    <t>м. Мелітополь, просп. Богдана Хмельницького, 18, ауд. 9236</t>
  </si>
  <si>
    <t>Unlimit Ukraine by European Business Association</t>
  </si>
  <si>
    <t>Європейська Бізнес Асоціація ініціювала допомогу для зростання молодого українського бізнесу. Нас підтримали члени Асоціації – великі міжнародні, європейські та українські компанії і тому ми запустили проект підтримки малого бізнесу – Unlimit Ukraine.</t>
  </si>
  <si>
    <t>м. Київ, Андріївський узвіз, 1A, 1-й поверх</t>
  </si>
  <si>
    <t>Торецькій міський центр зайнятості</t>
  </si>
  <si>
    <t>Центри підтримки підприємництва</t>
  </si>
  <si>
    <t>Центр ровитку підприємництва надає послуги інформаційної підтримки особам, які планують започаткувати власну справу, а також діючим підприємцям.&lt;br /&gt;</t>
  </si>
  <si>
    <t>м. Торецьк, вул. Володимирська, 28</t>
  </si>
  <si>
    <t>Чернівецька торгово-промислова палата</t>
  </si>
  <si>
    <t>Сприяє розвитку зовнішньоекономічних зв'язків, експорту українських товарів та послуг, освоєнню нових форм співробітництва на внутрішньому та зовнішньому ринках. Організовує та проводить виставково-ярмаркові заходи, участь в аналогічних заходах за кордоном. Сприяє професійному навчанню та стажуванню фахівців-громадян України за кордоном.</t>
  </si>
  <si>
    <t>м. Чернівці, вул. Небесної Сотні, 20</t>
  </si>
  <si>
    <t>Рада підприємців Дунаєвецької міської ради</t>
  </si>
  <si>
    <t>Консультативно-дорадчий орган Дунаєвецької міської ради.</t>
  </si>
  <si>
    <t>м. Дунаївці, вул. Шевченка, 50</t>
  </si>
  <si>
    <t>Рожнів</t>
  </si>
  <si>
    <t>Рада підприємців Рожнівської ОТГ</t>
  </si>
  <si>
    <t>Підтримка та захист інтересів підприємницьких структур.</t>
  </si>
  <si>
    <t>Косівський район, село Рожнів, вул. Героїв Небесної Сотні, 26</t>
  </si>
  <si>
    <t>ГО "Центр ініціатив підприємців м.Торецька"</t>
  </si>
  <si>
    <t>Об'єднання підприємців на основі спільності інтересів, зокрема економічних, соціальних, культурних, екологічних та інших. Сприяння розвитку інфраструктури міста та реалізації соціальних проєктів, розвиток підприємництва та нових напрямків економіки на території міста, сприяння втіленню інвестиційних проєктів щодо створення або розширення бізнесу зі створеня нових робочих місць для громадян.</t>
  </si>
  <si>
    <t>м. Торецьк, вул. Дружби, 31/5</t>
  </si>
  <si>
    <t>Ініціативна група "Надія Долини"</t>
  </si>
  <si>
    <t>Пріоритети:&lt;br /&gt;
•_x0001_Підприємництво, стале економічне зростання та зайнятість;&lt;br /&gt;
•_x0001_Справедливий соціальний, духовний і культурний розвиток;&lt;br /&gt;
•_x0001_Ефективне, підзвітне та всеохопне управління в громадах краю, забезпечення принципу справедливості для всіх без винятків - закон понад усе;&lt;br /&gt;
•_x0001_Участь жінок у процесах прийняття рішень на різних рівнях, підвищення уваги громадськості до питань різноманітності та гендеру;&lt;br /&gt;
•_x0001_Екологічна рівновага, розбудова стійкості, всеохоплююча енергоефективність.&lt;br /&gt;</t>
  </si>
  <si>
    <t>м. Долина, вул.8-го Березня, 35</t>
  </si>
  <si>
    <t>Консультативний пункт для бізнесу Заліщицької міської ради</t>
  </si>
  <si>
    <t>Консультативним пунктом для бізнесу надається інформаційно-консультативна підтримка, допомога в підготовці установчих документів, грантових заявок; забезпечується супровід участі суб'єктів господарювання області у регіональних, державних та грантових програмах з підтримки бізнесу, а також виходу на експорт.</t>
  </si>
  <si>
    <t>м. Заліщики, вул. С. Бандери, 40</t>
  </si>
  <si>
    <t>Агенція регіонального розвитку Чернігівської області</t>
  </si>
  <si>
    <t>Агенція регіонального розвитку Чернігівської області була створена в травні 2017 року. Мета агенції - підтримка розвитку підприємництва в регіоні. Створено Центр підтримки підприємництва, інновацій та стартапів Чернігівської області. З метою його успішного функціонування було розроблено та реалізовано відповідний проєкт, який був профінансований з Державного фонду регіонального розвитку.</t>
  </si>
  <si>
    <t>ГО "Громадський центр "Еталон"</t>
  </si>
  <si>
    <t>Місія Громадського центру "Еталон": сприяти розвитку громадських ініціатив, спрямованих на зміцнення громадянського суспільства в Україні через творчу розробку і реалізацію програм та втілення міжсекторальної співпраці громадських організацій, органів влади і самоврядування, бізнесу, освіти, ЗМІ та ініціативних груп.</t>
  </si>
  <si>
    <t>м. Івано-Франківськ, вул Крива, 4а</t>
  </si>
  <si>
    <t>Чернігівська регіональна торгово-промислова палата</t>
  </si>
  <si>
    <t>Недержавна самоврядна організація, що є найбільшою бізнес-асоціацією Чернігівської області, яка надає послуги у сфері бізнес-освіти, експертиз, митного декларування, зовнішньоекономічних зв'язків тощо.</t>
  </si>
  <si>
    <t>м. Чернігів, вул. Ринкова, 7</t>
  </si>
  <si>
    <t>ГО "Сєвєродонецька молодіжна рада"</t>
  </si>
  <si>
    <t>Організація діє в Луганській області з 2010 року. З 2017 року стала імплементатором проєкту "Економічна підтримка постраждалим від конфлікту", що реалізується МБФ "Український жіночий фонд" за підтримки USAID. З 2017 року проводимо тренінги з розвитку бізнес навичок для мешканців Луганської області, безкоштовні юридичні консультації щодо пілприємницькой діяльності, інформування щодо можливостей розвитку/започаткування власної справи.&lt;br /&gt;
&lt;br /&gt;</t>
  </si>
  <si>
    <t>м. Сєвєродонецьк, вул. Гагаріна, 78б</t>
  </si>
  <si>
    <t>Чернігівська профспілка підприємців "Єдність"</t>
  </si>
  <si>
    <t>Обєднує підприємців для захисту своїх прав та інтересів, надає безкоштовні юридичні розяснення законодавства, аналізує проблеми мікробізнесу та намагається знаходити шляхи їх вирішення, консолідує зусілля по взаємній підтримці та співробітництву.</t>
  </si>
  <si>
    <t>м. Чернігів, вул. Петра Смолічева, 12, к. 2</t>
  </si>
  <si>
    <t>Рівненська Торгово-промислова палата</t>
  </si>
  <si>
    <t>Недержавна самоврядна організація, яка надає послуги у сфері зовнішньоекономічної діяльності.</t>
  </si>
  <si>
    <t>м. Рівне, вул. Гетьмана Мазепи, 19</t>
  </si>
  <si>
    <t>ГО "Рада підприємців м. Мирноград"</t>
  </si>
  <si>
    <t>Основні напрямки діяльності організації: відстоювання прав підприємців, надання консультативної-правової допомоги, інформаційне забезпечення членів організації, підвищення ефективності громадського впливу на державну стратегію розвитку виробничих сил у місті, сприяння членам організації в пошуках партнерів для створення спільних цільових підприємств.</t>
  </si>
  <si>
    <t>м. Мирноград, провулок Лісний, 1</t>
  </si>
  <si>
    <t>ГО "Аналітично-адвокаційний центр "Львівській регуляторний хаб"</t>
  </si>
  <si>
    <t>Львівський регуляторний хаб - це аналітично-адвокаційний центр, який займається впровадженням змін у місцевому самоврядуванні через аналіз, адвокацію (просування змін) та імплементацію (реалізація змін). Команда виступає авторами багатьох аналітичних досліджень та методичних документів, які застосовуються та рекомендуються на місцевому, регіональному та центральному рівнях, приймаються міськими та обласними радами, радами об’єднаних територіальних громад.</t>
  </si>
  <si>
    <t>м. Львів, вул. Винниченка, 16</t>
  </si>
  <si>
    <t>Чернігівська обласна організація підприємців-роботодавців "Чернігівщина"</t>
  </si>
  <si>
    <t>м. Чернігів, проспект Перемоги 108, офіс 4</t>
  </si>
  <si>
    <t>Новоайдар</t>
  </si>
  <si>
    <t>ГО "Союз підприємців Новоайдарського району"</t>
  </si>
  <si>
    <t>Неприбуткова громадська організаця є добровільним об'єднанням фізичних осіб, створеним для задоволення та захисту прав і свобод людини та громадянина, задоволення суспільних, зокрема, економічних, соціальних, культурних, освітніх та інших інтересів своїх членів та\або інших осіб.</t>
  </si>
  <si>
    <t>Новоайдарський район, смт. Новоайдар, вул. Дружби, 2</t>
  </si>
  <si>
    <t>ГО "Буковинський центр реконструкції і розвитку"</t>
  </si>
  <si>
    <t>Основні завдання центру:&lt;br /&gt;
- розробка інвестиційних проєктів, бізнес-планів, проєктів транскордонного співробітництва;&lt;br /&gt;
- реалізація проєктів, спрямованих на розвиток територіальних громад Чернівецької області;&lt;br /&gt;
- підтримка розвитку малого та середнього бізнесу шляхом проведення тренінгів та консультацій.</t>
  </si>
  <si>
    <t>м. Чернівці, вул. О. Кобилянської, 2</t>
  </si>
  <si>
    <t>Бородянка</t>
  </si>
  <si>
    <t>Бородянська районна ГО "Спілка підприємців та виробників Бородянщини"</t>
  </si>
  <si>
    <t>Бородянський район, смт Бородянка, вул. Вокзальна, 13, кв. 10</t>
  </si>
  <si>
    <t>Пологи</t>
  </si>
  <si>
    <t>ГО «Спілка підприємців Пологівського району»</t>
  </si>
  <si>
    <t>Пологівський р-н., м. Пологи, провулок Водопровідний, 9</t>
  </si>
  <si>
    <t>Гальчин</t>
  </si>
  <si>
    <t>ГО "Спілка приватних підприємців Андрушівщини"</t>
  </si>
  <si>
    <t>Андрушівський район, с. Гальчин, вул. Ювілейна 2, корпус А</t>
  </si>
  <si>
    <t>Бізнес-інкубатор індустріального парку "Свема"</t>
  </si>
  <si>
    <t>Бізнес-інкубатор Шостка - складова частина Індустріального Парку "Свема". Виступає як один із варіантів організаційних форм взаємодії науки і підприємництва. Надає інформаційно-рекламні послуги, послуги бізнес-планування та оцінки бізнесу. Надає в оренду приміщення, користування електронною бібліотекою, лабораторіями Шосткинського інституту СумДУ.</t>
  </si>
  <si>
    <t>м. Шостка, вул. Гагаріна, 1, офіс 106</t>
  </si>
  <si>
    <t>Коворкінг "ІТ Центр"</t>
  </si>
  <si>
    <t>"ІТ-центр" — безкоштовний спільний простір для фрилансерів, яких об'єднують спільні цілі та цінності. Простір із закріпленими та незакріпленими місцями.</t>
  </si>
  <si>
    <t>м. Шостка, вул. Миру, 11</t>
  </si>
  <si>
    <t>Громадська спілка "Спілка фермерів та приватних землевласників Арбузинської ОТГ"</t>
  </si>
  <si>
    <t>Спілка фермерів та приватних землевласників Арбузинської ОТГ.</t>
  </si>
  <si>
    <t>Арбузинський р-н, смт Арбузинка, пров. Каштановий, 4</t>
  </si>
  <si>
    <t>ГО "Спілка підприємців в Арбузинському районі"</t>
  </si>
  <si>
    <t>Миколаївська обл., Арбузинський р-н, смт Арбузинка, пров. Торговий, 18</t>
  </si>
  <si>
    <t>Центр підтримки підприємництва</t>
  </si>
  <si>
    <t>Консультація підприємців-початківців та діючого бізнесу.</t>
  </si>
  <si>
    <t>м. Коростень, вул. Грушевського, 20</t>
  </si>
  <si>
    <t>ГО "Агенція регіонального розвитку"</t>
  </si>
  <si>
    <t>Консультативні послуги для бізнесу.</t>
  </si>
  <si>
    <t>Коростенська регіональна асоціація приватних підприємців</t>
  </si>
  <si>
    <t>м. Коростень, пров. Миколи Лисенка, 4 (кол. назва - пров. 2 К.Лібкнехта)</t>
  </si>
  <si>
    <t>ГО "Рада підприємців міста Коростеня"</t>
  </si>
  <si>
    <t>м. Коростень, вул. Грушевського, 22, каб. 2</t>
  </si>
  <si>
    <t>ГО "Асоціація "Рада керівників підприємств та організацій міста Коростеня Житомирської області"</t>
  </si>
  <si>
    <t>Охтирська міська організація роботодавців "ДІАЛОГ"</t>
  </si>
  <si>
    <t>м. Охтирка, пров. Тельмана, 21</t>
  </si>
  <si>
    <t>Охтирська профспілка працівників кооперації та інших форм підприємництва</t>
  </si>
  <si>
    <t>м. Охтирка, вул. Незалежності, 28</t>
  </si>
  <si>
    <t>Охтирська міська організація підприємців малого та середнього бізнесу</t>
  </si>
  <si>
    <t>м. Охтирка, вул. Сумська, 28</t>
  </si>
  <si>
    <t>Тлумач</t>
  </si>
  <si>
    <t>Фонд підтримки підприємництва "Тлумацький бізнес-центр"</t>
  </si>
  <si>
    <t>м. Тлумач, вул. Макуха, 12</t>
  </si>
  <si>
    <t>Білоцерківський інноваційний бізнес-інкубатор</t>
  </si>
  <si>
    <t>Київська обл., м. Біла Церква, вул. Ярослава Мудрого, 38/12</t>
  </si>
  <si>
    <t>Товариство з обмеженою відповідальністю «БЦ ТЕХНОПАРК»</t>
  </si>
  <si>
    <t>Технологічні та інноваційні парки</t>
  </si>
  <si>
    <t>Київська область, м. Біла Церква, вул. Леваневського, 87</t>
  </si>
  <si>
    <t>ГО «Фонд підтримки підприємництва Бориспільського району»</t>
  </si>
  <si>
    <t>Київська область, Бориспільський район, с. Щасливе, вул. Героїв Майдану, 20-г</t>
  </si>
  <si>
    <t>Київський обласний державно-комунальний фонд підтримки підприємництва</t>
  </si>
  <si>
    <t>Київська обл., м. Вишгород, пл. Шевченка, 1</t>
  </si>
  <si>
    <t>Ірпінський міський фонд підтримки підприємництва</t>
  </si>
  <si>
    <t>Київська область, м. Ірпінь, вул. Шевченка, 2-а</t>
  </si>
  <si>
    <t>Славутицький міський фонд підтримки підприємництва</t>
  </si>
  <si>
    <t>Київська область, м. Славутич, проспект Дружби Народів, 7</t>
  </si>
  <si>
    <t>ГО "Фастівський центр підтримки підприємництва"</t>
  </si>
  <si>
    <t>Київська обл., м. Фастів, вул. Шевченка, 27, кім. 1</t>
  </si>
  <si>
    <t>ТОВ "Промислово-технологічний парк Київщина"</t>
  </si>
  <si>
    <t>Київська обл., с. Нові Петрівці, вул. Ватутіна, 34</t>
  </si>
  <si>
    <t>ТОВ «Індустріальний парк «Біла Церква 1»</t>
  </si>
  <si>
    <t>Індустріальні парки</t>
  </si>
  <si>
    <t>м. Київ, вул. Лаврська, 20, каб.137</t>
  </si>
  <si>
    <t>ТОІВ «Індустріальний парк «Біла Церква 2»</t>
  </si>
  <si>
    <t>Індустріальний парк "FastIndustry"</t>
  </si>
  <si>
    <t>м. Фастів, вул. Поліграфічна, 16</t>
  </si>
  <si>
    <t>Київська обласна організація всеукраїнської асоціації жінок-підприємиць "Жіночий альянс"</t>
  </si>
  <si>
    <t>м. Обухів, вул. Каштанова, 3</t>
  </si>
  <si>
    <t>Асоціація фермерів та приватних землевласників Білоцерківського району</t>
  </si>
  <si>
    <t>м. Біла Церква, вул. Леся Курбаса, 8</t>
  </si>
  <si>
    <t>Калинівка</t>
  </si>
  <si>
    <t>ГО "Об'єднання підприємців Калинівки"</t>
  </si>
  <si>
    <t>Васильківський район, смт Калинівка, вул. Леніна, 57</t>
  </si>
  <si>
    <t>ГО "Асоціація фермерів Володарського району"</t>
  </si>
  <si>
    <t>Володарський район, смт Володарка, вул. 1 травня, 24</t>
  </si>
  <si>
    <t>ГО "Центр сприяння економічного розвитку Іванківського району"</t>
  </si>
  <si>
    <t>Іванківський район, смт Іванків, вул. Розважівська, 5, к. 80</t>
  </si>
  <si>
    <t>Таращанська міська організація професійної спілки працівників сфери підприємництва</t>
  </si>
  <si>
    <t>Таращанський район, м. Тараща, вул. Чкалова, 10</t>
  </si>
  <si>
    <t>Асоціація фермерів та приватних землевласників</t>
  </si>
  <si>
    <t>Таращанський район, м. Тараща, вул. Білоцерківська, 61 А</t>
  </si>
  <si>
    <t>ГО "Білоцерківський центр громадських ініціатив"</t>
  </si>
  <si>
    <t>м. Біла Церква, вул. Некрасова, 12 А, 159</t>
  </si>
  <si>
    <t>ГО "Асоціація малого та середнього бізнесу міста Біла Церква та регіону"</t>
  </si>
  <si>
    <t>м. Біла Церква, вул. Олеся Гончара, 1/42</t>
  </si>
  <si>
    <t>ГО "Бізнес клуб "Інлідер"</t>
  </si>
  <si>
    <t>м. Біла Церква, вул. Леваневського, 56 А, к. 154</t>
  </si>
  <si>
    <t>Бориспільська спілка підприємців та підприємств малого, середнього бізнесу</t>
  </si>
  <si>
    <t>м. Бориспіль, вул. Дзержинського, 1</t>
  </si>
  <si>
    <t>Бориспільська міська організація Українського союзу промисловців і підприємців</t>
  </si>
  <si>
    <t>м. Бориспіль, вул. Київський шлях, 2</t>
  </si>
  <si>
    <t>Бориспільська міська організація "Орендарів, підприємців і работодавців"</t>
  </si>
  <si>
    <t>м. Бориспіль, вул. Київський шлях, 10</t>
  </si>
  <si>
    <t>ГО "Ліга підприємців Борисполя"</t>
  </si>
  <si>
    <t>м. Бориспіль, вул. Горького, 44, к. 43</t>
  </si>
  <si>
    <t>ГО "Промисловий союз "Європейський вибір"</t>
  </si>
  <si>
    <t>м. Бориспіль, вул. Головатого, 18</t>
  </si>
  <si>
    <t>Спілка підприємців м. Фастова</t>
  </si>
  <si>
    <t>м. Фастів, вул. Дімітрова, 38</t>
  </si>
  <si>
    <t>Промислово-логістичний кластер «FastIV»</t>
  </si>
  <si>
    <t>м. Фастів, площа Соборна, 1</t>
  </si>
  <si>
    <t>КП "Агентство регіонального розвитку" Славутицької міської ради</t>
  </si>
  <si>
    <t>м. Славутич, Центральна площа, 5</t>
  </si>
  <si>
    <t>КП Білоцерківської міської ради "Агенція стратегічного розвитку Білої Церкви"</t>
  </si>
  <si>
    <t>м. Біла Церква, вул. Томилівська, 69</t>
  </si>
  <si>
    <t>Установа "Агенція регіонального розвитку Київської області"</t>
  </si>
  <si>
    <t>Агенція регіонального розвитку Київської області утворена з метою залучення інвестицій, створення нових робочих місць та підвищення конкурентоспроможності економіки регіону. Основними завданнями АРР є: підготовка для інвесторів проєктів під «ключ», супроводження інвестиційних проєктів у процесі їх реалізації, організація роботи з інвесторами за принципом «Єдиного інвестиційного вікна», формування позитивного іміджу та бренду Київської області для залучення інвесторів та інше.</t>
  </si>
  <si>
    <t>м. Київ, площа Лесі Українки, 1</t>
  </si>
  <si>
    <t>Комунальна установа Хмельницької міської ради "Агенція розвитку Хмельницького"</t>
  </si>
  <si>
    <t>мі. Хмельницький, вул. Гагаріна, 3</t>
  </si>
  <si>
    <t>Тетіїв</t>
  </si>
  <si>
    <t>Комунальне підприємство "Агенція регіонального розвитку Тетіївської міської ради"</t>
  </si>
  <si>
    <t>Тетіївський район, м. Тетіїв, вул. Януша Острозького, 5</t>
  </si>
  <si>
    <t>Рада жінок-фермерів Згурівського району Київської області</t>
  </si>
  <si>
    <t>Згурівський район, смт Згурівка, вул. Українська, 13</t>
  </si>
  <si>
    <t>Спілка захисту та сприяння підприємництву в Фастівському районі</t>
  </si>
  <si>
    <t>Фастівський район, смт Борова, вул. Франка, 14</t>
  </si>
  <si>
    <t>Макарівська районна ГО "Фермерство та Господарство"</t>
  </si>
  <si>
    <t>Макарівський район, сит Макарів, вул. Комарова, 39</t>
  </si>
  <si>
    <t>Новгород-Сіверський</t>
  </si>
  <si>
    <t>Громадська спілка "Новгород-Сіверська Асоціація Підприємців"</t>
  </si>
  <si>
    <t>м. Новгород-Сіверський, вул. Успенська, 50 А</t>
  </si>
  <si>
    <t>Нова Каховка</t>
  </si>
  <si>
    <t>Комунальне підприємство "Агенція регіонального розвитку" Новокаховської міської ради</t>
  </si>
  <si>
    <t>Комунальне підприємство займається діяльністю з організації ярмарок, виставок, конгресів тощо. Проводить роботу з розробки напрямків розвитку міста і конкретних проєктів для їх реалізації. Здійснює консультування, надає рекомендації та практичну допомогу суб'єктам господарювання.</t>
  </si>
  <si>
    <t>м. Нова Каховка, проспект Дніпровський, 23</t>
  </si>
  <si>
    <t>ГО "Агенція регіонального розвитку Таврійського об'єднання територіальних громад"</t>
  </si>
  <si>
    <t>Допомога з розвитку малого та середнього бізнесу, захист інтересів МСП.</t>
  </si>
  <si>
    <t>м. Нова Каховка, вул. Дружби, 17</t>
  </si>
  <si>
    <t>ГО "Підприємці міста Нова Каховка"</t>
  </si>
  <si>
    <t>Захист інтересів МСП.</t>
  </si>
  <si>
    <t>м. Нова Каховка, вул. Гідробудіників, 54/1</t>
  </si>
  <si>
    <t>Раївка</t>
  </si>
  <si>
    <t>Координаційна рада з питань розвитку підприємництва у Равській ОТГ</t>
  </si>
  <si>
    <t>Створення сприятливого середовища для розвитку підприємництва на території Раївського ОТГ.</t>
  </si>
  <si>
    <t>Синельниківський район, с. Раївка, вул. Таланова, 10-А</t>
  </si>
  <si>
    <t>Комунальна установа "Агенція розвитку Широківської громади"</t>
  </si>
  <si>
    <t>Комунальна установа «Агенція розвитку Широківської ОТГ» створена для сприяння розвитку Широківської громади, підвищення її інвестиційної привабливості, залучення зовнішнього фінансування та партнерської підтримки для місцевих інфраструктурних і соціальних проєктів. З 2018 року Агенція щоквартально проводить бізнес-діалоги за участі представників органів місцевого самоврядування та підприємців громади.</t>
  </si>
  <si>
    <t>м.Запоріжжя, вул. Героїв 37-го батальйону, 65</t>
  </si>
  <si>
    <t>Бізнес – інкубатор на базі Державного навчального закладу «Багатопрофільний центр професійно – технічної освіти»</t>
  </si>
  <si>
    <t>Професійно-технічна освіта.</t>
  </si>
  <si>
    <t>м. Токмак, вул. Володимирська, 4-а</t>
  </si>
  <si>
    <t>"Союз підприємців"</t>
  </si>
  <si>
    <t>Захист прав та представництво інтересів підприємців міського ринку.</t>
  </si>
  <si>
    <t>м. Токмак, вул. Центральна, 42-а</t>
  </si>
  <si>
    <t>Токмацький міський союз промисловців і підприємців (роботодавців) «Потенціал»</t>
  </si>
  <si>
    <t>Захист прав та представництво інтересів підприємців міста.</t>
  </si>
  <si>
    <t>м. Токмак, вул. Центральна, 45</t>
  </si>
  <si>
    <t>Студена</t>
  </si>
  <si>
    <t>ГО "Центр розвитку Студенянської громади"</t>
  </si>
  <si>
    <t>Піщанський район, с. Студена, вул. Соборна, 31</t>
  </si>
  <si>
    <t>ГО "Ружинський районний центр підтримки та розвитку підприємництва"</t>
  </si>
  <si>
    <t>Ружинський район, смт Ружин, вул. Бірюкова, 9/1</t>
  </si>
  <si>
    <t>ГО "Підприємці Ружина"</t>
  </si>
  <si>
    <t>Ружинський район, смт Ружин, вул. Бурди, 86</t>
  </si>
  <si>
    <t>Рада підприємців при Каховській районній державній адміністрації</t>
  </si>
  <si>
    <t>Інформаційна підтримка підприємців, участь у конкурсних комісіях щодо підтримки бізнесу.</t>
  </si>
  <si>
    <t>м. Каховка , Куліковська, 103</t>
  </si>
  <si>
    <t>ГО "Спілка захисту приватних підприємців м.Бердянськ</t>
  </si>
  <si>
    <t>м. Бердянськ, проспект Праці, 27</t>
  </si>
  <si>
    <t>Бердянський Союз промисловців та підприємців (работодавців)</t>
  </si>
  <si>
    <t>Бердянська спілка промисловців та підприємців (роботодавців) створена в 1997 році. Спілка є суспільною організацією до складу якої входять 50 членів, це промислові підприємства, будівельні організації, підприємницькі структури, філіали банків, страхові компанії, учбові заклади, комунальні підприємства, працівники виконкому, міський центр зайнятості, управління Пенсійного фонду України в м. Бердянськ та інш.</t>
  </si>
  <si>
    <t>м. Бердянськ, площа Єдності, 2, к. 76</t>
  </si>
  <si>
    <t>Баранівка</t>
  </si>
  <si>
    <t>Комунальна установа "Агенція місцевого органічного розвитку - АМОР" Баранівської міської ради</t>
  </si>
  <si>
    <t>Агенція створена з метою розробки та сприяння реалізації стратегії розвитку об`єднаної територіальної громади, надання аналітичної підтримки цьому процесу тощо. При Агенції створено Молодіжний бізнес-інкубатор. Завдання: Участь у розробленні та здійсненні комплексу заходів організаційного, фінансового, економічного і правового характеру з метою забезпечення розвитку підприємництва, підтримки малого та середнього бізнесу в інноваційній діяльності, розвитку культури та науки тощо.</t>
  </si>
  <si>
    <t>м. Баранівка, вул. Соборна, 40</t>
  </si>
  <si>
    <t>ГО "Спілка підприємців Романівського району"</t>
  </si>
  <si>
    <t>ГО є неприбутковою організацією, метою створення і статутної діяльності якої не є здійснення підприємницької діяльності та одержання прибутку. Метою створення ГО є підтримка і координація розвитку підприємництва, сприяння становлення підприємництва, як провідної сили сталого позитивного розвитку суспільства, захист законних інтересів та консолідація підприємців Романівського району та інше.</t>
  </si>
  <si>
    <t>Романівський район, смт Романів, вул. Сергія Лялевича, 2</t>
  </si>
  <si>
    <t>Тростянець</t>
  </si>
  <si>
    <t>ГО "Агентство регіонального розвитку "ПОЛІС"</t>
  </si>
  <si>
    <t>Діяльність підприємців та промисловців.</t>
  </si>
  <si>
    <t>Тростянецький район, м. Тростянець, вул. Горького, 58А</t>
  </si>
  <si>
    <t>Центр розвитку підприємництва Новоград-Волинського міського центру зайнятості</t>
  </si>
  <si>
    <t>Інформування та консультування. Технічний та юридичний супровів проєктів.</t>
  </si>
  <si>
    <t>м. Новоград-Волинський, вул. Замкова, 7</t>
  </si>
  <si>
    <t>Союз підприємців Березівського району Одеської області</t>
  </si>
  <si>
    <t>Підтримка малого підприємництва.</t>
  </si>
  <si>
    <t>Березівський район, м. Березівка, вул. Піонерська, 18, к. 25</t>
  </si>
  <si>
    <t>Коворкінг-центр «Портал освіта і бізнес»</t>
  </si>
  <si>
    <t>Надання приміщення підприємцям для індивідуальної роботи, проведення заходів, проведення навчальних заходів для підприємців.</t>
  </si>
  <si>
    <t>м. Буча, вул. Енергетиків, 2</t>
  </si>
  <si>
    <t>Чаплинка</t>
  </si>
  <si>
    <t>Районна рада підприємців при районній державній адміністрації</t>
  </si>
  <si>
    <t>Постійно діючий консультативно-дорадчий орган при районній державній адміністрації.</t>
  </si>
  <si>
    <t>смт Чаплинка, вул. Грушевського, 87</t>
  </si>
  <si>
    <t>Центр розвитку підприємництва Бахмутського міського центру зайнятості</t>
  </si>
  <si>
    <t>Центр розвитку підприємництва БМЦЗ створено рішенням колегії Донецького обласного центру зайнятості від 01.11.2016 року як консалтинговий простір з метою надання якісних консультацій з питань організації та ведення підприємницької діяльності для сприяння участі клієнтів служби зайнятості у проєктах фінансової підтримки підприємництва.</t>
  </si>
  <si>
    <t>м. Бахмут, вул. Захисників України, 13</t>
  </si>
  <si>
    <t>Координаційна рада з питань розвитку підприємництва Бахмутської міської ОТГ</t>
  </si>
  <si>
    <t>Координаційна рада створена як дорадчо-консультативний орган, що сприяє реалізації державної політики у сфері розвитку підприємництва та реалізації регуляторної політики на території Бахмутської міської об’єднаної територіальної громади.</t>
  </si>
  <si>
    <t>м. Бахмут, вул. Миру, 44</t>
  </si>
  <si>
    <t>ГО "Промисловці, роботодавці та підприємці міста Вознесенська"</t>
  </si>
  <si>
    <t>Підтримка та розвиток місцевого бізнесу.</t>
  </si>
  <si>
    <t>м. Вознесенськ, вул. Соборності, 8</t>
  </si>
  <si>
    <t>Рада підприємців при Ніжинській міській раді</t>
  </si>
  <si>
    <t>Рада підприємців сприяє створенню дієвого механізму взаємодії суб'єктів підприємницької діяльності, громадських організацій підприємців, об’єднань підприємств та органів місцевого самоврядування на засадах партнерства і відкритості, а також бере участь у формуванні та реалізації державної регуляторної політики і державної політики у сфері підприємництва в місті Ніжин.</t>
  </si>
  <si>
    <t>м. Ніжин, пл. імені Івана Франка, 1, к. 57</t>
  </si>
  <si>
    <t>Міська ГО "Ліга-клуб "Ділова жінка"</t>
  </si>
  <si>
    <t>Захист прав і законних інтересів жінок-підприємиць. Формування сприятливого підприємницького середовища.&lt;br /&gt;</t>
  </si>
  <si>
    <t>м. Ніжин, пров. Урожайний, 1</t>
  </si>
  <si>
    <t>ГО "Об'єднана незалежна неприбуткова спілка підприємців “Ніжинський оберіг”</t>
  </si>
  <si>
    <t>Захист прав і законних інтересів підприємців. Формування сприятливого підприємницького середовища.&lt;br /&gt;</t>
  </si>
  <si>
    <t>м. Ніжин, вул. Воздвиженська, 4/1</t>
  </si>
  <si>
    <t>Ніжинська міська ГО «Підприємець»</t>
  </si>
  <si>
    <t>Захист прав і законних інтересів членів громадської організації, формування сприятливого підприємницького середовища.&lt;br /&gt;</t>
  </si>
  <si>
    <t>м. Ніжин, вул. Московська, 7-А</t>
  </si>
  <si>
    <t>ГО “Спілка підприємців Ніжина НКР”</t>
  </si>
  <si>
    <t>Захист прав і законних інтересів суб'єктів господарювання, які здійснюють свою діяльність на території коопринку. Формування сприятливого підприємницького середовища.</t>
  </si>
  <si>
    <t>м. Ніжин, вул. Московська, 21 А, кв. 5</t>
  </si>
  <si>
    <t>Ніжинська міська ГО «Ніжинський міський осередок ВГО «Асоціація платників податків України»</t>
  </si>
  <si>
    <t>Захист прав і законних інтересів платників податків в економічній, правовій, соціальній та інших сферах їх діяльності, а також сприяння створенню на Ніжинщині умов для становлення та розвитку підприємництва.</t>
  </si>
  <si>
    <t>ГО "Спілка підприємців Закарпаття"</t>
  </si>
  <si>
    <t>Захист соціальних, економічних та політичних прав членів Спілки. Надання інформаційної та консультативно-правової допомоги. Сприяння членам спілки у пошуку партнерів для створення об’єктів спільної діяльності, у тому числі і за кордоном. Сприяння створенню системи підготовки кадрів для підприємницької діяльності.</t>
  </si>
  <si>
    <t>м. Ужгород, вул. Юрія Гойди, 4</t>
  </si>
  <si>
    <t>Берегівська міськрайонна філія Закарпатського обласного центру зайнятості</t>
  </si>
  <si>
    <t>Надання загальної бізес-інформації, інформації щодо підтримки малого бізнесу та оперативної інформації щодо діючих навчальних курсів та програм, за якими здійснюється підготовка незайнятого населення до діяльності у сфері малого бізнесу, семінарів, ярмарок вакансій. Надання одноразової виплати допомоги по безробіттю для організації безробітними підприємницької діяльності.</t>
  </si>
  <si>
    <t>м. Берегове, вул. Мукачівська, 32</t>
  </si>
  <si>
    <t>Берегівська філія Закарпатського обласного БФ "ПРО АГРІКУЛЬТУРА КАРПАТІКА"</t>
  </si>
  <si>
    <t>Надання консультацій і матеріальної підтримки угорськомовних фермерам та аграріям.</t>
  </si>
  <si>
    <t>м. Берегове, пл. Кошута, 6 (к. 116)</t>
  </si>
  <si>
    <t>Берегівська філія ГО "Спілка Угорських підприємців Закарпаття"</t>
  </si>
  <si>
    <t>Створення робочих місць, професійна підготовка, організація професійних конференцій, придбання сучасних технологій для роботи угорськомовних підприємців, створення інформаційного центру, просування продуктів, які виготовляються членами організації, фінансова допомога та інше.</t>
  </si>
  <si>
    <t>Агенція розвитку Вугледара</t>
  </si>
  <si>
    <t>Сприяє сталому розвитку громади через постійний аналіз ситуації, навчання та згуртування мешканців, розвиту рівноправного партнерства між різними секторами суспільства на основі принципів відкритості, залученості, професійності та ефективності.</t>
  </si>
  <si>
    <t>м. Вугледар, вул. 30-Річчя Перемоги, 16</t>
  </si>
  <si>
    <t>Комунальна установа "Сумський обласний фонд підтримки підприємнитцва" Сумської обласної ради</t>
  </si>
  <si>
    <t>Фонд — структура, яка за державні кошти впроваджує затверджені урядом заходи та програми, спрямовані на забезпечення можливостей для суб'єктів малого та середнього бізнесу отримувати освітню, консультаційну, гарантійну і пільгову фінансово-кредитну підтримку.</t>
  </si>
  <si>
    <t>м. Суми, вул. Кооперативна, 3</t>
  </si>
  <si>
    <t>Рада підприємців при Сумській обласній державній адміністрації</t>
  </si>
  <si>
    <t>Основні напрями роботи: підготовка пропозицій щодо внесення змін до нормативно-правових актів, розгляд проєктів регіональних програм, взаємодія влади та бізнесу.</t>
  </si>
  <si>
    <t>м. Суми, майдан Незалежності, 2</t>
  </si>
  <si>
    <t>Сумський Бізнес Хаб</t>
  </si>
  <si>
    <t>Відкритий простір для кооперації, навчання та обміну ідеями представників бізнес-спільноти Сумщини. Напрямки діяльності: коворкінг – простір для спілкування та роботи; освітні заходи – тренінги, семінари, круглі столи представників бізнес-спільноти; консультаційні послуги – правова допомога, бухгалтерія, оподаткування, цифровий маркетинг; бізнес-зустрічі; розвиток бізнес-ініціатив Сумського державного університету.</t>
  </si>
  <si>
    <t>м. Суми, вул. Покровська, 9/1, ауд. 232</t>
  </si>
  <si>
    <t>ГО "Молодь та підприємництво"</t>
  </si>
  <si>
    <t>Організація спрямована на розвиток молодіжного підприємництва в таких напрямах роботи, як юридичні та бухгалтерські послуги, проєктна діяльність, HR, інформування.</t>
  </si>
  <si>
    <t>м. Суми, вул. Кооперативна, 19, оф. 218</t>
  </si>
  <si>
    <t>ГО «Спілка підприємців, орендарів та власників м. Суми»</t>
  </si>
  <si>
    <t>Коаліція малого і середнього бізнесу м. Суми сприяє розвитку малого і середнього підприємництва в місті.</t>
  </si>
  <si>
    <t>м. Суми, вул. Засумська, 2</t>
  </si>
  <si>
    <t>ГО "Сумське обласне регіональне відділення Спілки підприємців малих, середніх і приватизованих підприємств України"</t>
  </si>
  <si>
    <t>Організація сприяє розвитку малого і середнього підприємництва Сумської області.</t>
  </si>
  <si>
    <t>м. Суми, вул. Белінського, 2</t>
  </si>
  <si>
    <t>Асоціація підприємців та підприємств малого та середнього бізнесу м. Конотоп</t>
  </si>
  <si>
    <t>Асоціація — об’єднання зусиль небайдужих суб’єктів господарювання разом із громадськістю, які займаються малим та середнім бізнесом та прагнуть захищати свої законні інтереси. Асоціація займається врегулюванням проблемних питань, що виникають під час здійснення підприємницької діяльності.</t>
  </si>
  <si>
    <t>м. Конотоп, вул. Братів Лузанів, 68</t>
  </si>
  <si>
    <t>Путивль</t>
  </si>
  <si>
    <t>ГО "Спілка підприємців Путивльщини"</t>
  </si>
  <si>
    <t>Сприяє розвитку підприємницької діяльності у регіоні. Здійснює захист прав, економічних та соціальних інтересів підприємців та членів Cпілки. Надає матеріальну, юридичну допомогу членам Cпілки. Фінансує програми, що спрямовані на вирішення завдань Спілки.</t>
  </si>
  <si>
    <t>м. Путивль, просп. Іоанна Путивльського, 36</t>
  </si>
  <si>
    <t>Роменська профспілка працівників кооперації та інших форм підприємництва</t>
  </si>
  <si>
    <t>Діяльність професійних громадських організацій.</t>
  </si>
  <si>
    <t>м. Ромни, Б-р. Шевченка, 65</t>
  </si>
  <si>
    <t>ГО «Ділова агенція розвитку»</t>
  </si>
  <si>
    <t>Діяльність громадських організацій у сфері бізнесу.</t>
  </si>
  <si>
    <t>м. Ромни, Б-р. Шевченка, 66</t>
  </si>
  <si>
    <t>Комунальне підприємство Тростянецької міської ради "Агенція місцевого розвитку"</t>
  </si>
  <si>
    <t>Підприємство створено з метою залучення інвестицій в економіку Тростянецької міської ОТГ.</t>
  </si>
  <si>
    <t>м. Тростянець, вул. Л. Татаренка, 1Б</t>
  </si>
  <si>
    <t>Індустріальний парк "Тростянець"</t>
  </si>
  <si>
    <t>Індустріальний парк створено з метою формування інвестиційно привабливих майданчиків в ОТГ.</t>
  </si>
  <si>
    <t>м. Тростянець, вул. Миру, 6</t>
  </si>
  <si>
    <t>ГО "Спілка підприємців Тростянеччини"</t>
  </si>
  <si>
    <t>м. Тростянець, вул. Комарова, 21А</t>
  </si>
  <si>
    <t>Тростянецька районна асоціація промисловців і підприємців</t>
  </si>
  <si>
    <t>м. Тростянець, вул. Миру, 32</t>
  </si>
  <si>
    <t>Рада підприємців при виконавчому комітеті Глухівської міської ради</t>
  </si>
  <si>
    <t>Рада підприємців здійснює діяльність у сфері розв'язання спірних питань, що виникають у сфері підприємництва; розвитку підприємницької ініціативи, підтримки та популяризації підприємницької діяльності, досвіду соціальної відповідальності бізнесу, відродження позитивних традицій та етичних принципів підприємництва.</t>
  </si>
  <si>
    <t>м. Глухів, вул. Шевченка, 6</t>
  </si>
  <si>
    <t>Рада підприємців при Лебединській районній державній адміністрації</t>
  </si>
  <si>
    <t>Одним із основних завдань ради підприємців є сприяння у формуванні дієвого механізму взаємодії органів виконавчої влади і суб'єктів господарювання на засадах партнерства, відкритості та прозорості.</t>
  </si>
  <si>
    <t>м. Лебедин, вул. Сумська, 12</t>
  </si>
  <si>
    <t>Рада підприємців при Шосткинській районній державній адміністрації</t>
  </si>
  <si>
    <t>Сприяння у створенні дієвого механізму взаємодії суб'єктів підприємницької діяльності, громадських організацій підприємців, об’єднань підприємств та органів місцевого самоврядування на засадах партнерства та відкритості, а також участь у формуванні та реалізації державної регуляторної політики і державної політики у сфері підприємництва.</t>
  </si>
  <si>
    <t>м. Шостка, вул. Свободи, 54</t>
  </si>
  <si>
    <t>Індустріальний парк "Свема"</t>
  </si>
  <si>
    <t>Індустріальний парк «Свема» — сучасний комплекс для розміщення малих і середніх компаній, що пропонує своїм резидентам вигідні умови для розвитку власного бізнесу, передбачає високу концентрацію нових сучасних технологій та ідей. Майданчик має необхідну інженерну інфраструктуру, енергетичне забезпечення. Великою перевагою для індустріального парку є те, що територія парку межує з діючою ТЕЦ, яка є найпотужнішою електростанцією на північному сході України.</t>
  </si>
  <si>
    <t>м. Шостка, вул. Гагаріна, 1, офіс 111</t>
  </si>
  <si>
    <t>Буринь</t>
  </si>
  <si>
    <t>ГО «Буринське районне (міське) відділення Українського Союзу промисловців і підприємців»</t>
  </si>
  <si>
    <t>Захист прав та представництво інтересів. Підтримка та розвиток місцевого бізнесу.</t>
  </si>
  <si>
    <t>м. Буринь, вул. Дем’яна Бєдного, 4</t>
  </si>
  <si>
    <t>ГО «Асоціація фермерів та землевласників Буринського району»</t>
  </si>
  <si>
    <t>Захист прав та представництво інтересів. Підтримка та розвиток сільськогосподаських виробників.</t>
  </si>
  <si>
    <t>м. Буринь, вул. О.Довженка, 65/1</t>
  </si>
  <si>
    <t>ГО «Буринська районна профспілкова організація працівників кооперації та інших форм підприємництва»</t>
  </si>
  <si>
    <t>м. Буринь, вул. Л.Українки, 1/9</t>
  </si>
  <si>
    <t>Рада підприємців при Буринській районній державній адміністрації</t>
  </si>
  <si>
    <t>Рада підприємців здійснює діяльність у сфері розв'язання спірних питань, що виникають у сфері підприємництва; розвитку підприємницької ініціативи, підтримки та популяризації підприємницької діяльності.</t>
  </si>
  <si>
    <t>м. Буринь, пл. Першторавнева, 20</t>
  </si>
  <si>
    <t>Велика Білозерка</t>
  </si>
  <si>
    <t>Великобілозерська районна організація роботодавців "Потенціал-Білозерка"</t>
  </si>
  <si>
    <t>Інформаційна та комунікаційна підтримка.</t>
  </si>
  <si>
    <t>Великобілозерський район, с. Велика Білозерка, вул. Чарівна, 1Г</t>
  </si>
  <si>
    <t>Старий Салтів</t>
  </si>
  <si>
    <t>Центр підтримки розвитку підприємницької діяльності та туризму в Старосалтівській ОТГ</t>
  </si>
  <si>
    <t>Відповідно до розпорядження селищного голови була утворена робоча група для роботи в Центрі, до складу якої увійшли посадовці ОМС, депутати, підприємці, представники громадськості та молодіжної Ради ОТГ. Робоча група працює на підставі Положення про роботу Центру, затвердженого рішенням виконавчого комітету.</t>
  </si>
  <si>
    <t>Вовчанський район, смт Старий Салтів, вул. Перемоги, 15</t>
  </si>
  <si>
    <t>Установа "Черкаська агенція регіонального розвитку"</t>
  </si>
  <si>
    <t>Виконує функції центру розвитку підприємництва. Організовує навчання для підприємців, бізнес-тури по регіону для потенційних інвесторів, допомагає місцевому бізнесу здійснювати експорт товарів/послуг. У структурі Агенції було створено Офіс підтримки інвестицій та експорту, який має успішно реалізовані кейси виходу підприємств регіону на зовнішні ринки.</t>
  </si>
  <si>
    <t>м. Черкаси, бульвар Шевченка, 185, 3 поверх</t>
  </si>
  <si>
    <t>Черкаська торгово-промислова палата</t>
  </si>
  <si>
    <t>Черкаська торгово-промислова палата є одним із потужних центрів ділової активності та бізнес-комунікацій області, учасник багатьох міжнародних стратегічних альянсів. Палата стала ефективним і компетентним діловим партнером багатьох підприємств, організацій, торгово-промислових палат, бізнес-асоціацій, державних установ як в Україні, так і за кордоном.</t>
  </si>
  <si>
    <t>м. Черкаси, вул. Небесної Сотні, 105</t>
  </si>
  <si>
    <t>Громадська організація "ПРОМОЛОДЬ"</t>
  </si>
  <si>
    <t>Громадська організація працює в м. Черкаси з 2014, розвиває спроможність людей втілювати ідеї громадських та бізнес-проєктів. Створює середовище для діалогу, співпраці та розвитку черкащан. Працює у двох основних напрямках. Перший напрямок — неформальна освіта для громадських активістів та підприємців. Другий напрямок — урбаністика.</t>
  </si>
  <si>
    <t>м. Черкаси, вул. Симоненка, 5, 2 поверх</t>
  </si>
  <si>
    <t>Громадська спілка "Агенція підтримки підприємництва та інвестицій"</t>
  </si>
  <si>
    <t>Громадська спілка створена за ініціативи мешканців міста Черкас та Черкаської області, що мають великий бізнес-досвід та займають активну громадську позицію. Створена з метою об'єднання практичного досвіду ведення підприємницької діяльності в різних галузях економіки для захисту підприємців від проявів корупції та бюрократії в органах влади, а також для формування сприятливих умов для ведення бізнесу та підвищення інвестиційної привабливості регіону.&lt;br /&gt;
&lt;br /&gt;</t>
  </si>
  <si>
    <t>м. Черкаси, вул. О. Дашкевича, 19</t>
  </si>
  <si>
    <t>Черкаська міська профспілкова організація Черкаської обласної профспілки "Солідарність"</t>
  </si>
  <si>
    <t>Органіхація проводить тренінги, семінари, інформаційно-роз'яснювальну роботу для підприємців, бухгалтерів, кадровиків щодо новацій податкового законодавства, бухгалтерського обліку, перевірки контролюючих органів, актуальних питань ведення бізнесу. Розробляє та надає пропозиції щодо удосконалення податкового законодавства.</t>
  </si>
  <si>
    <t>м. Черкаси, бульвар Шевченка, 266/1, офіс 505</t>
  </si>
  <si>
    <t>Черкаський обласний центр зайнятості</t>
  </si>
  <si>
    <t>Залучення безробітних до організації підприємницької діяльності. Надання послуг із виплати одноразової допомоги по безробіттю для організації власної справи.</t>
  </si>
  <si>
    <t>м. Черкаси, вул. Володимира Ложешнікова, 56</t>
  </si>
  <si>
    <t>ГО "Ресурсний центр АНГО"</t>
  </si>
  <si>
    <t>Проведення тренінгів, круглих столів. Співпраця з бізнесом та впровадження грантових проєктів.</t>
  </si>
  <si>
    <t>м. Черкаси, вул. Благовісна, 262</t>
  </si>
  <si>
    <t>Громадська спілка "Всеукраїнська Аграрна Рада"</t>
  </si>
  <si>
    <t>ГС «Всеукраїнська Аграрна Рада» (ГС «ВАР») є добровільним неурядовим об’єднанням, засноване в червні 2014 року. Спілка створена на основі єдності інтересів для спільної реалізації її членами своїх прав, свобод та захисту законних соціальних та економічних інтересів. Загальна площа земельного фонду членів спілки - 3 500 000 га.</t>
  </si>
  <si>
    <t>м. Умань, вул. Івана Гонти, 3</t>
  </si>
  <si>
    <t>Черкаське представництво ICC UKRAINE</t>
  </si>
  <si>
    <t>Український національний комітет Міжнародної Торгової Палати (ICC Ukraine) уповноважений Світовою організацією бізнесу представляти на національній території сучасні тенденції бізнесу та сприяти розвитку міжнародного співробітництва. Міжнародна Торгова Палата, ICC (штаб – квартира у Парижі) – впливова глобальна організація бізнесу, яка користується авторитетом у розробці сучасних правил та стандартів, які визначають ведення міжнародного бізнесу.</t>
  </si>
  <si>
    <t>м. Черкаси, вул. Митницька, 16/6</t>
  </si>
  <si>
    <t>Інформаційний пункт підприємця м. Золотоноша</t>
  </si>
  <si>
    <t>Пілотний проєкт Міністерства розвитку економіки, торгівлі та сільського господарства України за підтримки Офісу розвитку малого та середнього підприємництва та проєкту FORBIZ. Ціль проєкту - надання бекоштовної інформаційної підтримки суб'єктам мікропідприємництва та потенційним підприємцям.</t>
  </si>
  <si>
    <t>Золотоніський район, м. Золотоноша. вул. Незалежності 40, (приміщення Центру надання адміністративних послуг)</t>
  </si>
  <si>
    <t>Інформаційний пункт підприємця м. Шпола</t>
  </si>
  <si>
    <t>Шполянський район, м. Шпола, вул. Лозуватська, 59</t>
  </si>
  <si>
    <t>Білозір'я</t>
  </si>
  <si>
    <t>Інформаційний пункт підприємця с. Білозір’я</t>
  </si>
  <si>
    <t>Черкаський район, с. Білозір’я, вул. Незалежності, 168</t>
  </si>
  <si>
    <t>Канів</t>
  </si>
  <si>
    <t>ГО "Спілка підприємців Канівщини"</t>
  </si>
  <si>
    <t>Спілка підприємців Канівщини — громадська організація, створена з метою консолідації зусиль суб’єктів підприємницької діяльності (як юридичних, так і фізичних осіб) та їх об’єднання у вирішенні соціально-економічних і правових задач у сфері підприємництва. Організація має на меті захист і лобіювання прав та інтересів підприємців, надання всебічної підтримки: інформаційної, правозахисної, матеріальної.</t>
  </si>
  <si>
    <t>Канівський район, м. Канів, вул. Шевченка, 17 (приміщення лікарняної каси)</t>
  </si>
  <si>
    <t>Смілянська міська ГО "Колегія підприємців"</t>
  </si>
  <si>
    <t>Аналітична, консультаційна та юридична підтримка підприємців із питань оподаткування.&lt;br /&gt;</t>
  </si>
  <si>
    <t>Смілянський район, м. Сміла, вул. Севастопольська, 28</t>
  </si>
  <si>
    <t>ГО "Асоціація підприємців Чигиринщини"</t>
  </si>
  <si>
    <t>Громадська організація спеціалізується на захисті прав та інтересів громадян та бізнесу.</t>
  </si>
  <si>
    <t>Чигиринський район, м. Чигирин, вул. Богдана Хмельницького, 27а</t>
  </si>
  <si>
    <t>Ресурсно-тренінговий центр "ГУРТом"</t>
  </si>
  <si>
    <t>Проведення навчань (тренінги, воркшопи, семінари) для представників громадських організацій, ініціативних груп, активних громадян. Надання консультацій з питань створення та діяльності громадських об'єднань, підготовки та написання грантових проєктних заявок. Надання приміщення для проведення заходів громадським організаціям та ініціативним групам (в рамках графіку роботи).&lt;br /&gt;</t>
  </si>
  <si>
    <t>Чигиринський район, м. Чигирин, вул. Миру, 12/72 (Новий Чигирин)</t>
  </si>
  <si>
    <t>Кремінська районна ГО «Кремінська бізнес-асоціація»</t>
  </si>
  <si>
    <t>Створення сприятливих умов для економічного розвитку регіону. Захист законних прав членів і суб’єктів підприємницької діяльності шляхом підтримки громадських ініціатив, які направлені на створення у регіоні сприятливих умов бізнесу. Інформаційна, консультаційна та освітня підтримка суб’єктам підприємницької діяльності в сфері правового захисту бізнесу. У 2019 році було створено мережу центрів підтримки бізнесу на базі громадських організацій Луганської області.</t>
  </si>
  <si>
    <t>Кремінський район, м. Кремінна, проспект Дружби, 15/1</t>
  </si>
  <si>
    <t>Білокуракине</t>
  </si>
  <si>
    <t>Білокуракинська районна асоціація підприємців</t>
  </si>
  <si>
    <t>Консультаційна допомога: обговорення ставок податків, змін у законодавстві, грантових пропозицій.</t>
  </si>
  <si>
    <t>смт Білокуракине, вул. Центральна, 94</t>
  </si>
  <si>
    <t>Біловодськ</t>
  </si>
  <si>
    <t>Управління економічного розвитку і торгівлі виконавчого комітету Біловодської селищної ради Біловодського району Луганської області</t>
  </si>
  <si>
    <t>Структурний підрозділ органу місцевого самоврядування.</t>
  </si>
  <si>
    <t>смт Біловодськ, вул. Центральна, 103</t>
  </si>
  <si>
    <t>Троїцьке</t>
  </si>
  <si>
    <t>Організація роботодавців «Союз роботодавців агропромислового комплексу Троїцького району Луганської області»</t>
  </si>
  <si>
    <t>Організація роботодавців є неприбутковою громадською організацією, яка об’єднує роботодавців, що працюють на території району на засадах добровільності та рівноправності з метою представництва і захисту їх прав та інтересів. Організація створена за галузевою ознакою, має місцевий статус, діяльність якої поширюється на територію Троїцького району Луганської області.</t>
  </si>
  <si>
    <t>Троїцький р-н, смт Троїцьке, вул. Ліхачова, 49</t>
  </si>
  <si>
    <t>ГО «Асоціація фермерів та приватних землевласників Луганської області»</t>
  </si>
  <si>
    <t>Захист прав та свобод членів ГО в сфері сільського господарства.</t>
  </si>
  <si>
    <t>м. Сватове, вул. Н-Водокачка, 9</t>
  </si>
  <si>
    <t>ГО "Центр реалізації соціальних програм та міжнародних проєктів"</t>
  </si>
  <si>
    <t>Члени/фахівці ГО є тренерами навчальних та мотиваційних проєктів з підприємництва для безробітного населення і роботодавців у Волинській та Рівненській областях. Організація надає інформаційну підтримку про можливості фінансування для МСБ, захист прав МСБ. Сприяє розвитку місцевого бізнесу та допомагає у підготовці бізнес-планів, проєктних заявок. Здійснює підтримку новостворених підприємств. Розробляє та реалізовує проєкти економічного та культурного розвитку у Жидичинської ОТГ спільно з ОМС.</t>
  </si>
  <si>
    <t>Ківерцівський район, с. Жидичин, вул. Б. Хмельницького, 7</t>
  </si>
  <si>
    <t>ГО "Спілка малого та середнього бізнесу "Альтернатива"</t>
  </si>
  <si>
    <t>Організація надає консультаційну допомогу, впливає на покращення бізнес-клімату, лобіює інтереси соціально відповідальних представників малого та середнього бізнесу.</t>
  </si>
  <si>
    <t>м. Калуш, вул. Пушкіна, 8а</t>
  </si>
  <si>
    <t>Хустське агентство регіонального розвитку «Хуст-Европа-Центр»</t>
  </si>
  <si>
    <t>Розвиток підприємництва на території міста Хуст та Хустського району.</t>
  </si>
  <si>
    <t>м. Хуст, вул. Карпатської Січі, 21</t>
  </si>
  <si>
    <t>ГО «Незалежна спілка підприємців Хустщини»</t>
  </si>
  <si>
    <t>Підтримка підприємництва на території міста Хуст.</t>
  </si>
  <si>
    <t>м. Хуст, вул. Репіна, 5</t>
  </si>
  <si>
    <t>Консалтінговий центр підтримки та розвитку підприємництва при Хустському міськрайонному ЦЗ</t>
  </si>
  <si>
    <t>Забезпечення умов розвитку підприємницьких ініциатив та самозайнятості населення.</t>
  </si>
  <si>
    <t>м. Хуст, вул. 900-річчя Хуста, 25</t>
  </si>
  <si>
    <t>Обухівська організація роботодавців</t>
  </si>
  <si>
    <t>Обухівська організація роботодавців є неприбутковою громадською організацією, що обєднує роботодавців незалежно від форм власності, на засадах добровільності та рівноправності для представництва та захисту їх прав та законних інтересів.</t>
  </si>
  <si>
    <t>м. Обухів, вул. Київська, 113а</t>
  </si>
  <si>
    <t>Рада підприємців при виконавчому комітеті Обухівської міської ради</t>
  </si>
  <si>
    <t>Рада підприємців при виконавчому комітеті Обухівської міської ради є постійно діючим консультативно-дорадчим органом. Рада створена з метою сприяння розвитку підприємництва та формування ринкової інфраструктури громади.</t>
  </si>
  <si>
    <t>м. Обухів, вул. Київська, 10</t>
  </si>
  <si>
    <t>Координаційна рада з питань розвитку підприємництва при виконавчому комітеті Обухівсвької міської ради</t>
  </si>
  <si>
    <t>Координаційна рада з питань розвитку підприємництва при виконавчому комітеті Обухівської міської ради створена з метою запровадження постійної взаємодії органів місцевого самоврядування з суб’єктами підприємницької діяльності, міськими громадськими об’єднаннями підприємців, громадськими організаціями, а також з підприємствами, установами та організаціями міста.</t>
  </si>
  <si>
    <t>ГО "Київська обласна організація Всеукраїнської асоціації жінок-підприємців "Жіночий Альянс"</t>
  </si>
  <si>
    <t>Громадська організація створена з метою розвитку підприємницва, об'єднання жінок-підприємців на території громади.</t>
  </si>
  <si>
    <t>Регіональна торгово-промислова палата Миколаївської області</t>
  </si>
  <si>
    <t>Регіональна торгово-промислова палата Миколаївської області – недержавна самоврядна некомерційна організація, найбільше регіональне об`єднання підприємців. Палата – це комплексний сервісний центр по просуванню малого й середнього бізнесу регіону на нові ринки.</t>
  </si>
  <si>
    <t>м. Миколаїв, вул. Потьомкінська, 41</t>
  </si>
  <si>
    <t>Індустріальний парк «Енергія»</t>
  </si>
  <si>
    <t>Індустріальний парк “Енергія” – облаштована територія, на якій підприємства можуть працювати та отримувати державні преференції. 07.11.2018 включено до реєстру індустріальних парків.</t>
  </si>
  <si>
    <t>м. Миколаїв, вул. Самойловича, 44</t>
  </si>
  <si>
    <t>Громадська рада з питань розвитку туризму у м. Миколаєві при департаменті економічного розвитку Миколаївської міської ради</t>
  </si>
  <si>
    <t>Забезпечення права громадян на участь у вирішенні питань місцевого значення, створення сприятливих умов для подальшого розвитку громадянського суспільства міста Миколаїв.</t>
  </si>
  <si>
    <t>м. Миколаїв, вул. Адміральська, 20</t>
  </si>
  <si>
    <t>ТОВ "Центр підтримки та правозахисту підприємництва"</t>
  </si>
  <si>
    <t>м. Миколаїв, вул. Московська, 69, офіс 18</t>
  </si>
  <si>
    <t>Громадська спілка "Федерація асоціацій малого та середнього бізнесу"</t>
  </si>
  <si>
    <t>Регіональна рада підприємців при облдержадміністрації</t>
  </si>
  <si>
    <t>Розвиток підприємницької ініціативи, підтримка та популяризація підприємницької діяльності.</t>
  </si>
  <si>
    <t>м. Миколаїв, вул. Адміральська, 22</t>
  </si>
  <si>
    <t>ТОВ "Бізнес-центр "Україна"</t>
  </si>
  <si>
    <t>Надання в оренду й експлуатацію власного чи орендованого нерухомого майна.</t>
  </si>
  <si>
    <t>м. Миколаїв, Центральний р-н, вул. Соборна, 12, корп. б</t>
  </si>
  <si>
    <t>ГО "Спілка підприємців Горностаївської об'єднаної територіальної громади"</t>
  </si>
  <si>
    <t>Підтримка та розвиток місцевого бізнесу. Аналітична, консультаційна та юридична підтримка.</t>
  </si>
  <si>
    <t>Горностаївський район, смт Горностаївска, вул. Покровська, 145</t>
  </si>
  <si>
    <t>Недобоївці</t>
  </si>
  <si>
    <t>Центр економічного розвитку Недобоївської ОТГ</t>
  </si>
  <si>
    <t>Центр створено в межах ініціативи ЄС М4ЕG "Різні громади - спільні рішення" для економічного зростання громади та реалізації спільних інтересів жителів Недобоївської ОТГ. Це місце громадського діалогу, призначене для налагодження зв'язків, досягнення співпраці між місцевими підприємцями, молоддю та іншими активними громадянами, побудови продуктивних ефективних відносин з метою зростання громади.</t>
  </si>
  <si>
    <t>Хотинський район, с. Недобоївці, вул. Головна, 28</t>
  </si>
  <si>
    <t>Кузнецовська асоціація захисту прав підприємців</t>
  </si>
  <si>
    <t>Забезпечує сприяння розвитку малого та середнього бізнесу та захист інтересів підприємців.</t>
  </si>
  <si>
    <t>м. Вараш ,мкрн. Перемоги, 10, кв.12</t>
  </si>
  <si>
    <t>ГО "Комітет підприємців Кузнецовська"</t>
  </si>
  <si>
    <t>Робота організації спрямована на соціальний та правовий захист інтересів підприємців.</t>
  </si>
  <si>
    <t>м. Вараш, мкрн. Вараш, 11/1Б</t>
  </si>
  <si>
    <t>ГО "Кузнецовська Гільдія Бізнесу"</t>
  </si>
  <si>
    <t>Організація створена для задоволення та захисту законних соціальних та економічних інтересів підприємців.</t>
  </si>
  <si>
    <t>м. Вараш, мкрн. Будівельників, 4/4</t>
  </si>
  <si>
    <t>Центр транскордонного співробітництва Вараської міської ОТГ</t>
  </si>
  <si>
    <t>Центр створено з метою підвищення ділової активності та взаємодії малого та середнього підприємництва прикордонних регіонів, а також інших відносин між суб'єктами і учасниками в Україні та Білорусі у межах компетенції, визначеної національним законодавством. Заходи здійснюються в рамках грантового проєкту ЄС «Активізація малого та середнього бізнесу в прикордонних регіонах України-Білорусі».</t>
  </si>
  <si>
    <t>м. Вараш, майдан Незалежності, 1, каб.205</t>
  </si>
  <si>
    <t>Ковель</t>
  </si>
  <si>
    <t>ГО "Підприємців та працівників приватного сектору м. Ковель"</t>
  </si>
  <si>
    <t>Захист суб'єктів господарювання.</t>
  </si>
  <si>
    <t>м. Ковель, вул. Драгоманова, 17</t>
  </si>
  <si>
    <t>Організація роботобавців м. Ковеля</t>
  </si>
  <si>
    <t>м. Ковель, вул. Грушевського, 110а</t>
  </si>
  <si>
    <t>Нововолинськ</t>
  </si>
  <si>
    <t>ГО "Нововолинська спілка підприємців"</t>
  </si>
  <si>
    <t>м. Нововолинськ, вул. Молодогвардійців, 22</t>
  </si>
  <si>
    <t>Колки</t>
  </si>
  <si>
    <t>ГО "Захисту прав суб'єктів підприємницької діяльності "Романів"</t>
  </si>
  <si>
    <t>Організація об'єднує громадян на основі спільності інтересів для підтримки та розвитку місцевого бізнесу.&lt;br /&gt;</t>
  </si>
  <si>
    <t>Маневицький район, смт Колки, вул. Соборності, 4</t>
  </si>
  <si>
    <t>Горохів</t>
  </si>
  <si>
    <t>Організація роботодавців Горохівського району</t>
  </si>
  <si>
    <t>Горохівський район, м. Горохів, вул. Грушевського, 62</t>
  </si>
  <si>
    <t>Асоціація фермерів Горохівського району</t>
  </si>
  <si>
    <t>Захист прав та представництво інтересів.</t>
  </si>
  <si>
    <t>Горохівський район, м. Горохів, вул. Незалежності, 2</t>
  </si>
  <si>
    <t>Рада сільськогосподарських підприємств Горохівського району</t>
  </si>
  <si>
    <t>Аналітична, консультаційна та юридична підтримка.</t>
  </si>
  <si>
    <t>ГО "Асоціація фермерів Луцького району"</t>
  </si>
  <si>
    <t>м. Луцьк, вул. Ковельська, 53</t>
  </si>
  <si>
    <t>ГО «Центр муніципального розвитку м. Добропілля»</t>
  </si>
  <si>
    <t>Організація – добровільне об’єднання фізичних осіб, яке створене з метою сприяння становленню та розвитку місцевого самоврядування та його прозорості для населення, розвитку бізнесу та створенню умов для залучення інвестицій, надання допомоги для сприяння законним інтересам фізичних осіб та неприбуткових організацій у сферах благодійної діяльності.&lt;br /&gt;</t>
  </si>
  <si>
    <t>м. Добропілля, вул. Першотравнева, 83, каб. 105</t>
  </si>
  <si>
    <t>Організація роботодавців "Дружківська місцева організація підприємців"</t>
  </si>
  <si>
    <t>Приватні некомерційні організації, що обслуговують домашні господарства.</t>
  </si>
  <si>
    <t>м. Дружківка, вул. Соборна, 16-116</t>
  </si>
  <si>
    <t>Індустріальний парк "Техносіті"</t>
  </si>
  <si>
    <t>Внесений до реєстру Індустріальних парків №29 від 22.02.2018</t>
  </si>
  <si>
    <t>м. Костянтинівка, вул. Мірошниченка, 2д</t>
  </si>
  <si>
    <t>ГО "Клуб підприємців Краматорська"</t>
  </si>
  <si>
    <t>м. Краматорськ, вул. Паркова, 115</t>
  </si>
  <si>
    <t>Маріупольській міський центр підтримки та розвитку МСБ</t>
  </si>
  <si>
    <t>Маріупольський міський Центр з розвитку малого та середнього бізнесу — незалежна організація, головною метою якої є створення сприятливих умов для підприємництва у Маріуполі, стимулювання підприємницької активності в місті шляхом надання високоякісних консалтингових, інформаційних та тренінгових послуг.</t>
  </si>
  <si>
    <t>м. Маріуполь, вул. Грецька, 43</t>
  </si>
  <si>
    <t>ГО "Фонд розвитку Маріуполя"</t>
  </si>
  <si>
    <t>Фонд розвитку Маріуполя - громадська організація, яка є майданчиком для конструктивного діалогу між малим і середнім бізнесом, потенційними інвесторами, донорськими організаціями, органами місцевого самоврядування з метою створення сприятливих умов для розвитку бізнес-середовища та реалізації інвестиційних та інноваційних проєктів.</t>
  </si>
  <si>
    <t>м. Маріуполь, пров. Нахімова, 6</t>
  </si>
  <si>
    <t>Регіональний навчальний центр бізнес-навичок "Приазов'є" при ДВНЗ "ПДТУ"</t>
  </si>
  <si>
    <t>Послуги з навчання (тренінги, семінари, курси) та інформаційної та комунікаційної підтримки.</t>
  </si>
  <si>
    <t>м. Маріуполь, пр. Металургів, 54 (11 корпус ДВНЗ "ПДТУ")</t>
  </si>
  <si>
    <t>Індустріальний парк "АзовАкваІнвест"</t>
  </si>
  <si>
    <t>Функціональне призначення індустріального парку полягає у розбудові сучасного виробничо-промислового комплексу з розвиненою інженерно-транспортною інфраструктурою, складськими та адміністративними приміщеннями. Основна мета — вирішення питань щодо диверсифікації економіки міста, залучення інвестицій, створення нових робочих місць, збільшення фінансових надходжень до бюджету, затвердження Маріуполя як міста з євроінтеграційними прагненнями.</t>
  </si>
  <si>
    <t>м. Маріуполь, вул. Консервна, 1</t>
  </si>
  <si>
    <t>ГО "Платформа Підприємців Покровська"</t>
  </si>
  <si>
    <t>Здійснення та захист прав і свобод, задоволення суспільних, зокрема економічних, соціальних, культурних, екологічних та інших інтересів підприємців міста Покровськ.</t>
  </si>
  <si>
    <t>м. Покровськ, Центральна міська бібліотека ім. Шевченка, вул. Європейська, 22, каб. 10</t>
  </si>
  <si>
    <t>Координаційна рада з питань розвитку підприємництва м. Селидове</t>
  </si>
  <si>
    <t>Координаційна рада з питань розвитку підприємництва є постійно діючим дорадчо-консультативним органом.</t>
  </si>
  <si>
    <t>м. Селидове, вул. К.Маркса, 8, (виконком міської ради)</t>
  </si>
  <si>
    <t>Міська ГО "Асоціація "Ділове сприяння"</t>
  </si>
  <si>
    <t>Асоціація підприємців "Ділове сприяння" — об'єднання підприємців і бізнесменів, основною метою якого є підтримка підприємницької ініціативи, підвищення статусу і ролі підприємця в сучасному суспільстві, організація круглих столів та конференцій для підприємців Слов'янська та регіону, а також інша діяльність, спрямована на економічний розвиток міста Слов'янська.</t>
  </si>
  <si>
    <t>м. Слов'янськ, вул. Гудованцева, 38</t>
  </si>
  <si>
    <t>ГО "Союз виробників художньої кераміки Слов'янська"</t>
  </si>
  <si>
    <t>Мета організації — об’єднання майстрів художньої кераміки з метою розвитку керамічної галузі України, відродження ремісництва і народних художніх промислів у регіоні. Здійснення діяльності, спрямованої на покращення демократизації й юридичної грамотності суспільства, соціальної і професійної реабілітації та адаптації різних верст населення.</t>
  </si>
  <si>
    <t>м. Слов'янськ, вул. 1-го Травня, 16</t>
  </si>
  <si>
    <t>Громадська спілка "Кластер "Керамічний край" з центром у м. Слов'янськ</t>
  </si>
  <si>
    <t>Мета спілки — розвиток керамічної галузі України, відродження ремісництва і народних художніх промислів у регіоні. Здійснення діяльності, спрямованої на покращення демократизації й юридичної грамотності суспільства, соціальної і професійної реабілітації та адаптації різних верст населення.</t>
  </si>
  <si>
    <t>м. Слов'янськ, Новосодівська площадка, 2</t>
  </si>
  <si>
    <t>ГО "Клуб "Ротарі" Слов'янськ"</t>
  </si>
  <si>
    <t>Здійснює сервісні проєкти, спрямовані на активізацію економічного та суспільного розвитку, створення умов для гідної та продуктивної праці для населення. Сприяє зміцненню місцевих підприємців, особливо жінок.</t>
  </si>
  <si>
    <t>м. Слов'янськ, вул. Свободи, 5</t>
  </si>
  <si>
    <t>Коворкінг TOP PLACE "Монополія Крона"</t>
  </si>
  <si>
    <t>Креативний простір, що об’єднує в собі коворкінг для комфортної роботи, ізольовану кімнату для бізнес-зустрічей з можливістю skype-call та залу для івентів, яку можна орендувати з усією необхідною технікою. Команда організовує заходи, орієнтовані на бізнес та проактивну частину населення, з тайм-менеджменту, управління власною справою тощо.&lt;br /&gt;
&lt;br /&gt;</t>
  </si>
  <si>
    <t>м. Слов'янськ, вул. Торська, 67</t>
  </si>
  <si>
    <t>Центр розвитку підприємництва «Консалтинговий центр» Мар‘їнського районного центру зайнятості</t>
  </si>
  <si>
    <t>Надаються безкоштовні консультації з питань: &lt;br /&gt;
- бізнес-плануванння;&lt;br /&gt;
- правового регулювання та оподаткування підприємницької діяльності;&lt;br /&gt;
- діючих грантових програм;&lt;br /&gt;
- програм стажувань для підприємців;&lt;br /&gt;
- можливостей безкоштовного навчання основам підприємницької діяльності.</t>
  </si>
  <si>
    <t>Мар‘їнський район, м. Мар‘їнка, вул. Прокоф'єва, 6</t>
  </si>
  <si>
    <t>ГО «Курахівський Центр Місцевого Економічного Розвитку»</t>
  </si>
  <si>
    <t>Організація надає місцевому бізнесу бізнес-послуги з комерціалізації знань, консультативної, правової та інших видів допомоги. Консультації з питань реєстрації ВПО, індивідуальні консультації з відкриття власного бізнесу (інформація про діючі гранти для самозайнятості, реєстрації ФОП, ведення бухгалтерії) тощо.</t>
  </si>
  <si>
    <t>Мар‘їнський район, м. Курахове, вул. Енергетиків, 2</t>
  </si>
  <si>
    <t>Громадська рада при Нікольській райдержадміністрації</t>
  </si>
  <si>
    <t>Громадська рада є тимчасовим консультативно-дорадчим органом, утвореним для сприяння участі громадськості у формуванні та реалізації державної політики.</t>
  </si>
  <si>
    <t>смт Нікольське, вул. Свободи, 87</t>
  </si>
  <si>
    <t>Гнатівка</t>
  </si>
  <si>
    <t>ГО "Східноукраїнська сільськогосподарська дорадча служба"</t>
  </si>
  <si>
    <t>Проведення розрахунку та обґрунтування економічної доцільності вирощування сільськогосподарських культур в залежності від різних рівнів інтенсифікації технологій та кон’юнктури ринку; проведення маркетингових та соціологічних досліджень, вивчення попиту сільськогосподарських товаровиробників і сільського населення на дорадчі послуги, допомога у сфері бухгалтерського, податкового обліку; розробка бізнес-планів, технологічних карт, удосконалення стратегій розвитку діяльності підприємства.</t>
  </si>
  <si>
    <t>Покровський район, с. Гнатівка, вул. Шевченка, 36</t>
  </si>
  <si>
    <t>Організація роботодавців міста Красний Лиман</t>
  </si>
  <si>
    <t>Представництво та захист законних інтересів роботодавців.</t>
  </si>
  <si>
    <t>м. Лиман, вул. Соснова, 15</t>
  </si>
  <si>
    <t>ГО "Асоціація керівників підприємств, організацій, установ та фермерських господарств Соледарської міської ОТГ"</t>
  </si>
  <si>
    <t>Добровільне неприбуткове громадське об'єднання. Метою Асоціації є захист прав товаровиробників, створення умов для підвищення ефективності сільського і прмислового виробництва Соледарської ОТГ, прискорення науково-технічного процесу, розвиток економіки громади.&lt;br /&gt;</t>
  </si>
  <si>
    <t>Бахмутський район, село Бахмутське, вул. Дружби, 2</t>
  </si>
  <si>
    <t>ГО "Український Донецький Куркуль"</t>
  </si>
  <si>
    <t>Головною метою організації є всебічне задоволення та захист соціальних, економічних, творчих та інших спільних інтересів членів.</t>
  </si>
  <si>
    <t>м. Покровськ, вул. Європейська, 106, оф. 1</t>
  </si>
  <si>
    <t>Фешн Кластер Юкрейн</t>
  </si>
  <si>
    <t>Головною метою організації є сприяння розвитку та відродженню легкої промисловості регіону, підвищення конкурентоспроможності учасників.</t>
  </si>
  <si>
    <t>м. Бахмут, вул. Горбатова, 61/6</t>
  </si>
  <si>
    <t>Регіональна рада підприємців в Донецькій області</t>
  </si>
  <si>
    <t>Розвиток підприємницької ініціативи, підтримка та популяризація підприємницької діяльності, досвіду соціальної відповідальності бізнесу, відродження позитивних традицій та етичних принципів підприємництва. Підготовка пропозицій щодо внесення змін до нормативно-правових актів у сфері підприємництва. Підготовка та подання облдержадміністрації, органам виконавчої влади та органам місцевого самоврядування пропозицій.</t>
  </si>
  <si>
    <t>м. Краматорськ, вул. Ярослава Мудрого, 48а</t>
  </si>
  <si>
    <t>Державна організація «Регіональний фонд підтримки підприємництва по Донецькій області»</t>
  </si>
  <si>
    <t>Лобіювання інтересів бізнесу. З 2015 року, з об'єктивних обставин, протягом тривалого часу не отримує державного фінансування, тому здійснює свою діяльність виключно на громадських засадах і займається виключно громадською діяльністю.</t>
  </si>
  <si>
    <t>м. Краматорськ, вул. Б. Хмельницького, 8</t>
  </si>
  <si>
    <t>"Харчовий кластер Східної України"</t>
  </si>
  <si>
    <t>Діяльність спрямована на посилення і розвиток ММСП Східної України, що займаються виробництвом харчової продукції. Місія — розвиток МСБ у регіоні, що сприятиме розвитку всієї економіки України. Була створена закупівельна група з чотирьох виробників, влітку 2018 року в Краматорську відкрився перший спільний магазин "Куркуль". У магазині реалізовувалася продукція власного виробництва та інших крафтовых виробників Сходу України. Відкрито магазини у Бахмуте і Дружківці.</t>
  </si>
  <si>
    <t>м. Краматорськ, смт Малотаранівка, вул. Киргизька, 23</t>
  </si>
  <si>
    <t>Авдіївський міський центр зайнятості</t>
  </si>
  <si>
    <t>Основною метою роботи центру є формування сприятливих умов для реалізації підприємницьких ідей і бізнес-проєктів, що дозволяє забезпечити інформаційну підтримку як осіб, що планують започаткувати власну справу, так і тих, хто вже організував свій бізнес і бажає його в подальшому розвивати. Зазначений напрям роботи реалізується шляхом організації та проведення семінарів, тренінгів, майстер-класів із відповідної тематики та індивідуальних консультацій.</t>
  </si>
  <si>
    <t>м. Авдіївка, вул. Комунальна, 4</t>
  </si>
  <si>
    <t>Бахмутський міський центр зайнятості</t>
  </si>
  <si>
    <t>Мирноградський міський центр зайнятості</t>
  </si>
  <si>
    <t>м. Мирноград, м-н Молодіжний, 37Б, 3 поверх</t>
  </si>
  <si>
    <t>Добропільський міський центр зайнятості</t>
  </si>
  <si>
    <t>м. Добропілля, вул. Банкова, 39</t>
  </si>
  <si>
    <t>Дружківський міський центр зайнятості</t>
  </si>
  <si>
    <t>м. Дружківка, вул. К.Маркса, 42</t>
  </si>
  <si>
    <t>Костянтинівський міський центр зайнятості</t>
  </si>
  <si>
    <t>м. Костянтинівка, пл. Перемоги, 8</t>
  </si>
  <si>
    <t>Краматорський міський центр зайнятості</t>
  </si>
  <si>
    <t>м. Краматорськ, вул. Рум'янцева, 4</t>
  </si>
  <si>
    <t>Покровський міський центр зайнятості</t>
  </si>
  <si>
    <t>м. Покровськ, вул. Поштова, 3</t>
  </si>
  <si>
    <t>Лиманський міський центр зайнятості</t>
  </si>
  <si>
    <t>м. Лиман, вул. І.Лейко, 2</t>
  </si>
  <si>
    <t>Маріупольський міський центр зайнятості</t>
  </si>
  <si>
    <t>м. Маріуполь, пр. Металургів, 84 б, приміщення 1</t>
  </si>
  <si>
    <t>Новогродівський міський центр зайнятості</t>
  </si>
  <si>
    <t>м. Новогродівка, вул. Молодіжна, 1</t>
  </si>
  <si>
    <t>Селидівський міський центр зайнятості</t>
  </si>
  <si>
    <t>м. Селидове, вул. К.Маркса, 41а, 3-й поверх, кабінет 2</t>
  </si>
  <si>
    <t>Слов'янський міський центр зайнятості</t>
  </si>
  <si>
    <t>м. Слов'янськ, пл. Соборна, 3</t>
  </si>
  <si>
    <t>Вугледарський міський центр зайнятості</t>
  </si>
  <si>
    <t>м. Вугледар, вул. Шахтарська,16-а</t>
  </si>
  <si>
    <t>Олександрівський районний центр зайнятості</t>
  </si>
  <si>
    <t>Олександрівський р-н, смт Олександрівка, вул. О.Невського, 2</t>
  </si>
  <si>
    <t>Великоновосілківський районний центр зайнятості</t>
  </si>
  <si>
    <t>смт Велика Новосілка, вул. Центральна, 103</t>
  </si>
  <si>
    <t>Волноваха</t>
  </si>
  <si>
    <t>Волноваський районний центр зайнятості</t>
  </si>
  <si>
    <t>м. Волноваха, вул. Обручева, 17</t>
  </si>
  <si>
    <t>Нікольський районний центр зайнятості</t>
  </si>
  <si>
    <t>Нікольський район, смт. Нікольське, вул. Паркова, 25</t>
  </si>
  <si>
    <t>Мар‘їнський районний центр зайнятості</t>
  </si>
  <si>
    <t>Мар‘їнський район, м. Мар‘їнка, вул. Сергія Прокоф'єва, 6</t>
  </si>
  <si>
    <t>Мангушський районний центр зайнятості</t>
  </si>
  <si>
    <t>Мангушський район, смт Мангуш, вул. Тітова, 49А</t>
  </si>
  <si>
    <t>Координаційна рада з питань розвитку підприємництва</t>
  </si>
  <si>
    <t>Координаційна рада створена за рішенням виконкому Лисичанської міської ради. Рада надає консультації з розвитку місцевого бізнесу.</t>
  </si>
  <si>
    <t>м. Лисичанськ, вул. М. Грушевського, 7</t>
  </si>
  <si>
    <t>Агенція регіонального розвитку Чернівецької області</t>
  </si>
  <si>
    <t>Агенція регіонального розвитку створена у 2016 році, засновниками якої є Чернівецька обласна рада та Чернівецька ОДА. Основними напрямками роботи АРР Чернівецької області є економічний розвиток регіону; стимулювання інвестицій в область; брендинг та просування регіону за кордоном; підвищення кваліфікації кадрів.</t>
  </si>
  <si>
    <t>м. Чернівці, вул. Грушевського, 1</t>
  </si>
  <si>
    <t>Регіональний фонд підтримки підприємництва по Чернівецькій області</t>
  </si>
  <si>
    <t>Фонд на регіональному рівні співпрацює з органами державної влади, галузевими асоціаціями розвитку бізнесу, бере участь у стратегічному плануванні на місцевому і регіональному рівнях, реалізує проєкти, які спрямовані на посилення конкурентоспроможності підприємств МСБ та створення робочих місць. Інформаційно-консультативна підтримка бізнесу; сприяння залученню доступних фінансово-кредитних та інвестиційних ресурсів для МСП, розвитку міжрегіонального та міжнародного співробітництва.</t>
  </si>
  <si>
    <t>м. Чернівці, вул. Українська, 13</t>
  </si>
  <si>
    <t>ГО «Буковинська асоціація сільськогосподарських дорадчих служб»</t>
  </si>
  <si>
    <t>Навчання (проведення семінарів, тренінгів) консультування, інформування сільгосптоваровиробників і сільського населення з питань розвитку сільських територій, ведення прибуткового бізнесу на селі.</t>
  </si>
  <si>
    <t>м. Чернівці, вул. Грушевського, 1, каб. 243</t>
  </si>
  <si>
    <t>ГО «Клуб підприємців Буковини»</t>
  </si>
  <si>
    <t>Громадська організація “Клуб підприємців Буковини" створена на основі єдності інтересів її членів для здійснення та захисту прав і свобод, задоволення економічних, соціальних, культурних, екологічних, політичних та інших інтересів підприємців.</t>
  </si>
  <si>
    <t>м. Чернівці, проспект Незалежності, 106/509</t>
  </si>
  <si>
    <t>ГО «Центр громадської активності «Синергія»</t>
  </si>
  <si>
    <t>Робота будується на принципах соціального партнерства з державними структурами і громадськими організаціями, діяльність яких спрямована на розвиток підприємництва в буковинській громаді та протидію корупції. Центр — засновник міжнародної асоціації малого і середнього бізнесу Small Euro Business. Забезпечує формування місцевої та національної публічної політики задля сприяння розвитку малого бізнесу шляхом надання правової, організаційної, консультаційної підтримки.</t>
  </si>
  <si>
    <t>м. Чернівці, вул. Руська, 1</t>
  </si>
  <si>
    <t>Асоціація "Кластер Буковинських інноваційних технологій імені Йозефа Шумпетера"</t>
  </si>
  <si>
    <t>Об’єднання компаній і стартап-проєктів міста Чернівці. Кластер має на меті залучення молодих майбутніх підприємців, які планують розвиватися у напрямі інноваційних проєктів, та об’єднання молодих стартап-компаній. Кластер працює у двох напрямах: допомога великим ІТ-компаніям та допомога компаніям, які розвиваються. Кластер розробляє спеціальний план навчань, завдяки якому можна знаходити інвесторів.</t>
  </si>
  <si>
    <t>м. Чернівці, вул. Головна, 122 А, офіс 401</t>
  </si>
  <si>
    <t>ГО «Буковинська агенція регіонального розвитку» (БАРР)</t>
  </si>
  <si>
    <t>Мета діяльності громадської організації БАРР — досягнення високих стандартів якості життя у Чернівецькій області на засадах сталого розвитку, громадської участі та чесної конкуренції.</t>
  </si>
  <si>
    <t>м. Чернівці, вул. О. Кобилянської, 30, офіс 5</t>
  </si>
  <si>
    <t>Профспілка захисту підприємництва міста Чернівці</t>
  </si>
  <si>
    <t>Консультування з питань соціальної допомоги. Педставлення та захист прав і інтересів представників бізнесу.</t>
  </si>
  <si>
    <t>м. Чернівці, вул. Калинівська, 13Б</t>
  </si>
  <si>
    <t>ГО "Агенція регіонального розвитку Східного Донбасу"</t>
  </si>
  <si>
    <t>Заходи з інформаційно-консультативної підтримки осіб, які були змушені переселитися у зв'язку з подіями в Криму та на Сході України; місцевих мешканців, які мали на меті започаткувати бізнес або розширити існуючий, отримати нові професійні навички чи кваліфікацію для подальшого успішного працевлаштування. За результатами було проведено 15 тренінгів з мікропідприємництва і самозайнятості, на яких 372 бенефіціари пройшли навчання й написали бізнес-план власної діяльності.</t>
  </si>
  <si>
    <t>м.Сєвєродонецьк, вул. Гагаріна, 30/1</t>
  </si>
  <si>
    <t>ГО «Рада молодих вчених»</t>
  </si>
  <si>
    <t>Інформаційний партнер Європейського банку реконструкції та розвитку в рамках ініціативи EU4Business ЄС щодо можливостей розвитку МСБ, що існують на ринку. Основний інструмент для розповсюдження інформації: заходи різного формату й тренінги з розвитку професійних навичок, що сформовані з урахуванням потреб ринку. Центр також виступає майданчиком для нетворкінгу та розвитку ділових контактів.</t>
  </si>
  <si>
    <t>м. Суми, вул. Покровська, 9/1, оф.158</t>
  </si>
  <si>
    <t>Сумський Бізнес Хаб при Сумському державному університеті</t>
  </si>
  <si>
    <t>Простір для кооперації, навчання та обміну ідеями представників бізнес-спільноти Сумщини. Напрямки діяльності: проведення освітніх заходів для представників бізнес-спільноти, надання консультаційних послуг з правової допомоги, бухгалтеріъ, оподаткування, цифрового маркетингу, обмін актуальною бізнес-інформацією через фізичний (стенди, дошки оголошень) та віртуальний (фейсбук, сайт) простори, розвиток бізнес-ініціатив Сумського державного університету.&lt;br /&gt;</t>
  </si>
  <si>
    <t>м. Суми, вул. Покровська, 9/1 (232 ауд.)</t>
  </si>
  <si>
    <t>Коблеве</t>
  </si>
  <si>
    <t>Установа "Агенція місцевого розвитку Коблівської об'єднаної територіальної громади"</t>
  </si>
  <si>
    <t>Неприбуткова організація, що здійснює вагомий вклад у сталий ріст добробуту Коблівської ОТГ на засадах державно-приватного партнерства та соціальної відповідальності, а також впроваджує кращі практики інструментів сталого розвитку.&lt;br /&gt;</t>
  </si>
  <si>
    <t>Березанський район, село Коблеве, вул. Одеська, 4</t>
  </si>
  <si>
    <t>ГО "Спільнота підприємців Коблево"</t>
  </si>
  <si>
    <t>Співпраця в напрямку розробки та розміщення інформаційної реклами про зони відпочинку в Коблеве, Морське, Лугове та Рибаківка в ЗМІ, для участі у туристичних виставках, в Інтернет-ресурсах, соціальних мережах та онлайн-порталах України та інших країн.</t>
  </si>
  <si>
    <t>ГО "Асоціація туристичного та оздоровчого бізнесу "Відродження"</t>
  </si>
  <si>
    <t>Інформаційна та комунікаційна підтримка підприємців, розвиток місцевого бізнесу, аналітична, консультаційна та юридична підтримка підприємців.</t>
  </si>
  <si>
    <t>м. Миколаїв, вул. Наваринська, 3</t>
  </si>
  <si>
    <t>Центр підтримки підприємництва, інновацій та стартапів Chernihiv Business Hub</t>
  </si>
  <si>
    <t>Центр виконує свої функції шляхом взаємодії учасників:&lt;br /&gt;
- Агенції регіонального розвитку Чернігівської області;&lt;br /&gt;
- Державної організації «Регіональний фонд підтримки підприємництва по Чернігівській області» .&lt;br /&gt;
До діяльності залучаються інформаційні пункти підприємця, що функціонують на базі ЦНАП, та інші суб’єкти інфраструктури підтримки підприємництва. Загальна координація діяльності Центру здійснюється Департаментом розвитку економіки та сільського господарства ОДА.</t>
  </si>
  <si>
    <t>Обласна організація роботодавців "Асоціація роботодавців Чернігівщини"</t>
  </si>
  <si>
    <t>Захист законних прав та інтересів як роботодавців області, так і працівників їх підприємств у трудових, соціальних та економічних відносинах.</t>
  </si>
  <si>
    <t>м. Чернігів, Деснянський район, вул. Володимира Дрозда, 3</t>
  </si>
  <si>
    <t>Чернігівська обласна галузева організація роботодавців сфери торгівлі та послуг</t>
  </si>
  <si>
    <t>м. Чернігів, вул. Любецька, 70</t>
  </si>
  <si>
    <t>Чернігівська обласна галузева організація роботодавців "Спілка промисловців"</t>
  </si>
  <si>
    <t>м. Чернігів, вул. Текстильників, 2</t>
  </si>
  <si>
    <t>Чернігівське обласне об'єднання організацій роботодавців "Сіверщина"</t>
  </si>
  <si>
    <t>м. Чернігів, вул. Квітнева, 20</t>
  </si>
  <si>
    <t>ГО "Спілка жінок Чернігівщини"</t>
  </si>
  <si>
    <t>За 25 років існування ГО "Спілка жінок Чернігівщини", займаючи активну громадянську позицію, стала впливовою, авторитетною, знаною не тільки в області, а й в Україні загалом. Організація займається навчанням (тренінги, семінари, курси), підтримкою та розвитком місцевого бізнесу та новостворених підприємств.</t>
  </si>
  <si>
    <t>м. Чернігів, вул. Захісників України, 9, офіс 513</t>
  </si>
  <si>
    <t>Інформаційний пункт підприємця</t>
  </si>
  <si>
    <t>м. Чернігів, вул. Рокоссовського, 20-А (примішення ЦНАП)</t>
  </si>
  <si>
    <t>Центр підтримки підприємництва Прилуцької міської ради</t>
  </si>
  <si>
    <t>Координатор роботи центру - відділ економіки Прилуцької міської ради. Постійне фінансове супроводження діяльності центру здійснює ПрАТ "А/Т тютюнова компанія "В.А.Т.- Прилуки". Центр надає на безкоштовній основі консультаційно-інформаційні послуги суб'єктам господарювання, організовує проведення тренінгів та навчальних заходів.</t>
  </si>
  <si>
    <t>м. Прилуки, вул. Київська, 281, каб.71 (ІІ поверх)</t>
  </si>
  <si>
    <t>Короп</t>
  </si>
  <si>
    <t>Агенція регіонального розвитку Коропщини</t>
  </si>
  <si>
    <t>Сприяння реалізації стратегії розвитку, програм і проєктів розвитку, залучення інвестиційних ресурсів, впровадження реформи децентралізації.</t>
  </si>
  <si>
    <t>смт Короп, вул. Горького, 15, кв, 1</t>
  </si>
  <si>
    <t>Куликівка</t>
  </si>
  <si>
    <t>ГО "Агенція місцевого розвитку м.Енергодар"</t>
  </si>
  <si>
    <t>Куликівський район, смт Куликівка, вул. Миру, 67</t>
  </si>
  <si>
    <t>Первинна профспілкова організація підприємців Куликівського району Всеукраїнської профспілки "Захист справедливості"</t>
  </si>
  <si>
    <t>Захист прав та інтересів підприємців.</t>
  </si>
  <si>
    <t>Куликівський район, смт Куликівка, вул. Стадіонна, 6А/8</t>
  </si>
  <si>
    <t>ГО "Асоціація підприємців Миколаївської ОТГ"</t>
  </si>
  <si>
    <t>Навчання, семінари, тренінги. Підтримка та розвиток місцевого бізнесу.</t>
  </si>
  <si>
    <t>Слов'янський район, м. Миколаївка, вул. Січових стрільців, 39</t>
  </si>
  <si>
    <t>Обласна координаційна рада з питань розвитку підприємництва</t>
  </si>
  <si>
    <t>Створена з метою запровадження постійної взаємодії місцевих органів виконавчої влади з суб’єктами підприємницької діяльності, обласними громадськими об’єднаннями підприємців, громадськими організаціями, а також із підприємствами, установами та організаціями області.</t>
  </si>
  <si>
    <t>м. Запоріжжя, проспект Соборний, 164</t>
  </si>
  <si>
    <t>ГО "Підприємницька єдність"</t>
  </si>
  <si>
    <t>м. Запоріжжя, вул. Оптимістична, 14, кв. 125</t>
  </si>
  <si>
    <t>Спілка підприємців, малих, середніх та приватизованих підприємств України</t>
  </si>
  <si>
    <t>м. Запоріжжя, вул. Радгоспна, 36А</t>
  </si>
  <si>
    <t>ГО "Запорізька правобережна асоціація промисловців і підприємців"</t>
  </si>
  <si>
    <t>м. Запоріжжя, вул. Мінська, 9</t>
  </si>
  <si>
    <t>Запорізький обласний союз промисловців і підприємців (роботодавців) «Потенціал»</t>
  </si>
  <si>
    <t>м. Запоріжжя, проспект Соборний, 135</t>
  </si>
  <si>
    <t>Коворкінг «Business Women`s Space»</t>
  </si>
  <si>
    <t>м. Запоріжжя, вул. Матросова, 23</t>
  </si>
  <si>
    <t>Коворкинг "IT HUB Coworking place"</t>
  </si>
  <si>
    <t>м. Запоріжжя, проспект Соборний, 24</t>
  </si>
  <si>
    <t>Коворкінг «Edison Space»</t>
  </si>
  <si>
    <t>Еvent-простір на 150 осіб для проведення лекцій, семінарів і майстер-класів; лекторій на 50 осіб.</t>
  </si>
  <si>
    <t>Коворкінг "Спільно-HUB"</t>
  </si>
  <si>
    <t>м. Запоріжжя, пр. Соборний, 142, 4 поверх</t>
  </si>
  <si>
    <t>Швейний коворкінг</t>
  </si>
  <si>
    <t>Оренда приміщення та швейного устаткування. Надання консультацій щодо шиття та надання освітніх послуг.</t>
  </si>
  <si>
    <t>м. Запоріжжя, вул. Фортечна, 45</t>
  </si>
  <si>
    <t>Б'юті-коворкінг GoBeauty Studios Ukraine</t>
  </si>
  <si>
    <t>Оренда оснащеного робочого місця для працівників б'юті-індустрії.</t>
  </si>
  <si>
    <t>м. Запоріжжя, проспект Соборний, 160</t>
  </si>
  <si>
    <t>Запорізький обласний бізнес-центр, заснований на власності РФПП по Запорізькій області</t>
  </si>
  <si>
    <t>м. Запоріжжя, вул. Незалежної України, 90, офіс 27</t>
  </si>
  <si>
    <t>Бізнес-інкубатор на базі КВНЗ «Хортицька національна навчально-реабілітаційна академія»</t>
  </si>
  <si>
    <t>Реалізація заходів, спрямованих на популяризацію підприємництва й запуск власного бізнесу серед студентів та викладачів університету, сприяння розвитку молодіжного підприємництва.</t>
  </si>
  <si>
    <t>м. Запоріжжя, вул. Наукове містечко, 59</t>
  </si>
  <si>
    <t>Бізнес-інкубатор при національному університеті Запорізька політехніка</t>
  </si>
  <si>
    <t>м. Запоріжжя, вул. Жуковського, 64</t>
  </si>
  <si>
    <t>Запорізька міська координаційна рада з питань розвитку підприємництва</t>
  </si>
  <si>
    <t>м. Запоріжжя, проспект Соборний, 206</t>
  </si>
  <si>
    <t>Міська спілка підприємців "НІКА"</t>
  </si>
  <si>
    <t>Інформаційна та комунікаційна підтримка підприємців. Захист прав та представництво інтересів.</t>
  </si>
  <si>
    <t>м. Запоріжжя, вул. Жуковського, 32, оф. 10</t>
  </si>
  <si>
    <t>Zaporizhzhia.city Hub</t>
  </si>
  <si>
    <t>Центр підтримки соціальних інновацій, зручна локація для зустрічей і культурного дозвілля, проведення виставок, сучасна конференц-зала.</t>
  </si>
  <si>
    <t>м. Запоріжжя, пр. Соборний, 151</t>
  </si>
  <si>
    <t>ГО "Спілка захисту приватних підприємців м. Бердянська"</t>
  </si>
  <si>
    <t>Бізнес-інкубатор на базі Бердянського державного педагогічного університету</t>
  </si>
  <si>
    <t>Реалізація заходів, спрямованих на популяризацію підприємництва й запуск власного бізнесу серед студентів та викладачів університету, сприяння розвитку молодіжного підприємництва в Бердянську та регіоні.</t>
  </si>
  <si>
    <t>м. Бердянськ, вул. Шмідта, 4</t>
  </si>
  <si>
    <t>Молодіжна ГО "Відродження"</t>
  </si>
  <si>
    <t>Співпраця та реалізація проєктів з Німецьким товариством міжнародного співробітництва (GIZ) ГмбХ, співпраця з Енергодарською міською владою, проєктом «Партнерство для розвитку міст» (ПРОМІС) та іншими.&lt;br /&gt;</t>
  </si>
  <si>
    <t>м. Енергодар, вул. Молодіжна, 3а</t>
  </si>
  <si>
    <t>Участь в розробці та сприяння реалізації: програми підтримки та розвитку малого і середнього підприємництва в м.Енергодар на 2018-2022 роки. Участь у реалізації проєктів, спрямованих на розвиток та підтримку підприємництва та самозайнятості в м.Енергодар.&lt;br /&gt;</t>
  </si>
  <si>
    <t>місто Енергодар, вул. Молодіжна, 43</t>
  </si>
  <si>
    <t>ГО «Енергодарська спілка промисловців та підприємців»</t>
  </si>
  <si>
    <t>місто Енергодар, пр. Будівельників, 17-А</t>
  </si>
  <si>
    <t>ГО «Гільдія підприємців м. Енергодар»</t>
  </si>
  <si>
    <t>м. Енергодар, пр. Будівельників, 22</t>
  </si>
  <si>
    <t>Міська координаційна рада з питань розвитку підприємництва</t>
  </si>
  <si>
    <t>Координація роботи між виконавчим комітетом і міською радою, громадськими організаціями підприємців та суб’єктів підприємницької діяльності щодо розвитку та підтримки малого і середнього бізнесу, запровадження єдиної державної регуляторної політики у сфері господарської діяльності. Підготовка пропозицій щодо вдосконалення нормативно-правової бази у сфері розвитку та підтримки МСБ у місті. Обговорення та надання рекомендацій щодо вирішення спірних питань, що виникають у сфері підприємництва.</t>
  </si>
  <si>
    <t>м. Енергодар, вул. Курчатова, 11</t>
  </si>
  <si>
    <t>Запорізька обласна ГО "Запорізький інформаційно-консультаційний центр "Агро-Таврія"</t>
  </si>
  <si>
    <t>Органіція об'єднує групу консультантів, які надають послуги малим та дрібним агровиробникам з питань агротехнології, агробізнесу та маркетингу.</t>
  </si>
  <si>
    <t>м. Мелітополь, пр. Б. Хмельницького, 18, к. 9.210</t>
  </si>
  <si>
    <t>ГО "Мелітопольський районний клуб "Сучасна пасіка"</t>
  </si>
  <si>
    <t>Організація об'єднує та інформаційно підтримує як бджолярів-початківців, так і досвідчених пасічників.</t>
  </si>
  <si>
    <t>м. Мелітополь, проспект Хмельницького, 18, к. 5.201</t>
  </si>
  <si>
    <t>Комунальна установа “Агенція розвитку Мелітополя”</t>
  </si>
  <si>
    <t>Надання послуг суб’єктам господарської діяльності по розробці інвестиційних проєктів, написанню грантів, а також надання консультаційного супроводу. Здійснення досліджень потенційних об’єктів інвестиційної привабливості міста. Інформаційне обслуговування учасників інвестиційних проєктів і програм. Сприяння створенню та консультаційна підтримка індустріальних парків, технопарків, бізнес-інкубаторів з метою розвитку території та появи додаткових робочих місць.</t>
  </si>
  <si>
    <t>м. Мелітополь, вул. Чернишевського, 26</t>
  </si>
  <si>
    <t>Громадська спілка "Асоціація малого та середнього бізнесу України"</t>
  </si>
  <si>
    <t>Об’єднання малого та середнього бізнесу регіону в активну бізнес-спільноту, здатну ефективно вести та розвивати підприємницьку діяльність. Захист соціальних, економічних, правових та інших інтересів та потреб членів спілки. Послуги: консультації (юридичні, маркетингові); організація участі членів в освітніх та бізнес-заходах; надання бухгалтерських послуг; пошук партнерів; бізнес-планування; проєктний менеджмент. Членами спілки можуть стати МСБ, великий бізнес та громадські організації. &lt;br /&gt;</t>
  </si>
  <si>
    <t>м. Мелітополь, вул. Гетьманська 109, офіс 26</t>
  </si>
  <si>
    <t>Індустріальний парк "Мелітополь"</t>
  </si>
  <si>
    <t>Багатофункціональний простір, який складається із різних секторів – промислового, логістичного, ділового, агропереробного та зони для функціонування соціальних та культурних проєктів. В індустріальному парку працюють логістичний центр, сільськогосподарський кластер, машинобудівний кластер, зерноцех та цех з переробки круп, цех з розливу соняшникової олії, сонячна електростанція. Реалізуються проєкти: виставковий центр «Мелітополь-Експо», міні-квартал розваг та торгівлі.&lt;br /&gt;
&lt;br /&gt;
&lt;br /&gt;</t>
  </si>
  <si>
    <t>м. Мелітополь, вул. Дмитра Донцова, 15</t>
  </si>
  <si>
    <t>Бізнес-Інкубатор LIFT</t>
  </si>
  <si>
    <t>Бізнес-інкубатор в південно-східній Україні. На першому етапі в інкубаторі реалізовано 23 бізнес-проєкта (більше 100 робочих місць). Площа інкубатора 1100 м2, яка складається з офісів, коворкінг-центру, конференц-зали та кімнати для перемовин. Проєкт реалізовано завдяки підтримці USAID та GIZ. У рамках проєкту реалізовано ряд навчальних, інвестиційних та соціальних заходів, зокрема проєкт «Інвестиційна платформа», «Фабрика Підприємців», створено навчальний посібник «Реальне підприємництво».</t>
  </si>
  <si>
    <t>м. Мелітополь, вул. Гетьманська 109, офіс 23</t>
  </si>
  <si>
    <t>Громадська спілка "Соціальне підприємство "Центр освіти дорослих "Перший"</t>
  </si>
  <si>
    <t>Проведення навчання, перекваліфікації, перепідготовки соціально незахищених верств населення відповідно до вимог наукового, культурного, технологічного прогресу та ринкової економіки; співпраця та партнерство з підприємствами, установами, організаціями будь-якої форми власності з метою забезпечення громадян робочими місцями; проведення тренінгів, навчальних курсів, лекцій, семінарів та практичних заходів, спрямованих на загальний розвиток соціально незахищених верств населення.</t>
  </si>
  <si>
    <t>м. Мелітополь, вул. Героїв Сталінграда, 3а, оф. 58</t>
  </si>
  <si>
    <t>Великобелозірська районна організація роботодавців "Потенціал-Білозерка"</t>
  </si>
  <si>
    <t>Великобілозерський район, с. Велика Білозерка (частина 1 села), вул. Чарівна, 1Г</t>
  </si>
  <si>
    <t>Веселе</t>
  </si>
  <si>
    <t>Інформаційний пункт підтримки підприємця</t>
  </si>
  <si>
    <t>Інформаційний пункт підприємця створений на базі ЦНАП, який є структурним підрозділом Веселівської селищної ради.</t>
  </si>
  <si>
    <t>Веселівський район, смт Веселе, вул. Центральна, 136 (приміщення ЦНАП)</t>
  </si>
  <si>
    <t>ГО "Асоціація фермерів та приватних землевласників Вільнянського району Запорізької області"</t>
  </si>
  <si>
    <t>Об'єднання землевласників з метою пітримки та захисту прав середніх і малих фермерів Вільнянського району.</t>
  </si>
  <si>
    <t>Вільнянський район, м. Вільнянськ, вул. Бочарова, 24-А, кв. 35</t>
  </si>
  <si>
    <t>Широке</t>
  </si>
  <si>
    <t>Бізнес Хаб Широківської ОТГ</t>
  </si>
  <si>
    <t>Сучасний багатофункціональний простір для індивідуальної роботи підприємців, підприємців-початківців, самозайнятих осіб та тих, хто хоче відкрити власну справу. Приміщення оснащене офісною технікою, має окрему конференц-кімнату з мобільними меблями. Відвідувачі можуть безкоштовно працювати за комп’ютерами, вести скайп-наради та ділові перемовини з потенційними партнерами. На базі хабу проводяться робочі заходи, консультації, тренінги для бізнес-спільноти громади.</t>
  </si>
  <si>
    <t>Запорізький район, с. Широке, вул. Центральна, 2</t>
  </si>
  <si>
    <t>Плодородне</t>
  </si>
  <si>
    <t>ГО "Рада жінок-фермерів Запорізької області"</t>
  </si>
  <si>
    <t>Інформаційна допомога жінкам-фермерам.</t>
  </si>
  <si>
    <t>с. Плодородне</t>
  </si>
  <si>
    <t>ГО "Новомиколаївська організація роботодавців"</t>
  </si>
  <si>
    <t>Новомиколаївський район, смт Новомиколаївка, вул. Шкільна, 85/б</t>
  </si>
  <si>
    <t>Подспор'є</t>
  </si>
  <si>
    <t>ГО "Асоціація фермерів Приморського району"</t>
  </si>
  <si>
    <t>Розвиток фермерського руху, захист законних прав фермерів.</t>
  </si>
  <si>
    <t>Приморський район, с. Підспір'я, вул. Гагаріна, 6</t>
  </si>
  <si>
    <t>ВНЗ Укоопспілки "Полтавський університет економіки і торгівлі"</t>
  </si>
  <si>
    <t>Сучасний заклад вищої освіти, що реалізує у своїй освітній, науковій, міжнародній та партнерській діяльності світові стандарти якісної освіти. Університет є членом Хартії європейських університетів та посідає чільне місце у плеяді провідних вищих навчальних закладів Європи.</t>
  </si>
  <si>
    <t>м. Полтава, вул. Коваля, 3</t>
  </si>
  <si>
    <t>Фонд підтримки підприємництва</t>
  </si>
  <si>
    <t>Сприяння реалізації державної політики у сфері розвитку малого і середнього підприємництва шляхом залучення та ефективного використання фінансових ресурсів, фінансування цільових програм та проєктів.</t>
  </si>
  <si>
    <t>м. Кременчук, пров. Тьомкіна, 4</t>
  </si>
  <si>
    <t>ГО "Центр інновацій та соціально-бізнесових ініціатив"</t>
  </si>
  <si>
    <t>Розвиток та підтримка впровадження економічних, соціальних, культурних та інших ініціатив громади міста шляхом надання аналітичної, дослідницької, творчої підтримки у процесі їх втілення у життя.</t>
  </si>
  <si>
    <t>м. Кременчук, вул. Першотравнева, 1</t>
  </si>
  <si>
    <t>ГО "Інша Жінка"</t>
  </si>
  <si>
    <t>Мета організації - розбудувати спільноту освіченого суспільства, в якому інтелект буде трендом, а гендерна рівність - запорукою економічного зростання в суспільстві. Напрямки роботи: сучасна та доступна освіта, гендерна рівність та захист жінок та чоловіків, розвиток жіночого бізнесу, збільшення представництва жінок у владі та сферах прийняття рішень, викорінення гендерних стереотипів у суспільстві, освіті, сім'ї, антидискримінаційна діяльність, запобігання та протидія домашньому насильству.</t>
  </si>
  <si>
    <t>м. Кременчук, вул. Соборна, 15/42</t>
  </si>
  <si>
    <t>Регіональна рада підприємців при ОДА</t>
  </si>
  <si>
    <t>м. Полтава, вул. Соборності, 45</t>
  </si>
  <si>
    <t>Рада підприємців м. Лубен</t>
  </si>
  <si>
    <t>Рада виконує свої повноваження на громадських засадах. Склад Ради становить 21 особу. Поточна робота Ради здійснюється згідно із затвердженим організаційним регламентом та планами роботи на відповідний період.</t>
  </si>
  <si>
    <t>м. Лубни, вул. Ярослава Мудрого, 33</t>
  </si>
  <si>
    <t>Гребінка</t>
  </si>
  <si>
    <t>ГО "Спілка підприємців Гребінківщини"</t>
  </si>
  <si>
    <t>м. Гребінка, пров. Пирятинський, 5А</t>
  </si>
  <si>
    <t>Семенівка</t>
  </si>
  <si>
    <t>Місцевий фонд підтримки підприємництва в Семенівському районі</t>
  </si>
  <si>
    <t>Семенівський район, смт Семенівка, вул. Незалежності, 44</t>
  </si>
  <si>
    <t>Фонд підтримки підприємництва м. Миргорода</t>
  </si>
  <si>
    <t>Для надання фінансово-кредитної допомоги малому бізнесу в м. Миргороді функціонує Фонд підтримки підприємництва. Створений у 2003 році, він надає поворотну фінансову підтримку субєктам підприємницької діяльності у пріоритетних галузях міста.</t>
  </si>
  <si>
    <t>м. Миргород, вул. Воскресінська, 9</t>
  </si>
  <si>
    <t>Решетилівка</t>
  </si>
  <si>
    <t>Рада сільськогосподарських товаровиробників Решитилівського району</t>
  </si>
  <si>
    <t>Решетилівський район, м. Решетилівка, вул. Великотирнівська, 4</t>
  </si>
  <si>
    <t>ГО "Об'єднання підприємців малого бізнесу м. Полтава"</t>
  </si>
  <si>
    <t>Відстоювання спрощеної системи оподаткування, внесення змін до існуючого законодавства щодо регулювання підприємницької діяльності, участь у розвитку малого бізнесу в місті Полтава.</t>
  </si>
  <si>
    <t>м. Полтава, вул. Пушкарівська, 22А, к.52</t>
  </si>
  <si>
    <t>Рада підприємців у м. Полтава</t>
  </si>
  <si>
    <t>Формування дієвого механізму взаємодії органів місцевого самоврядування і суб’єктів господарювання на засадах партнерства, відкритості та прозорості, узгодження адміністративних та громадських зусиль по створенню в м. Полтаві сприятливих умов для розвитку бізнесу.</t>
  </si>
  <si>
    <t>м. Полтава, вул. Соборності, 36</t>
  </si>
  <si>
    <t>Рада з питань розвитку малого та середнього підприємництва при РДА</t>
  </si>
  <si>
    <t>м. Ланівці, вул. Незалежності, 19</t>
  </si>
  <si>
    <t>Долина</t>
  </si>
  <si>
    <t>КП "Долина-Інвест" Долинської міської ради</t>
  </si>
  <si>
    <t>Долинський район, м. Долина, вул. Промислова, 5</t>
  </si>
  <si>
    <t>ГО "Асоціація економічного розвитку Коломийщини"</t>
  </si>
  <si>
    <t>Реалізувано понад 50 проєктів у рамках програм міжнародної технічної допомоги та ініціатив членів АЕРК за різними напрямками та видами діяльності. Це економічні, соціальні, екологічні, молодіжні, благодійні, культурологічні та інші проєкти й ініціативи. Зроблено десятки досліджень, розроблено низку аналітичних документів, здійснюється аналіз політики на місцевому рівні.</t>
  </si>
  <si>
    <t>м. Коломия, вул. Івана Вагилевича, 3</t>
  </si>
  <si>
    <t>Коломийська міська молодіжна ГО "Спілка української молоді"</t>
  </si>
  <si>
    <t>Організація розпочала діяльність у рамках проєкту «Сприяння розвитку малого бізнесу в місті Коломиї шляхом створення бізнес-інкубатору «KOLBIС», який фінансується урядом Канади через Федерацію Канадських Муніципалітетів та реалізується в рамках діяльності проєкту міжнародної технічної допомоги ПРОМІС.</t>
  </si>
  <si>
    <t>м. Коломия, бул. Чорновола, 49</t>
  </si>
  <si>
    <t>Рада підприємців при голові Косівської РДА</t>
  </si>
  <si>
    <t>Місцева галузева рада підприємців є постійно діючим консультативно-дорадчим органом, що утворюється при районній державній адміністрації.</t>
  </si>
  <si>
    <t>м. Косів, майдан Незалежності, 11</t>
  </si>
  <si>
    <t>ГО "Туристична Асоціація Івано-Франківщини"</t>
  </si>
  <si>
    <t>Розбудова туристичної галузі у Карпатському регіоні для сталого розвитку та підвищення добробуту місцевих громад. Заохочення до подорожей та довшого перебування туристів у регіоні та формування позитивних вражень. Просування туристичних дестинацій Карпатського регіону. Покращення транспортної, логістичної та інформаційної доступності. Проведення досліджень та аналітики, захист прав суб’єктів туристичного ринку, гарантування сприятливої галузевої політики та регуляторного середовища.</t>
  </si>
  <si>
    <t>м. Івано-Франківськ, вул. Дністровська, 26, офіс 12</t>
  </si>
  <si>
    <t>ГО "Спілка пасічників Прикарпаття"</t>
  </si>
  <si>
    <t>Підтримка місцевих бджолярів, прозора співпраця між аграріями, органами місцевого самоврядування та пасічниками з метою плідної співпраці та уникнення негативних наслідків діяльності (потрави бджіл, непоінформованість тощо), підвищення професійних навичок, конкурентоспроможності та поінформованості рядового пасічника.</t>
  </si>
  <si>
    <t>м. Івано-Франківськ, вул. Грушевського, 21</t>
  </si>
  <si>
    <t>ГО "Агенція місцевого економічного розвитку Прикарпаття"</t>
  </si>
  <si>
    <t>Реалізація проєктів Програми соціального партнерства у місті Бурштин та Галицькому районі. Реалізація інформаційних, навчальних, промоційних заходів для підвищення конкурентоспроможності бізнесу та інвестиційної привабливості регіону.</t>
  </si>
  <si>
    <t>м. Бурштин, вул. Стрільців, 20</t>
  </si>
  <si>
    <t>ТОВ "Калуський Бізнес-центр"</t>
  </si>
  <si>
    <t>Надання бізнес-консультацій, проведення семінарів, тренінгів для підприємців малого та середнього бізнесу, для початківців. Надання оренди офісної техніки. Проводення комп'ютерних курсів, курсів іноземних мов, бухгалтерських курсів, курсів для офіс-менеджерів, курсів із започаткування власної справи для школярів-старшокласників.</t>
  </si>
  <si>
    <t>м. Калуш, вул. Грушевського, 25</t>
  </si>
  <si>
    <t>ГО "Центр сприяння економічному розвитку Калущини"</t>
  </si>
  <si>
    <t>Організація та проведення семінарів, конференцій. Моніторинг економічного потенціалу району, забезпечення обміну досвідом та співпраця з іншими регіонами та країнами. Розробка проэктів та програм регіонального економічного та соціального розвитку, сприяння їх впровадженню. Сприяння освітній підготовці спеціалістів економічного розвитку.</t>
  </si>
  <si>
    <t>Рада підприємців при Калуській РДА</t>
  </si>
  <si>
    <t>Захист прав та представництво інтересів підприємців.</t>
  </si>
  <si>
    <t>м. Калуш, вул. Шевченка, 6</t>
  </si>
  <si>
    <t>Старий Мізунь</t>
  </si>
  <si>
    <t>ГО "Кластер сільського туризму "Бойківський колорит"</t>
  </si>
  <si>
    <t>Долинський район, с. Старий Мізунь, вул. Підсигавка, 11</t>
  </si>
  <si>
    <t>Рада підприємців при Рогатинській РДА</t>
  </si>
  <si>
    <t>Рогатинський район, м. Рогатин, вул. Галицька, 65</t>
  </si>
  <si>
    <t>Рада роботодавців при Рогатинській районній філії Івано-Франківського обласного центру зайнятості</t>
  </si>
  <si>
    <t>Системний аналіз ринку праці та підготовка пропозицій щодо його державного регулювання. Прогнозування потреб ринку праці у фахівцях в розрізі професій і спеціальностей.</t>
  </si>
  <si>
    <t>Рогатинський район, м. Рогатин, вул. Галицька, 46</t>
  </si>
  <si>
    <t>ГО "Асоціація деревообробників та лісозаготівельників Верховинського району"</t>
  </si>
  <si>
    <t>Верховинський район, смт Верховина, вул. Жаб'євська, 57-а</t>
  </si>
  <si>
    <t>ГО "Центр муніципального та регіонального розвитку - Ресурсний центр"</t>
  </si>
  <si>
    <t>Написання проєктів, підтримка новостворених підприємств.</t>
  </si>
  <si>
    <t>м. Івано-Франківськ, вул. Дністровська, 26</t>
  </si>
  <si>
    <t>Центр розвитку підприємництва "Бізнес-інкубатор" Інституту економіки й менеджменту Івано-Франківського національного технічного університету нафти і газу</t>
  </si>
  <si>
    <t>Центр розвитку підприємництва "Бізнес-Інкубатор" ІЕМ ІФНТУНГ – новітня структурна одиниця на базі закладу вищої освіти, яка, з одного боку, сприяє розвитку підприємництва на теренах Івано-Франківщини, а з іншої сторони – допомагає студентам економічного та управлінського напрямів підготовки розвивати навики організації та ведення власної справи.</t>
  </si>
  <si>
    <t>м. Івано-Франківськ, вул. Північний бульвар, 7б</t>
  </si>
  <si>
    <t>ТОВ "Науковий парк "Прикарпатський університет"</t>
  </si>
  <si>
    <t>Науковий парк займається коммерціалізацією перспективних інноваційних проєктів вчених ПНУ ім. В.Стефаника, допомагає у пошуку вітчизняних та іноземних партнерів для впровадження на ринок розробок місцевих науковців.</t>
  </si>
  <si>
    <t>м. Івано-Франківськ, вул. Чорновола, 88</t>
  </si>
  <si>
    <t>БО "Благодійний фонд "Тепле місто"</t>
  </si>
  <si>
    <t>Головна мета - бути інноваційною платформою для створення можливостей і суспільних трансформацій. Спонукати прикладом Івано-Франківська зміни в Україні та поза її межами.</t>
  </si>
  <si>
    <t>м. Івано-Франківськ, вул. Академіка Сахарова, 23 ("Промприлад", 3 поверх)</t>
  </si>
  <si>
    <t>Агенція регіонального розвитку Івано-Франківської областІ</t>
  </si>
  <si>
    <t>Регулювання та сприяння ефективному веденню економічної діяльності.</t>
  </si>
  <si>
    <t>м. Івано-Франківськ, вул. Теодора Цьоклера, 9А</t>
  </si>
  <si>
    <t>Рада підприємців при голові Рожнівської ОТГ</t>
  </si>
  <si>
    <t>Консультування з питань комерційної діяльності й керування.</t>
  </si>
  <si>
    <t>Косівський район, с. Рожнів, вул. Героїв Небесної Сотні, 26</t>
  </si>
  <si>
    <t>ГО "Фонд підтримки підприємництва Надвірнянщини"</t>
  </si>
  <si>
    <t>Підтримка сільських, селищних рад у питаннях написання проєктів розвитку органів місцевого самоврядування. Фонд має налагоджені контакти з Європеськими фондами в рамках проєктів МТД.</t>
  </si>
  <si>
    <t>м. Надвірна, майдан Шевченка, 33</t>
  </si>
  <si>
    <t>ГО "Волинська обласна Асоціація захисту прав малого та середнього бізнесу "Бізнес- Волинь"</t>
  </si>
  <si>
    <t>Захист прав дрібних підприємців та поліпшення клімату для ведення підприємницької діяльності. Здійснення моніторингу положень чинного законодавства у сфері підприємництва. Участь у заходах щодо обговорення пропозицій по розробці нормативно правових актів, що регулюють питання ведення бізнесу на місцевому та загальнодержавному рівнях. Здійснення роботи щодо підвищення рівня знань дрібних підприємців у галузі правового регулювання ведення господарської діяльності.</t>
  </si>
  <si>
    <t>м. Луцьк, вул. Кафедральна, 27, оф. 7</t>
  </si>
  <si>
    <t>ГО "Волинська обласна організація приватних роботодавців торгівлі і комерційної сфери"</t>
  </si>
  <si>
    <t>Організація заснована у 2010 році. Основний склад членів організації складають суб'єкти мікропідприємцництва, що здійснюють діяльність на ринках та у торговельних закладах. Організація має власну активну сторінку у соціальній мережі Facebook, є організатором та учасником громадських акцій та заходів, що проводяться на державному рівні та органами місцевого самоврядування.</t>
  </si>
  <si>
    <t>м. Луцьк, проспект Молоді, 13, кв. 35</t>
  </si>
  <si>
    <t>Луцький міський центр зайнятості</t>
  </si>
  <si>
    <t>Центр розвитку підприємництва відкрито 21 липня 2017 року при Луцькому міському центрі зайнятості. Робота Центру спрямована на широке коло клієнтів: людей, які планують започаткувати власну справу, підприємців-початківців та представників малого і середнього бізнесу. Для кожної цільової аудиторії Центр пропонує певний спектр послуг – від прийняття рішення «хочу бути підприємцем» та народження бізнес-ідей до втілення їх у життя.&lt;br /&gt;</t>
  </si>
  <si>
    <t>м. Луцьк, вул. Ярощука, 2</t>
  </si>
  <si>
    <t>Координаційна рада з питань розвитку малого та середнього підприємництва</t>
  </si>
  <si>
    <t>Координаційна рада створена як дорадчий орган міскої ради з метою розгляду та вирішення проблемних питань підприємництва у місті, підготовки пропозицій до законодавчих актів у галузі підприємництва, ознайомлення суб'єктів бізнесу зі змінами та нововведеннями у чинному законодавстві законодавстві у галузі підприємництва.</t>
  </si>
  <si>
    <t>м. Луцьк, вул. Б.Хмельницького, 19</t>
  </si>
  <si>
    <t>Агенція регіонального розвитку Закарпатської області</t>
  </si>
  <si>
    <t>АРР Закарпатської області – організація яка:&lt;br /&gt;
- утворює та розвиває платформу для управлінської взаємодії лідерів регіону та мережі партнерів;&lt;br /&gt;
- запускає масштабні проєкти, що співпадають зі стратегією регіону;&lt;br /&gt;
- створює відкриту платформу з акцентом на малий та середній бізнес поза інтересами політичних проєктів та поза клановістю.&lt;br /&gt;</t>
  </si>
  <si>
    <t>м. Ужгород, вул. Богомольця, 21</t>
  </si>
  <si>
    <t>КП "Агентство регіонального розвитку та транскордонного співробітництва "Закарпаття" Закарпатської обласної ради</t>
  </si>
  <si>
    <t>Неприбуткова організація, метою якої є забезпечення сталого та збалансованого розвитку Закарпатської області, як важливої та невід'ємної складової Карпатського регіону. Активний учасник у процесах розвитку краю. Є налагоджена співпраця як з органами місцевої влади, так і неурядовими, громадськими організаціями, іноземними партнерами, спілками, асоціаціями, освітніми установами, всіма іншими зацікавленими в реалізації спільних проєктів, націлених на покращення рівня життя та добробуту громадян.</t>
  </si>
  <si>
    <t>м. Ужгород, площа Шандора Петефі, 47</t>
  </si>
  <si>
    <t>Об'єднання промисловців і підприємців Харківської області - регіональне відділення ВГО "Український союз промисловців і підприємців"</t>
  </si>
  <si>
    <t>Створення координованої системи корпоративної безпеки, а також дієвої коаліції малого та середнього бізнесу в Харківській області.</t>
  </si>
  <si>
    <t>м. Харків, пров. Поштовий, 2</t>
  </si>
  <si>
    <t>ГО "Сучасна жінка"</t>
  </si>
  <si>
    <t>Захист інтересів та прав жінок, досягнення гендерної рівності, розбудова жіночого руху.</t>
  </si>
  <si>
    <t>м. Харків, пр. Ювілейний, 40 А, к. 201</t>
  </si>
  <si>
    <t>ГО "Спілка підприємців Харківської області"</t>
  </si>
  <si>
    <t>Розробка стратегій розвитку міста та області. Організація конкурсів стартапів, бізнес-шкіл, практик для магістрів вищих навчальних закладів Харкова на підприємствах членів Спілки підприємців Харківської області.</t>
  </si>
  <si>
    <t>м. Харків, майдан Героїв Небесної Сотні, 9</t>
  </si>
  <si>
    <t>ГО "Об'єднання підприємців торгівлі та громадського харчування Харківської області "Торгова єдність"</t>
  </si>
  <si>
    <t>Платформа для обговорення актуальних питань галузі, обміну досвідом, оперативного реагування на проблемні питання, забезпечення ефективних комунікацій між учасниками, просування інтересів малого та середнього бізнесу у галузі торгівлі, громадського харчування та послуг.</t>
  </si>
  <si>
    <t>м. Харків, площа Конституції, 1</t>
  </si>
  <si>
    <t>Громадська спілка "Харківський кластер інформаційних технологій"</t>
  </si>
  <si>
    <t>Місія організації - розвивати сприятливе середовище для IT-бізнесу в регіоні.</t>
  </si>
  <si>
    <t>м. Харків, вул. Громадянська, 11/13</t>
  </si>
  <si>
    <t>Громадська спілка "Харківська агенція місцевого економічного розвитку"</t>
  </si>
  <si>
    <t>Проведення тренінгів, консультацій, захист бізнесу.</t>
  </si>
  <si>
    <t>м. Харків, вул. Плеханівська, 16, кімната 2</t>
  </si>
  <si>
    <t>"Український національний комітет Міжнародної Торгової Палати" (Харківське регіональне представництво)</t>
  </si>
  <si>
    <t>Сприяння розвитку міжнародної торгівлі та інвестицій із впровадженням кращих світових практик.</t>
  </si>
  <si>
    <t>м. Харків, вул. Клочківська, 192-А</t>
  </si>
  <si>
    <t>Харківська обласна організація роботодавців "Граніт"</t>
  </si>
  <si>
    <t>Представництво інтересів організацій роботодавців, їх об’єднань та роботодавців на місцевому, галузевому та національному рівнях, координація та консолідація дій членів Об’єднання для досягнення позитивних результатів діяльності та посилення впливу на процес формування виконавчою владою соціально-економічної політики, вдосконалення соцільно-трудових відносин та розвитку соціального партнерства.</t>
  </si>
  <si>
    <t>м. Харків, вул. Коцарська, 2/4</t>
  </si>
  <si>
    <t>ГО "Технологічний бізнес-інкубатор "Харківські технології"</t>
  </si>
  <si>
    <t>Сприяння інноваційному бізнесу: просування проєктів, навчання, консультування, пошук партнерів та інвесторів, проведення конференцій, семінарів.</t>
  </si>
  <si>
    <t>м. Харків, проспект Науки, 60</t>
  </si>
  <si>
    <t>ГО "Харківська обласна організація роботодавців у сфері агропромислового комплексу"</t>
  </si>
  <si>
    <t>Представництво та захист прав і інтересів роботодавців агропромислового комплексу.</t>
  </si>
  <si>
    <t>м. Харків, вул. Ромена Роллана, 12, к. 414</t>
  </si>
  <si>
    <t>Харківська торгово-промислова палата</t>
  </si>
  <si>
    <t>Розвиток промисловості і розширення міжнародного співробітництва.</t>
  </si>
  <si>
    <t>м. Харків, Московський проспект, 122 Б</t>
  </si>
  <si>
    <t>ГО "Спілка пасічників Харківської області"</t>
  </si>
  <si>
    <t>Захист інтересів бджолярів, популяризація галузі бджільництва.</t>
  </si>
  <si>
    <t>м. Харків, Держпром, під'їзд 7, поверх 5, офіс 62</t>
  </si>
  <si>
    <t>Харківська обласна асоціація птахівничої промисловості "Харківптахопром"</t>
  </si>
  <si>
    <t>Представництво і захист інтересів своїх членів на регіональному і місцевому рівнях.</t>
  </si>
  <si>
    <t>м. Харків, вул. Ролана, 12</t>
  </si>
  <si>
    <t>ГО "Асоціація фермерів та приватних землевласників Харківської області"</t>
  </si>
  <si>
    <t>Захист інтересів фермерів та приватних землевласників.</t>
  </si>
  <si>
    <t>смт Печеніги, вул. Михайла Кулика, 1В</t>
  </si>
  <si>
    <t>Агенція регіонального розвитку Житомирської області</t>
  </si>
  <si>
    <t>Залучення інвестицій у регіон. Підвищення інвестиційної привабливості області, допомога потенційним інвесторам знайти цікаві пропозиції, що сприятиме покращенню економіко-соціальної ситуації, створенню робочих місць та покращенню умов життя громадян. Агенція надає комплекс послуг з інформування, консультування, менеджменту, маркетингу, технічного та юридичного супроводу проєктів. Компетенції співробітників дозволяють розробляти стратегічні плани та проєкти.</t>
  </si>
  <si>
    <t>м. Житомир, вул. майдан Корольова 1, оф. 401</t>
  </si>
  <si>
    <t>Житомирське регіональне відділення Українського союзу промисловців і підприємців</t>
  </si>
  <si>
    <t>Всеукраїнська громадська спілка “Український союз промисловців і підприємців” - є всеукраїнським неприбутковим громадським об’єднанням, до якого входять суб'єкти економічної діяльності усіх форм і видів – від великих корпорацій до підприємств малого та середнього бізнесу, а також їх спілки та організації.</t>
  </si>
  <si>
    <t>м. Житомир, вул. Мала Бердичівська, 16</t>
  </si>
  <si>
    <t>ГО "Житомирський обласний студентський інноваційний бізнес- інкубатор"</t>
  </si>
  <si>
    <t>м. Житомир, пров. 1-й Київський, 25, кв. 5</t>
  </si>
  <si>
    <t>Об’єднання організацій роботодавців "Асоціація роботодавців Житомирської області"</t>
  </si>
  <si>
    <t>Діяльність організацій промисловців і підприємців.</t>
  </si>
  <si>
    <t>м. Житомир, вул. Кафедральна, 4а</t>
  </si>
  <si>
    <t>Житомирське відділення Українського державного фонду підтримки фермерських господарств</t>
  </si>
  <si>
    <t>Основним завданням Житомирського відділення Укрдержфонду є реалізація державної політики щодо фінансової підтримки становлення і розвитку фермерських господарств в установленому законодавством порядку.</t>
  </si>
  <si>
    <t>м. Житомир, майдан Корольова, 3/14, кім. 102</t>
  </si>
  <si>
    <t>ГО "Баранівська районна торгово-виробнича рада підприємців"</t>
  </si>
  <si>
    <t>м. Баранівка, вул. Соборна, 12</t>
  </si>
  <si>
    <t>ГО "Баранівська районна організація роботодавців"</t>
  </si>
  <si>
    <t>м. Баранівка, вул. Собрна, 12</t>
  </si>
  <si>
    <t>Брусилів</t>
  </si>
  <si>
    <t>ГО "Асоціація фермерів та приватних землевласників Житомирської області"</t>
  </si>
  <si>
    <t>Розвиток сільського господарства у районі.</t>
  </si>
  <si>
    <t>смт Брусилів, вул. Лесі Українки, 4</t>
  </si>
  <si>
    <t>Новогуйвинське</t>
  </si>
  <si>
    <t>Організація роботодавців "Житомирська обласна галузева організація роботодавців металообробки та машинобудування"</t>
  </si>
  <si>
    <t>Проєкти організації реалізуються через Федерацію роботодавців України.</t>
  </si>
  <si>
    <t>смт Новогуйвинське, вул. Дружби народів, 1</t>
  </si>
  <si>
    <t>Лугини</t>
  </si>
  <si>
    <t>Громадська спілка "Об'єднання промисловців і підприємців регіонального розвитку"</t>
  </si>
  <si>
    <t>смт Лугини, вул. Рози Люксембург, 6, офіс 1</t>
  </si>
  <si>
    <t>Овруч</t>
  </si>
  <si>
    <t>ГО "Овруцька районна спілка підприємців"</t>
  </si>
  <si>
    <t>м. Овруч, вул. Виговського, 44</t>
  </si>
  <si>
    <t>Пулини</t>
  </si>
  <si>
    <t>Асоціація фермерів Червоноармійського району</t>
  </si>
  <si>
    <t>смт Пулини, вул. Шевченка, 104</t>
  </si>
  <si>
    <t>КП "Центр інвестицій" Житомирської міської ради</t>
  </si>
  <si>
    <t>м. Житомир, вул. Велика Бердичівська, 16 (2 поверх)</t>
  </si>
  <si>
    <t>КП "Індустріальний парк "ЖИТОМИР-СХІД"</t>
  </si>
  <si>
    <t>Основною метою ІП є забезпечення економічного розвитку та підвищення конкурентноспроможності території міста, створення нових робочих місць, розвиток сучасної виробничої та ринкової інфраструктури міста.</t>
  </si>
  <si>
    <t>ГО "Малинський громадський актив"</t>
  </si>
  <si>
    <t>м. Малин, вул. Грушевського, 1Б, офіс 206</t>
  </si>
  <si>
    <t>Ємільчине</t>
  </si>
  <si>
    <t>ГО "Спілка пасічників Ємільчинщини"</t>
  </si>
  <si>
    <t>смт Ємільчине, вул. Шевченка, 159</t>
  </si>
  <si>
    <t>ГО "Українська асоціація молодих фермерів України"</t>
  </si>
  <si>
    <t>Українська асоціація молодих фермерів реалізує програми практичної підготовки студентів та молодих специалістів у Норвегії, Фінляндії, Німеччині, Данії, Ісландії, Швейцарії, США та Швеції.</t>
  </si>
  <si>
    <t>м. Житомир, вул. Басейна, 2А, поверх 2, офіс 1</t>
  </si>
  <si>
    <t>ГО "Асоціація фермерів та приватних землевласників Брусилівського району Житомирської області"</t>
  </si>
  <si>
    <t>Основна мета - популяризація фермерського руху у Брусилівському районі.</t>
  </si>
  <si>
    <t>ГО "Асоціація фермерів та приватних землевласників України в Житомирській області"</t>
  </si>
  <si>
    <t>Основна мета - популяризація фермерського руху на Житомирщині.</t>
  </si>
  <si>
    <t>м. Житомир, вул. Велика Бердичівська, 16, офіс 6</t>
  </si>
  <si>
    <t>Громадська спілка "Асоціація фермерів та приватних землевласників Житомирської області"</t>
  </si>
  <si>
    <t>м. Житомир, вул. Хлібна, 26, кв. 74</t>
  </si>
  <si>
    <t>ГО "Бджологради Житомирщини"</t>
  </si>
  <si>
    <t>Провведення нарад та ярмарок з метою популяризації вживання продукції бджільництва.</t>
  </si>
  <si>
    <t>м. Житомир, проспект Миру, 1, кімн. 291</t>
  </si>
  <si>
    <t>Радомишль</t>
  </si>
  <si>
    <t>ГО "Бджоляри Радомишля"</t>
  </si>
  <si>
    <t>м. Радомишль, Глухів-2</t>
  </si>
  <si>
    <t>Новаки</t>
  </si>
  <si>
    <t>ГО "Спілка пасічників Коростенщини "Медове Полісся"</t>
  </si>
  <si>
    <t>Популяризація ведення галузі бджільництва в природних умовах.</t>
  </si>
  <si>
    <t>Коростенський район, с. Новаки, вул. Шляхова, 33</t>
  </si>
  <si>
    <t>Громадська галузева організація «Асоціація роботодавців транспорту Житомирської області»</t>
  </si>
  <si>
    <t>Участь в організації семінарів, конференцій, консультацій, пов’язаних зі статутною діяльністю із залученням представників громадськості, органів державної влади, експертів з різних галузей.</t>
  </si>
  <si>
    <t>м. Житомир, вул. Лятошинського, 11</t>
  </si>
  <si>
    <t>ГО "Бердичівська регіональна асоціація приватних підприємців"</t>
  </si>
  <si>
    <t>Захист прав та надання бухгалтерських послуг.</t>
  </si>
  <si>
    <t>м. Бердичів, вул. Житомирська, 13</t>
  </si>
  <si>
    <t>ГО "Бердичівська асоціація приватних перевізників"</t>
  </si>
  <si>
    <t>Захист та підтримка членів асоціації.</t>
  </si>
  <si>
    <t>м. Бердичів, вул. Ново-Іванівська, 23, кв. 125</t>
  </si>
  <si>
    <t>ГО "Спілка підприємців Бердичівщини"</t>
  </si>
  <si>
    <t>м. Бердичів, вул. Житомирська, 78-Б</t>
  </si>
  <si>
    <t>ГО "Бердичівська міська асоціація приватних автобусних перевізників"</t>
  </si>
  <si>
    <t>м. Бердичів, вул. Вишнева, 14</t>
  </si>
  <si>
    <t>ГО "Координаційна бізнес-рада"</t>
  </si>
  <si>
    <t>Інформаційна підтримка, комунікація, захист прав членів організації.</t>
  </si>
  <si>
    <t>м. Бердичів, провулок Романівський, 14</t>
  </si>
  <si>
    <t>ГО "Вінницький бізнес клуб"</t>
  </si>
  <si>
    <t>Головна мета організації - об'єднання зусиль бізнесу та влади для розвитку економіки Вінниччини.</t>
  </si>
  <si>
    <t>м. Вінниця, вул. Сергія Зулінського, 46</t>
  </si>
  <si>
    <t>Рада підприємців при Вінницькому міському голові</t>
  </si>
  <si>
    <t>Рада підприємців при Вінницькому міському голові є консультативно-дорадчим органом, який створено з метою здійснення координаційних заходів, пов’язаних із проведенням консультацій із підприємцями з питань формування та реалізації державної політики у сфері підприємницької діяльності та вирішення проблемних питань міста.</t>
  </si>
  <si>
    <t>м. Вінниця, вул.Соборна, 59</t>
  </si>
  <si>
    <t>Вінницький індустріальний парк</t>
  </si>
  <si>
    <t>м. Вінниця, вул. Немирівське шосе, 213</t>
  </si>
  <si>
    <t>Індустріальний парк "Вінницький кластер холодильного машинобудування"</t>
  </si>
  <si>
    <t>Індустріальний парк "ВІНТЕР СПОРТ"</t>
  </si>
  <si>
    <t>Березнівська районна громадська організація спілка підприємців Березнівщини</t>
  </si>
  <si>
    <t>м. Березне, вул. Андріївська, 20</t>
  </si>
  <si>
    <t>ГО "Кузнецовська асоціація захисту прав підприємців"</t>
  </si>
  <si>
    <t>Організація забезпечує сприяння розвитку МСП та захист їх інтересів.</t>
  </si>
  <si>
    <t>м. Вараш, мкрн. Перемоги, 10, кв.12</t>
  </si>
  <si>
    <t>ГО "Перспектива підприємництва"</t>
  </si>
  <si>
    <t>Центр молодіжного підприємництва створений завдяки гранту з обласного бюджету, дозволить налагодити профорієнтаційну роботу серед молоді, надавати базу для організації різноманітних тренінгів і семінарів. У центрі можна опанувати навички пекаря.</t>
  </si>
  <si>
    <t>смт Демидівка, вул. Богдана Хмельницького, 10</t>
  </si>
  <si>
    <t>Центр розвитку підприємництва при Дубенській міськрайонній філії Рівненського обласного центру зайнятості</t>
  </si>
  <si>
    <t>Основним напрямком діяльності є підтримка розвитку малого та середнього бізнесу, стимулювання підприємницької ініціативи безробітних, тимчасово економічно неактивних та зайнятих громадян.</t>
  </si>
  <si>
    <t>м. Дубно, вул. Галицького, 26</t>
  </si>
  <si>
    <t>Млинів</t>
  </si>
  <si>
    <t>Організація роботодавців Млинівського району Рівненської області</t>
  </si>
  <si>
    <t>смт Млинів, вул. Поліщука, 61</t>
  </si>
  <si>
    <t>ГО "Організація підприємців Острожчини"</t>
  </si>
  <si>
    <t>Організація представляє інтереси підприємців Острозького району та міста Острог. Здійснює консультаційні наради, зустрічі з підприємцями. Члени організації беруть активу участь у громадському житті міста.</t>
  </si>
  <si>
    <t>м. Острог, проспект Незалежності 5, офіс 216</t>
  </si>
  <si>
    <t>Центр розвитку підприємництва при Сарненському районному центрі зайнятості</t>
  </si>
  <si>
    <t>Формування зручного інформаційного простору для клієнтів Центру розвитку підприємництва, розбудова системи консалтингових послуг у сфері бізнес-планування, ведення та розвитку власної справи.</t>
  </si>
  <si>
    <t>м. Сарни, вул. Демократична, 29</t>
  </si>
  <si>
    <t>ГО "Платформа взаємодій "Простір"</t>
  </si>
  <si>
    <t>Громадська організація «Платформа взаємодій «Простір» - це ініціатива активних рівнян та платформа, яка об’єднує різних людей, їхні ідеї та ініціативи. Діяльність спрямована на реалізацію проєктів, впровадження змін у місті.</t>
  </si>
  <si>
    <t>м. Рівне, вул. Соборна, 11/162</t>
  </si>
  <si>
    <t>ГО "Рівненська федерація малого та середнього бізнесу "Єдність"</t>
  </si>
  <si>
    <t>Представництво інтересів членів на національному, галузевому та місцевому рівнях з метою розвитку національного підприємництва. Об’єднання та координація зусиль членів Федерації для задоволення та захисту економічних, соціальних, професіональних інтересів. Сприяння розповсюдженню правил добросовісної, чесної конкуренції. Захист прав та законних інтересів жінок у сфері МСП. Надання консультацій. Представництво, захист прав та інтересів представників МСП.</t>
  </si>
  <si>
    <t>м. Рівне, вул. Вишенського, 4А, офіс 505</t>
  </si>
  <si>
    <t>ГО "Агенція сталого розвитку міста"</t>
  </si>
  <si>
    <t>Створення сприятливих умов для сталого розвитку громад. Впровадження громадських ініціатив, соціальних інновацій. Розробка стратегій міст та ОТГ. Підготовка та супровід реалізації неінфраструктурних проєктів. Управління грантовими заявками, співпраця з національними та міжнародними фінансовими організаціями. Проведення освітніх тренінгів, стратегічного планування територій, стратегування бізнесу, регіональних інвестиційних форумів. Консалтинговий супровід органів місцевого самоврядування.</t>
  </si>
  <si>
    <t>м. Рівне, вул. Млинівська, 16</t>
  </si>
  <si>
    <t>Агенція регіонального розвитку Рівненської області</t>
  </si>
  <si>
    <t>Створена з метою ефективної реалізації державної регіональної політики, соціально-економічного розвитку, залучення інвестиційних та кредитних ресурсів, міжнародної технічної допомоги для регіонального розвитку, веде діяльність зі створення умов для інституційного та інфраструктурного розвитку регіону в області.</t>
  </si>
  <si>
    <t>м. Рівне, вул. Фабрична, 12, офіс 304</t>
  </si>
  <si>
    <t>Агенція із залучення інвестицій та обслуговування інвесторів «ІнвестІнРівне»</t>
  </si>
  <si>
    <t>Агенція є «точкою контактів» для налагодження зв’язків інвесторів з органами влади, підприємствами, установами та організаціями Рівненщини. Займається вдосконаленням системи регіонального маркетингу та інформаційної підтримки активізації інвестиційної діяльності.</t>
  </si>
  <si>
    <t>ГО "Спілка промисловців і підприємців Костопільського району"</t>
  </si>
  <si>
    <t>м. Костопіль, вул. Проектова, 1-А</t>
  </si>
  <si>
    <t>Голопристанська міська ліга сприяння розвитку, підтримки та захисту прав та інтересів суб`єктів підприємництва</t>
  </si>
  <si>
    <t>Ліга здійснює захист прав та інтересів підприємців.</t>
  </si>
  <si>
    <t>м. Гола Пристань, провулок Мальовничий, 18</t>
  </si>
  <si>
    <t>Координаційна рада малого підприємництва при РДА</t>
  </si>
  <si>
    <t>м. Генічеськ, вул. Центральна, 5</t>
  </si>
  <si>
    <t>ГО "Cпілка роботодавців, товаровиробників та підприємців Бериславського району"</t>
  </si>
  <si>
    <t>Основний вид діяльності громадської організації - діяльність організацій промисловців та підприємців, а саме: надання послуг із консультаційної та юридичної підтримки, захисту прав та представництво інтересів підприємців, підтримка новостворених підприємств.</t>
  </si>
  <si>
    <t>м. Берислав, вул. Гоголя, 12, кв.7-8</t>
  </si>
  <si>
    <t>Рада підприємців при Каховській РДА</t>
  </si>
  <si>
    <t>Інформаційна підтримка, участь у конкурсних комісіях щодо підтримки бізнесу.</t>
  </si>
  <si>
    <t>м. Каховка, вул. Куліковська, 103</t>
  </si>
  <si>
    <t>Громадська асоціація фермерів та приватних землевласників</t>
  </si>
  <si>
    <t>Інформаційна підтримка.</t>
  </si>
  <si>
    <t>с. Кам'янка, вул. Степова, 48</t>
  </si>
  <si>
    <t>Херсонське представництво громадської спілки «Всеукраїнська Аграрна Рада»</t>
  </si>
  <si>
    <t>Представництво та захист інтересів членів спілки, підвищення рівня ведення сільського господарства країни до рівня розвитку аграрного комплексу провідних європейських країн.</t>
  </si>
  <si>
    <t>Чаплинський район, с. Долинське, вул. Миру, 4</t>
  </si>
  <si>
    <t>Таврійське</t>
  </si>
  <si>
    <t>ГО «Херсонська обласна спілка бджолярів»</t>
  </si>
  <si>
    <t>Захист прав та інтересів виробників меду та іншої продукції бджільництва.</t>
  </si>
  <si>
    <t>Голопристанський район, с. Таврійське, вул. Миру, 27-А</t>
  </si>
  <si>
    <t>Громадське об’єднання «Земля Таврії»</t>
  </si>
  <si>
    <t>Координує впровадження Українського проєкту бізнес-розвитку плодоовочівництва UHBDP на Херсонщині.</t>
  </si>
  <si>
    <t>м. Херсон, вул. Гошкевича, 45</t>
  </si>
  <si>
    <t>ГО «Рада жінок-фермерів Херсонської області»</t>
  </si>
  <si>
    <t>Навчання, допомога в розробці проєктів грантової підтримки через проекти МТД для розбудови кооперативної та виробничої діяльності.</t>
  </si>
  <si>
    <t>м. Херсон, вул. Кримська, 63</t>
  </si>
  <si>
    <t>ГО "Асоціація роздрібної торгівлі Херсонської області"</t>
  </si>
  <si>
    <t>Захист законних прав та інтересів представників роздрібної торгівлі.</t>
  </si>
  <si>
    <t>м. Херсон, вул. Пилипа Орлика, 30</t>
  </si>
  <si>
    <t>Асоціація фермерів та приватних землевласників Херсонської області</t>
  </si>
  <si>
    <t>Сприяння розвитку масового фермерського руху в Україні та консолідація зусиль своїх фіксованих членів.</t>
  </si>
  <si>
    <t>м. Херсон, вул. Полякова, 2, офіс 4/7</t>
  </si>
  <si>
    <t>Громадська спілка "Підприємці Херсона"</t>
  </si>
  <si>
    <t>Інформаційна та комунікаційна підтримка підприємців.</t>
  </si>
  <si>
    <t>м. Херсон, вул. Грецька, 31</t>
  </si>
  <si>
    <t>Херсонська регіональна рада інвесторів та з питань захисту бізнесу при Херсонській ОДА</t>
  </si>
  <si>
    <t>Налагодження системної діяльності суб’єктів інвестиційного процесу щодо залучення й ефективного використання інвестицій. Розгляд звернень суб’єктів господарювання щодо перешкоджання їх роботі, порушень їх прав і законних інтересів державними органами, органами місцевого самоврядування, їх посадовими особами. Сприяння ефективній взаємодії органів виконавчої влади та суб’єктів господарської діяльності у сфері інвестиційної діяльності. Надання аналітичної, інформаційної та консультативної допомоги.</t>
  </si>
  <si>
    <t>м. Херсон, площа Свободи, 1</t>
  </si>
  <si>
    <t>Херсонська торгово-промислова палата</t>
  </si>
  <si>
    <t>На добровільних засадах об'єднує компанії, підприємства, установи, що зацікавлені в налагодженні виробничих і торгівельних зв'язків на внутрішньому й зовнішньому ринках. Надає всебічну підтримку підприємцям, які прагнуть встановлювати взаємовигідні економічні зв'язки з зарубіжжям, освоювати нові форми співробітництва та розширювати межі здійснення діяльності. Консультує, забезпечує підприємців діловою інформацією, надає практичну допомогу в здійсненні торгівельно-економічних операцій.</t>
  </si>
  <si>
    <t>м. Херсон, вул. Гагаріна, 34 А</t>
  </si>
  <si>
    <t>Херсонське регіональне відділення Українського союзу промисловців і підприємців</t>
  </si>
  <si>
    <t>Громадське об'єднання представників великого, середнього та малого бізнесу області. Здійснює системний захист та підтримку промисловців і підприємців. Вивчає потреби промислової спільноти, галузевих інтересів, проблем малого та середнього бізнесу, самозайнятих осіб. Надає юридичну підтримку підприємців – консультації, заяви на користь суб’єктів господарювання. Розробляє фахові прогнози розвитку економічної і фінансової сфери, розрахунки наслідків впровадження законів, регуляторних актів.</t>
  </si>
  <si>
    <t>м. Херсон, проспект Ушакова, 47, офіс 120</t>
  </si>
  <si>
    <t>Об'єднання організацій роботодавців Херсонщини</t>
  </si>
  <si>
    <t>Об'єднання організацій роботодавців Херсонщини об'єднує та представляє інтереси двох організацій роботодавців, до яких входять 13 підприємств Херсонської області. На підприємствах, які входять до членських організацій Об'єднання організацій роботодавців Херсонщини, працює близько двох тисяч робітників.</t>
  </si>
  <si>
    <t>м. Херсон, вул. Тираспільська, 1</t>
  </si>
  <si>
    <t>Управління "Офіс обслуговування інвесторів" Херсонської ОДА</t>
  </si>
  <si>
    <t>Реалізація державної політики у сфері інвестиційної діяльності та державно-приватного партнерства на території області. Надання консультативної та технічної підтримки суб’єктам господарської діяльності – потенційним інвесторам, які планують здійснювати інвестиційну діяльність на території області. Здійснює процедуру державної реєстрації договорів про спільну інвестиційну діяльність за участю іноземного інвестора. Супроводжує впрвадження інвестиційних проєктів до їх повної реалізації.</t>
  </si>
  <si>
    <t>КП «Агенція регіонального розвитку» Новокаховської міської ради</t>
  </si>
  <si>
    <t>Комунальне підприємство займається діяльністю з організації ярмарок, виставок, конгресів. Проводить роботу з розробки напрямків розвитку міста і конкретних проєктів для їх реалізації. Здійснює консультування, надає рекомендації та практичну допомогу суб’єктам господарювання.</t>
  </si>
  <si>
    <t>Херсонський міський фонд підтримки підприємництва</t>
  </si>
  <si>
    <t>Фонд проводить річний цикл навчань для підприємців-початківців в межах Херсонської міської програми розвитку малого та середнього підприємництва: "Як створити власну справу", "Моделювання підприємництва", Ділові ігри для початківців-підприємців. Бере участь у підготовці міських програм підтримки підприємництва.</t>
  </si>
  <si>
    <t>м. Херсон, проспект Ушакова, 37</t>
  </si>
  <si>
    <t>Білозерка</t>
  </si>
  <si>
    <t>Районна рада підприємців при РДА</t>
  </si>
  <si>
    <t>смт Білозерка, вул. Свободи, 87</t>
  </si>
  <si>
    <t>ГО "Млинівська районна асоціація підприємців"</t>
  </si>
  <si>
    <t>смт Млинів, вул. Лесі Українки, 19, кв. 4</t>
  </si>
  <si>
    <t>Центр підтримки підприємців Дія.Бізнес</t>
  </si>
  <si>
    <t>Для майбутніх підприємців — тих, хто шукає або має ідею власної справи та хоче започаткувати власний бізнес&lt;br /&gt;
Для діючих підприємців мікро, малого та середнього бізнесу, що перебувають на певному етапі розвитку своєї діяльності і потребують фахової консультації&lt;br /&gt;
Для студентів, які мріють про старт власної справи&lt;br /&gt;
Для батьків, які хочуть навчити дітей підприємництва</t>
  </si>
  <si>
    <t>м. Харків, вул. Сумська, 65</t>
  </si>
  <si>
    <t>ГО "БізнесЛаб"</t>
  </si>
  <si>
    <t>Бізнес-лабораторія - інкубатор для малого та середнього бізнесу. Навчальні програми для підприємців.</t>
  </si>
  <si>
    <t>м. Бахмут, вул. Миру, 28</t>
  </si>
  <si>
    <t>ЛКП «Центр підтримки підприємництва Львівської міської ради»</t>
  </si>
  <si>
    <t>Центр підтримки підприємництва Львівської міської ради створено з метою стимулювання підприємницької активності в місті, збільшення конкурентоспроможності малих та середніх підприємств Львова шляхом проведення тематичних навчань та консультацій.</t>
  </si>
  <si>
    <t>м. Львів, Площа Ринок 1, к. 103</t>
  </si>
  <si>
    <t>Бізнес-інкубатор з розвитку бізнесу в Кременчуці</t>
  </si>
  <si>
    <t>Бізнес-інкубатор для розвитку бізнесу в Кременчуці – це нова за своїм форматом та інноваційна для Кременчука установа, яка буде опікуватися ростом, розвитком, масштабуванням мікро-, малого та середнього бізнесу з акцентом на жінок-засновниць</t>
  </si>
  <si>
    <t>Центр розвитку підприємництва</t>
  </si>
  <si>
    <t>Створена та підтримується онлайн-платформа з розміщеними експортними товарами та каталогами продукції.</t>
  </si>
  <si>
    <t>м. Вінниця, вул. Соборна, 24</t>
  </si>
  <si>
    <t>Агенція економічного розвитку PPV Knowledge Networks</t>
  </si>
  <si>
    <t>PPV Knowledge Networks – агенція економічного розвитку, яка розвиває бізнеси та міжсекторні зв’язки. Основні практики: креативна економіка, зелена економіка, розвиток МСП, місцевий економічний розвиток, бізнес-консалтинг, грантовий менеджмент.</t>
  </si>
  <si>
    <t>м. Львів, вул. Шота Руставелі, 12</t>
  </si>
  <si>
    <t>Центр інформаційної підтримки бізнесу у м. Львів</t>
  </si>
  <si>
    <t>Центр інформаційної підтримки бізнесу у м. Львів заснований на базі PPV Knowledge Networks та є платформою з доступом до широкого кола послуг підтримки бізнесу для підприємців – як початківців, так і для середніх та великих бізнесів.</t>
  </si>
  <si>
    <t>ГО "Кременецький центр підтримки бізнесу та розвитку громад"</t>
  </si>
  <si>
    <t>Практична допомога у втіленні бізнес-ідей та залученні коштів у розвиток бізнесу Кременеччини.</t>
  </si>
  <si>
    <t>м. Кременець, Мікрорайон 3, буд. 1</t>
  </si>
  <si>
    <t>КП ТМР "Агенція місцевого розвитку"</t>
  </si>
  <si>
    <t>Послуги агенції: розробка та супровід бізнес-проєктів, грантових заявок; пошук партнерів для бізнесу; проведення маркетингових досліджень; надання інформаційних послуг тощо. Підприємство наразі є керуючою компанією індустріального парку "Тростянець".</t>
  </si>
  <si>
    <t>вул. Миру, 6</t>
  </si>
  <si>
    <t>Tech StartUp School</t>
  </si>
  <si>
    <t>Інноваційний простір для продукування та реалізації креативних ідей та успішних startup-ів, менторство та допомога новаторам пройти шлях від ідеї до побудови бізнес-моделі, пошуку інвестицій та комерціалізація інноваційного проєкту.</t>
  </si>
  <si>
    <t>м. Львів, вул. Академіка Колесси, 2</t>
  </si>
  <si>
    <t>Tech LabInno</t>
  </si>
  <si>
    <t>Tech LabInno – відкрита технологічна лабораторія та центральне місце інновацій для навчання, обміну досвідом впровадження стартапів, створення прототипу та нових винаходів, що працює у форматі FabLab.</t>
  </si>
  <si>
    <t>Володимир-Волинський</t>
  </si>
  <si>
    <t>Володимир-Волинський фонд підтримки підприємництва "Бізнес-Центр"</t>
  </si>
  <si>
    <t>ФПП "Бізнес-Центр" утворений з метою сприяння розвитку і підтримки підприємництва, створення економічних і організаційно-правових умов для його становлення в Україні, реалізації заходів програм сприяння розвитку підприємництва в Україні.</t>
  </si>
  <si>
    <t>м.Володимир-Волинський, вул. Устилузька, 18.</t>
  </si>
  <si>
    <t>iHUB Lviv</t>
  </si>
  <si>
    <t>iHUB Lviv – центр підтримки підприємництва у Львові. Невід’ємною частиною діяльності є розвиток коворкінгу. iHUB не просто ком’юніті – це сім’я, де можна приєднатись до найталановитіших підприємців та стартапів або знайти собі партнерів та клієнтів.</t>
  </si>
  <si>
    <t>м. Львів, вул. Замкнена, 9</t>
  </si>
  <si>
    <t>Startup Depot</t>
  </si>
  <si>
    <t>Сворює місцеву екосистему стартапів і запуску ІТ-продуктів, зроблених в Україні.</t>
  </si>
  <si>
    <t>м. Львів, вул. Весняна, 4</t>
  </si>
  <si>
    <t>Асоціація "Кластер Буковинських Інноваційних Технологій ім. Й. Шумпетера" - "Cluster BIT"</t>
  </si>
  <si>
    <t>Впровадження у всі сфери життя регіону новітніх інформаційних технологій і програмного забезпечення, інтеграція у вітчизняний та світовий інформаційний простір, промоція регіону. Сприяння розвитку ІТ як пріоритетної галузі області.</t>
  </si>
  <si>
    <t>м. Чернівці, вул. Проспект, 129</t>
  </si>
  <si>
    <t>Business Hub</t>
  </si>
  <si>
    <t>Business Hub — простір у Львові з широким колом послуг підтримки підприємців. Серед послуг: оренда робочого місця в коворкінгу, офісів для команди, залів для подій, переговорних кімнат, бізнес-консалтинг, бухгалтерський супровід, оренда юридичної адреси.</t>
  </si>
  <si>
    <t>Науковий парк Херсонської державної морської академії "Інновації морської індустрії"</t>
  </si>
  <si>
    <t>Науковий парк керує потоком знань і технологій між академією, науково-дослідними установами, компаніями та ринками. Основновною функцією є: створення нових видів інноваційного продукту, здійснення заходів щодо їх комерціалізації.</t>
  </si>
  <si>
    <t>Федора Ушакова, 20.</t>
  </si>
  <si>
    <t>Кривий Ріг</t>
  </si>
  <si>
    <t>Індустріальний парк "Кривбас"</t>
  </si>
  <si>
    <t>Кадастровий номер з/д 1211000000:04:381:0056. Площа з/д - 26,03 га. Категорія цільового призначення: землі промисловості, транспорту, зв'язку, енергетики, оборони та ін. У межах території будівлі та споруди відсутні.</t>
  </si>
  <si>
    <t>м. Кривий Ріг, пл. Молодіжна, 1</t>
  </si>
  <si>
    <t>ГО "Органічний Простір"</t>
  </si>
  <si>
    <t>Напрямки діяльності: тренінги в сфері підприємництва, координація роботи туристичного маршруту ОТГ, організація міжнародних фестивалів, підтримка і популяризація народних ремесел регіону, написання та реалізація грантових екопроєктів та пошук інвесторів.</t>
  </si>
  <si>
    <t>м. Баранівка, вул. Зв'ягельська, 7</t>
  </si>
  <si>
    <t>Громадська організація "Центр ділових ініціатив - Володимир"</t>
  </si>
  <si>
    <t>Місія організації: об’єднати та реалізувати ініціативи партнерства громади, бізнесу, влади для розвитку міста.</t>
  </si>
  <si>
    <t>м. Володимир-Волинський, вул. Драгоманова, 18</t>
  </si>
  <si>
    <t>Ладижин</t>
  </si>
  <si>
    <t>Агенція місцевого економічного розвитку міста Ладижин</t>
  </si>
  <si>
    <t>Навчання (тренінги, семінари, курси), інформаційна та комунікаційна підтримка, фінансова підтримка, захист прав та представництво інтересів, підтримка та розвиток місцевого бізнесу, аналітична, консультаційна та юридична підтримка, маркетингові дослідження.</t>
  </si>
  <si>
    <t>Вінницька область, місто Ладижин, вул. Процишина, 10Г</t>
  </si>
  <si>
    <t>ГО "ТЕРИТОРІЯ НОВИХ ЗМІН"</t>
  </si>
  <si>
    <t>Організації важливо робити видимі зміни в громадах, тим самим збільшуючи їхню спроможність бути дієвими та сприяти різним ініціативам задля сталого економічного та соціального розвитку суспільства.</t>
  </si>
  <si>
    <t>смт Підволочиськ, вул. Данила Галицького, 106</t>
  </si>
  <si>
    <t>Великі Гаї</t>
  </si>
  <si>
    <t>Громадська організація "Молодіжний коворкінг-центр PavuTyna"</t>
  </si>
  <si>
    <t>ГО користується одним із приміщень даного будинку для ведення своєї діяльності.</t>
  </si>
  <si>
    <t>Тернопільська область, село Великі Гаї, вулиця Галицька 42-Д</t>
  </si>
  <si>
    <t>Індустріальний парк "Нововолинськ"</t>
  </si>
  <si>
    <t>Головна мета: покращення інвестиційного іміджу міста Нововолинськ</t>
  </si>
  <si>
    <t>формування механізмів ефективного задоволення попиту інвесторів</t>
  </si>
  <si>
    <t>Індустріальний парк "Олександрія"</t>
  </si>
  <si>
    <t>Загальна територія — 24,5 га. Можливості: підведення комунікацій, отримання преференцій та пільг, співпраця у рамках державно-приватного партнерства. Термін реалізації проекту — до лютого 2067 року.</t>
  </si>
  <si>
    <t>місто Олександрія, Куколівське шосе, 7</t>
  </si>
  <si>
    <t>Індустріальний парк "Тернопіль"</t>
  </si>
  <si>
    <t>Індустріальний парк «Тернопіль» включений під №33 до Реєстру індустріальних (промислових) парків України. Функціональне призначення індустріального парку: переробна промисловість та професійна наукова та технічна діяльність.</t>
  </si>
  <si>
    <t>м. Тернопіль, вул. Микулинецька</t>
  </si>
  <si>
    <t>Промисловий (індустріальний) парк «Тростянець»</t>
  </si>
  <si>
    <t>Промисловий парк «Тростянець» створено у 2014 році, ініціатор створення – Тростянецька міська рада, загальна площа - 39,95 га. Відповідно концепції на території промислового парку можуть бути створені підприємства харчової або ж легкої промисловості.</t>
  </si>
  <si>
    <t>місто Тростянець, вул. Набережна</t>
  </si>
  <si>
    <t>ГО "Асоціація підприємців"</t>
  </si>
  <si>
    <t>ГО "Асоціація підприємців міста Старокостянтинова" творена і діє з 23 березня 1998 року. Її ресурсами та підтримкою користується близько 300-350 ФОП та 50 юридичних осіб. Голова Асоціації підприємців допомагає як консультаціями, так і захистом у суді.</t>
  </si>
  <si>
    <t>м. Старокостянтинів, вул. Ессенська, 1/2</t>
  </si>
  <si>
    <t>Міський фонд підтримки підприємництва в місті Олександрії</t>
  </si>
  <si>
    <t>Головні напрямки фонду:&lt;br /&gt;
1. Забезпечення та оновлення інформації про інвестиційні проєкти, міжнародні, всеукраїнські та регіональні конкурси.&lt;br /&gt;
2. Виявлення потреб громади у послугах бізнесу.&lt;br /&gt;
3. Надання безвідсоткової фінансової допомоги на зворотній та безповоротній основі з місцевого бюджету через МФПП для реалізації бізнес-планів підприємців. &lt;br /&gt;
4. Відшкодування з місцевого бюджету відсоткових ставок за кредитами, залученими суб’єктами МСБ для реалізації інвестиційних проєктів.</t>
  </si>
  <si>
    <t>м. Олександрія, проспект Соборний, 59, кім. 124</t>
  </si>
  <si>
    <t>Регіональний фонд підтримки підприємництва в Кіровоградській області</t>
  </si>
  <si>
    <t>Фонд створено для підтримки та розвитку малого та середнього підприємництва в області. Головна мета Фонду - надання фінансової підтримки суб'єктам малого та середнього підприємництва за рахунок коштів обласного та місцевого бюджетів.</t>
  </si>
  <si>
    <t>м. Кропивницький, вул. Тараса Карпи, 84</t>
  </si>
  <si>
    <t>Регіональний фонд підтримки підприємництва в Олександрійському районі</t>
  </si>
  <si>
    <t>м. Олександрія, вул. Шевченка, 132</t>
  </si>
  <si>
    <t>Кіровоградське обласне відділення українського союзу промисловців та підприємців</t>
  </si>
  <si>
    <t>Головна мета - створити сім'ю підприємців, яка займає активну громадську позицію та допомогає кожному з членів підвищувати імідж свого підприємства та розширювати коло ділового партнерства.</t>
  </si>
  <si>
    <t>м. Кропивницький, вул. Шевченка, 54</t>
  </si>
  <si>
    <t>Кіровоградське обласне об'єднання організацій роботодавців</t>
  </si>
  <si>
    <t>м. Кропивницький, вул. Орджонікідзе, 7</t>
  </si>
  <si>
    <t>ГО "Спілка підприємців Кіровоградської області"</t>
  </si>
  <si>
    <t>Громадська організація об'єднує підприємців, власників приватних підприємств, малі та середні підприємства. Організація створена для захисту законних економічних, соціальних, творчих та інших прав підприємців, а також інших спільних законних інтересів її членів.&lt;br /&gt;</t>
  </si>
  <si>
    <t>м. Кропивницький, вул. Велика Перспективна, 65</t>
  </si>
  <si>
    <t>Асоціація фермерів та приватних землевласників Кіровоградської області</t>
  </si>
  <si>
    <t>м. Кропивницький, вул. Тараса Карпи, 84, к. 415</t>
  </si>
  <si>
    <t>Федерація профспілок Кіровоградської області</t>
  </si>
  <si>
    <t>Одним із найважливіших напрямів роботи Федерації профспілок області є захист соціально-економічних прав та інтересів членів профспілок. Президія ФПО постійно розглядає ці питання на своїх засіданнях, вносить конкретні конструктивні пропозиції до органів влади всіх рівнів щодо покращення стану справ в економіці області.</t>
  </si>
  <si>
    <t>м. Кропивницький, вул. Преображенська, 4</t>
  </si>
  <si>
    <t>Комунальне підприємство "Дніпропетровське регіональне інвестиційне агентство"</t>
  </si>
  <si>
    <t>Місія DIA: забезпечити міцну основу для стабільного сталого розвитку Дніпропетровської області, що будується на позиціях відкритого, взаємовигідного співробітництва і служить базою для зміцнення іміджу регіону. Підприємство формує первинну аналітичну інформацію, необхідну для прийняття рішень про інвестування, налагоджує комунікацію з потенційним інвестором з питань подальшої реалізації інвестиційного проєкту, здійснює пост-інвестиційний супровід діяльності компаній.</t>
  </si>
  <si>
    <t>м. Дніпро, проспект Олександра Поля, 2, оф. 538</t>
  </si>
  <si>
    <t>Центр підтримки малого та середнього бізнесу</t>
  </si>
  <si>
    <t>Центр створено з метою надання організаційної, методичної, інформаційно-консультативної, юридичної та іншої допомоги новоствореним юридичним та фізичним особам-підприємцям для спроможного самостійного функціонування у підприємницькій діяльності.</t>
  </si>
  <si>
    <t>м. Дніпро, вул. Старокозацька, 52, пов. 4, оф. 483</t>
  </si>
  <si>
    <t>ГО "Аналітичний центр розвитку міста "ЗЕОН"</t>
  </si>
  <si>
    <t>Організація працює в напрямку налагодження співпраці між владою, бізнесом і громадськістю та реалізації спільних проєктів. Ключові теми – стратегування, місцевий бюджет і способи впливу на нього, побудова співпраці з владою та адвокація.</t>
  </si>
  <si>
    <t>м. Здолбунів, вул. Незалежності, 21</t>
  </si>
  <si>
    <t>Бізнес-інкубатор НГУ</t>
  </si>
  <si>
    <t>Це підрозділ Університету, що діє з метою:&lt;br /&gt;
• розвитку підприємницького середовища для студентів і викладачів Університету та інших зацікавлених осіб;&lt;br /&gt;
• адаптації студентів Університету до конкурентного ринку праці;&lt;br /&gt;
• трансферу результатів наукових досліджень, що спрямовані на вирішення технічних, екологічних, соціальних, економічних та інших проблем;&lt;br /&gt;
• сприяння інтеграції науки, освіти та підприємництва.</t>
  </si>
  <si>
    <t>м. Дніпро, пр. Дмитра Яворницького, 19</t>
  </si>
  <si>
    <t>Тернопільський регіональний центр підтримки підприємництва</t>
  </si>
  <si>
    <t>Центр створено при департаменті економічного розвитку і торгівлі Тернопільської обласної державної адміністрації, основною метою діяльності якого є надання інфомаційно-консультативної підтримки суб’єктам малого та середнього підприємництва області.</t>
  </si>
  <si>
    <t>м. Тернопіль, вул. М.Грушевського, 8</t>
  </si>
  <si>
    <t>Тернопільська торгово-промислова палата</t>
  </si>
  <si>
    <t>Палата сприяє створенню сприятливих умов розвитку підприємництва та зовнішньоекономічних зв’язків в області, експорту українських товарів, наданню практичної допомоги підприємцям у проведені торговельно-економічних операцій на внутрішньому та зовнішньому ринках, пошуку ділових партнерів та інвесторів як в регіоні своєї діяльності, так і за її межами.</t>
  </si>
  <si>
    <t>м. Тернопіль, вул. Руська, 40</t>
  </si>
  <si>
    <t>ГО "Фонд "Професійний Розвиток"</t>
  </si>
  <si>
    <t>Головна мета - реалізація проєктів, спрямованих на вирішення актуальних суспільних завдань у сфері:&lt;br /&gt;
• працевлаштування та самозайнятості;&lt;br /&gt;
• соціального захисту молоді, людей з обмеженими можливостями, малозабезпечених сімей, внутрішньо переміщених осіб і учасників АТО;&lt;br /&gt;
• професійної орієнтації та професійного навчання відповідно до ринку праці;&lt;br /&gt;
• малого підприємництва.</t>
  </si>
  <si>
    <t>м. Кривий Ріг, в. Степана Тільги, 6</t>
  </si>
  <si>
    <t>Організація роботодавців Тернопільської області</t>
  </si>
  <si>
    <t>Об'єднує та представляє інтереси 51 підприємства Тернопільської області. На підприємствах, які входять до членських організацій Організації роботодавців Тернопільської області, працює близько 15 тисяч працівників.</t>
  </si>
  <si>
    <t>м. Тернопіль, майдан Мистецтв, 4</t>
  </si>
  <si>
    <t>Регіональне відділення українського союзу промисловців і підприємців в Тернопільській області</t>
  </si>
  <si>
    <t>УСПП докладає зусиль щодо поглиблення діалогу з владою.</t>
  </si>
  <si>
    <t>м. Тернопіль, вул. Подільська, 37 А</t>
  </si>
  <si>
    <t>Space Hub Korolyov</t>
  </si>
  <si>
    <t>Space hub Korolyov- проєкт, що покликаний створити нові високооплачувані робочі місця в галузі ІТ, креативних індустрій. Площа: 2000 кв.м. Коворкінг, бізнес-акселератор.</t>
  </si>
  <si>
    <t>м. Житомир, вул. Мала Бердичівська, 17 Б</t>
  </si>
  <si>
    <t>Зеленодольськ</t>
  </si>
  <si>
    <t>БФ "Агенція місцевого економічного розвитку м. Зеленодольська"</t>
  </si>
  <si>
    <t>Розвиток підприємництва та громадянської активності, підтримка молодіжних ініціатив та розвиток соціального підприємницького руху.</t>
  </si>
  <si>
    <t>м. Зеленодольськ, вул. Енергетична, 17В</t>
  </si>
  <si>
    <t>Агенція регіонального розвитку Полтавської області "Офіс євроінтеграції"</t>
  </si>
  <si>
    <t>Головним завданням агенції регіонального розвитку є економічний розвиток регіону, стимулювання інвестицій у регіон, консультування та супровід громад у розробці проєктів, навчання та підвищення кваліфікації кадрів, підтримка малого і середнього бізнесу.</t>
  </si>
  <si>
    <t>Полтавська торгово-промислова палата</t>
  </si>
  <si>
    <t>Полтавська торгово-промислова палата – частина системи торгово-промислових палат України. Головне завдання – представляти інтереси її членів у державних органах України , а також у міжнародних організаціях.</t>
  </si>
  <si>
    <t>м. Полтава, вул. Автобазівська, 7</t>
  </si>
  <si>
    <t>Лінія підтримки підприємництва</t>
  </si>
  <si>
    <t>Представники бізнесу та ті, хто хоче започаткувати власну справу, можуть отримати кваліфіковані консультації з юридичних, фінансових, організаційних питань започаткування та розвитку бізнесу, а також дозвільно-погоджувальних процедур.</t>
  </si>
  <si>
    <t>м. Ужгород, площа Поштова, 3</t>
  </si>
  <si>
    <t>Спілка підприємців міста Первомайська</t>
  </si>
  <si>
    <t>м. Первомайськ, вул. Лейтинанта Шмідта, 2Б</t>
  </si>
  <si>
    <t>ГО "Агенція міжнародної співпраці"</t>
  </si>
  <si>
    <t>Завдання організації: розвиток підприємництва в регіоні та допомога в європейській та міжнародній інтеграції бізнесу, зокрема шляхом участі в загальнодержавних та міжнародних програмах, проєктах та заходах.</t>
  </si>
  <si>
    <t>м. Луцьк, вул. Київський майдан, 7</t>
  </si>
  <si>
    <t>Центр Бізнес-освіти Волинської ТПП</t>
  </si>
  <si>
    <t>Напрямки діяльності Центру Бізнес-освіти Волинської ТПП: розвиток і підтримка експортного потенціалу (Школа експортера), підтримка молодих підприємців (Школа малого бізнесу), тренінги та семінари для підвищення компетенцій та конкурентоспроможності бізнесу.</t>
  </si>
  <si>
    <t>м. Луцьк, Київський майдан, 7</t>
  </si>
  <si>
    <t>Центр підтримки експорту при Волинській ТПП</t>
  </si>
  <si>
    <t>Надання консультацій представникам бізнесу з питань експорту. Сприяння виходу на зовнішні ринки.</t>
  </si>
  <si>
    <t>Консалтингова компанія з підтримки мікро-, малого та середнього бізнесу в м. Суми</t>
  </si>
  <si>
    <t>Компанія допомагає підприємцям та бажаючим відкрити свій бізнес: надання консультацій з юридичних питань, пов'язаних з відкриттям, веденям, припиненям бізнесу. Надання консультацій з питань податкового законодавства, кадрового, бухгалтерського обліку та інших питань.</t>
  </si>
  <si>
    <t>м. Суми, вул. Кооперативна, 19, офіс 218</t>
  </si>
  <si>
    <t>Об'єднання підприємців торгівлі та громадського харчування Харківської області "Торгова єдність"</t>
  </si>
  <si>
    <t>Платформа для обговорення актуальних питань підприємництва, обміну досвідом, забезпечення ефективних комунікацій, зворотнього зв’язку щодо проведення реформ, просування та представництво інтересів МСБ галузі торгівлі та громадського харчування.</t>
  </si>
  <si>
    <t>м. Харків, Майдан Корституції, 1, 6610а</t>
  </si>
  <si>
    <t>Індустріальний парк "Chortkiv-West"</t>
  </si>
  <si>
    <t>Індустріальний парк "Chortkiv-West" включений до Реєстру індустріальних (промислових) парків України під № 43. Функціональне призначення індустріального парку: металообробка та машинобудування, включаючи виробництво компонентів до автомобілів, електротехнології.</t>
  </si>
  <si>
    <t>м. Чортків, вул. Об'їздна</t>
  </si>
  <si>
    <t>Київ</t>
  </si>
  <si>
    <t>ГО "Агентство з розвитку вексельного ринку"</t>
  </si>
  <si>
    <t>Експертне агентство в сфері вексельного обігу для сприяння розвитку економіки, доступу бізнесу до фінансів, підвищення вексельної грамоти та надання експертної консультаційної допомоги МСБ.</t>
  </si>
  <si>
    <t>м. Київ, проспект Свободи, 46</t>
  </si>
  <si>
    <t>Регіональний фонд підтримки підприємництва по Хмельницькій області</t>
  </si>
  <si>
    <t>Методологічна, юридична, інформаційна та фінансово-кредитна підтримка представників малого та середнього бізнесу, комплексний супровід бізнес-проєктів.</t>
  </si>
  <si>
    <t>м. Хмельницький, вул. Грушевського 87, оф. 401</t>
  </si>
  <si>
    <t>Індустріальний парк "Лиманський"</t>
  </si>
  <si>
    <t>Індустріальний парк “Лиманський” створено з орієнтацією на виробництво будівельних та теплоізоляційних матеріалів, елементів обладнання у сфері альтернативної енергетики, логістики та супутнього сервісу.</t>
  </si>
  <si>
    <t>м. Лиман, вул. Оборони</t>
  </si>
  <si>
    <t>Центр для студентів Дія.Бізнес в КНУ імені Тараса Шевченка</t>
  </si>
  <si>
    <t>Центр Дія.Бізнес в КНУ для студентів із будь-якого університету зі всієї України, які мріють про старт власної справи.</t>
  </si>
  <si>
    <t>м. Київ, вул. Васильківська, 90А</t>
  </si>
  <si>
    <t>Консультаційний стенд Дія.Бізнес у Черкасах</t>
  </si>
  <si>
    <t>Для майбутніх підприємців — тих, хто шукає або має ідею власної справи та хоче започаткувати власний бізнес.&lt;br /&gt;
Для діючих підприємців мікро, малого та середнього бізнесу, що перебувають на певному етапі розвитку своєї діяльності і потребують фахової консультації.</t>
  </si>
  <si>
    <t>м. Черкаси, бульвар Шевченкa, 145 (ТЦ Плазма)</t>
  </si>
  <si>
    <t>Маркетингові послуги Okseniuk.ua</t>
  </si>
  <si>
    <t>Надання особистих консультацій для малого та середнього бізнесу у сфері маркетингу.</t>
  </si>
  <si>
    <t>м. Луцьк, вул. Коперника, 13</t>
  </si>
  <si>
    <t>Агротуристичний кластер "ГорбоГори"</t>
  </si>
  <si>
    <t>Не відомо</t>
  </si>
  <si>
    <t>Американська торговельна палата в Україні</t>
  </si>
  <si>
    <t>Аптечна професійна асоціація україни - ГС «АПАУ»</t>
  </si>
  <si>
    <t>Громадська спілка “Аптечна професійна асоціація України (АПАУ)” об’єднує юридичних осіб фармацевтичного ринку країни</t>
  </si>
  <si>
    <t>Асоціації підприємств скляної промисловості "Скло України"</t>
  </si>
  <si>
    <t>Членом Асоціації може стати будь-яка зацікавлена організація, що зайнята в скляній галузі, визнає Статут АПСП «Скло України» і що оплачує членські внески.</t>
  </si>
  <si>
    <t>Асоціація "Аеропорти України" Цивільної Авіації</t>
  </si>
  <si>
    <t>Учасниками Асоціації можуть бути державні, комунальні та інші підприємства, об'єднання та організації як цивільної авіації, так і інших відомств, незалежно від відомчої підпорядкованості та територіального розташування, які визнають Статут Асоціації та сплачують членські внески</t>
  </si>
  <si>
    <t>Асоціація "Біржові та електронні майданчики" (Асоціація "БЕМ")</t>
  </si>
  <si>
    <t>до складу Асоціації входять товарні біржі та спеціалізовані онлайн-платформи, які здійснюють свою діяльність по всій території країни</t>
  </si>
  <si>
    <t>Асоціація "Блокчейн України" (БАУ)</t>
  </si>
  <si>
    <t>Членом Асоціації може бути будь-який суб’єкт господарювання, юридична особа, що діє у сфері інформаційних технологій, яка створює і здійснює свою діяльність відповідно до законодавства України, має відповідні ліцензії та згодна виконувати обов’язки, що на неї покладає Статут Асоціації.</t>
  </si>
  <si>
    <t>Асоціація "Виробники пінопласту України"</t>
  </si>
  <si>
    <t>Членами асоціації можуть бути будь-які організації і підприємства, як закордонні так і вітчизняні, які прямо або опосередковано зацікавлені в статутних цілях цієї організації.</t>
  </si>
  <si>
    <t>Асоціація "Виробники яловичини України"</t>
  </si>
  <si>
    <t>Асоціація "Деревообробники України" (АДУ)</t>
  </si>
  <si>
    <t>Членами Асоціації можуть бути підприємства, що є виробниками та постачальниками продукції з деревини, дистриб'юторами, розробниками, виробниками чи постачальниками відповідного технічного обладнання, приладів, матеріалів, аксесуарів, комплектуючих виробів тощо, а також приватні підприємці, які здійснють таку діяльність та згодні виконувати обов'язки, що на них покладають установчі документи Асоціації</t>
  </si>
  <si>
    <t>Асоціація "Дунайська соя" - Україна</t>
  </si>
  <si>
    <t>Членами Асоціації можуть бути юридичні або фізичні особи. Звичайними (повноправними) членами можуть бути компанії або їх галузеві асоціації, а також приватні особи, які виявляють особливу відданість якісній сої, що виробляється без ГМО та має підтверджене походження з Дунайського регіону та Європи, які виробляють, переробляють, продають таку продукцію або підтримують її фактичними або нематеріальними засобами. Асоційовані члени можуть включати, зокрема, державні установи, регіональні органи влади, сільськогосподарські торговельні палати, організації, які є типовими власниками та власниками товарних знаків програм якості, асоціації, організації та парасолькові організації, які не є галузевими асоціаціями, НУО та інші установи.</t>
  </si>
  <si>
    <t>Асоціація "Земельна спілка України" (ЗСУ)</t>
  </si>
  <si>
    <t>Членами Асоціації будь-якого рівня можуть бути юридичні особи будь-яких форм власності, в тому числі іноземні господарюючі суб’єкти, які визнають та виконують статутні документи Асоціації, заінтересовані брати практичну участь в реалізації проектів та програм Асоціації, вчасно сплачують внески, надають матеріальну та іншу підтримку. Підприємства та організації будь-яких форм власності також можуть входити до складу Асоціації на умовах представництв та партнерів.</t>
  </si>
  <si>
    <t>Асоціація "Індустріальний комітет зовнішньої реклами"</t>
  </si>
  <si>
    <t>В Індустріальному комітеті зовнішньої реклами представлені оператори – лідери національного ринку зовнішньої реклами, а також провідні рекламні агенції. У прийнятті нових Учасників до складу Асоціації може бути відмовлено, якщо: кандидат порушує чинне законодавство, що може негативно вплинути на діяльність Асоціації; кандидат не може бути Засновником або Членом Асоціації, виходячи з положень його установчих документів, вимог чинного законодавства або вмотивованих заперечень органів державної влади, на які покладено контроль за дотриманням законодавства про рекламу; щодо кандидата порушено справу про банкрутство; кандидат не відповідає вимогам Статуту Асоціації.</t>
  </si>
  <si>
    <t>Асоціація "Кластер деревообробки та меблевого виробництва" (Кластер ДОМВ)</t>
  </si>
  <si>
    <t>Кластер ДОМВ — це об'єднання підприємств, які працюють з деревиною у Західній Україні (деревообробних, плитних, меблевих тощо).</t>
  </si>
  <si>
    <t>Асоціація "Легальних Виробників Алкоголю"</t>
  </si>
  <si>
    <t>Асоціація "Ліга машинобудівників та роботодавців україни Укрмашбуд"</t>
  </si>
  <si>
    <t>Учасником Асоціації може бути будь-який суб’єкт господарювання, юридична особа, яка створена та здійснює свою діяльність відповідно до законодавства України, має відповідні ліцензії та згодна виконувати обов’язки, що на неї покладають установчі документи Асоціації. Бажаючі стати учасником Асоціації погоджуються: виконувати рішення керівних органів Асоціації; сприяти своєю діяльністю досягнення мети та виконанню завдань Асоціації; сплачувати членські внески в порядку та розмірах, визначених Радою Асоціації; дотримуватися правил добросовісної конкуренції.</t>
  </si>
  <si>
    <t>Асоціація "Луцький IT кластер" (Асоціація "ЛІТАК" / LITaC: Lutsk IT cluster)</t>
  </si>
  <si>
    <t>Асоціація "Національна асоціація добувної промисловості України"</t>
  </si>
  <si>
    <t>Асоціація "Національна асоціація страховиків України"</t>
  </si>
  <si>
    <t>Учасником Асоціації може бути страхова компанія, яка здійснює свою діяльність відповідно до законодавства України, включена до Державного реєстру фінансових установ, має дійсну ліцензію на здійснення страхової діяльності та структуру власності у відповідності до законодавства, згодна виконувати обов’язки, що на неї покладають установчі документи Асоціації, керівники та власники істотної участі якої мають бездоганну ділову репутацію у відповідності до законодавства, така, що виконує вимоги законодавства щодо платоспроможності страховика.</t>
  </si>
  <si>
    <t>Асоціація "Незалежні регіональні видавці України"</t>
  </si>
  <si>
    <t>Дійсним членом Асоціації може бути видавець, засновник, розповсюджувач ЗМІ; регіональна компанія, що займається рекламою, з такими видами діяльності, що можуть асоціюватися з медіа (інформаційні, видавничі, рекламні послуги, тощо); суб'єкти іншої діяльності, пов'язаної із засобами масової інформації будь-якої форми та способу розповсюдження та проти вступу яких не заперечує член Асоціації з цього міста (якщо такий уже є). Асоційованим членом Асоціації може бути суб'єкт господарської діяльності, діяльність якого пов'язана з ринком ЗМІ.</t>
  </si>
  <si>
    <t>Асоціація "Об'єднання підприємств Ніжинщини"</t>
  </si>
  <si>
    <t>Учасником Асоціації може бути будь-який суб'єкт підприємницької діяльності: юридична сособа (підприємство, установа, організація тощо), зареєстрована та/чи діє на території Ніжинщини, яка здійснює свою діяльність відповідно до законодавства України та підтримує предмет і мету діяльності Асоціації, згодна виконувати обов'язки, що на неї покладає Статут Асоціації</t>
  </si>
  <si>
    <t>Асоціація "Одеських перевізників"</t>
  </si>
  <si>
    <t>Асоціація "Оператори ринку медичних виробів" (The Association of Medical Operators for Medical Devices - AMOMD)</t>
  </si>
  <si>
    <t>Членом Асоціації може бути будь-який суб’єкт господарювання, юридична особа, представництво іноземної юридичної особи, який є оператором ринку медичних виробів (зокрема, але не виключно, виробники, дистриб'ютори, аптечні заклади, торгові мережі), поділяє принципи та завдання Асоціації, визнає та виконує положення Статуту Асоціації, відповідає вимогам та прийнятий до Асоціації в порядку, встановленому Статутом та внутрішніми документами Асоціації, своєчасно сплачує членські внески.</t>
  </si>
  <si>
    <t>Асоціація "Парфумерія та Косметика України"</t>
  </si>
  <si>
    <t>Учасником Асоціації може бути будь-який суб’єкт господарювання, юридична особа, яка створює і здійснює свою діяльність на ринку парфумерно-косметичної продукції, а також у пов'язаних з ним сферах дільності (або є юридичною особою, яка пов'язана з такою особою), відповідно до законодавства України та/або країни, де вона зареєстрована, має відповідні дозволи та згодна виконувати обов'язки, які на неї покладають установчі документи.</t>
  </si>
  <si>
    <t>Асоціація "Регіональне будівництво"</t>
  </si>
  <si>
    <t>Асоціація об'єднує будівельні компанії, проектні установи, навчальні та наукові заклади будівельного і архітектурного профілю, банківські установи, громадські та інші організації</t>
  </si>
  <si>
    <t>Асоціація "Річки України"</t>
  </si>
  <si>
    <t>Членом Асоціації можуть стати підприємства за наступними напрямках діяльності: порти/ стивідори, перевезення вантажу/пасажирів, суднобудування/судноремонт, експедитори, агенти, вантажовласники. Учасниками асоціації також можуть стати будь-які суб’єкти господарювання, які розділяють мету Асоціації та готові брати активну участь у розвитку річкової галузі.</t>
  </si>
  <si>
    <t>Асоціація "Свинарі України"</t>
  </si>
  <si>
    <t>Асоціація "Союз птахівників України"</t>
  </si>
  <si>
    <t>Дійсними членами асоціації можуть бути підприємства-виробники продукції птахівництва, асоційованими - компанії, що займаються виробництвом і реалізацією ветеринарних препаратів, кормів і кормових добавок, обладнання тощо.</t>
  </si>
  <si>
    <t>Асоціація "Союз ювелірів України"</t>
  </si>
  <si>
    <t>Асоціація "Спілка виробників, імпортерів і трейдерів агрохімії і агротехнологій" (СВІТ)</t>
  </si>
  <si>
    <t>Членами Асоціації можуть бути будь-які суб'єкти господарювання, господарські та громадські об'єднання, які працюють у галузі виробництва, постачання та користування мінеральними добривами, пестицидами чи агрохімікатами, чи в іншій галузі аграрного чи суміжного з ним напрямку діяльності, які здійснюють свою діяльність відповідно до законодавства України та згодні виконувати обов'язки, що на них накладає Статут Асоціації</t>
  </si>
  <si>
    <t>Асоціація "Українська аквакультурна спільнота"</t>
  </si>
  <si>
    <t>Асоціація "Українська аквакультурна спільнота" є господарською асоціацією і утворюється як добровільне, недержавне, договірне, неприбуткове об’єднання підприємств та організацій, що займаються рибальством, перероблення та консервування риби, ракоподібних і молюсків, виробників та постачальників обладнання рибогосподарств, сировини, матеріалів і послуг для виробництва цієї продукції</t>
  </si>
  <si>
    <t>Асоціація "Українське об’єднання лізингодавців" (УОЛ)</t>
  </si>
  <si>
    <t>Членами Асоціації є Засновники Асоціації та інші юридичні особи, що створені і здійснюють свою діяльність відповідно до законодавства України, мають відповідні ліцензії, які відповідають вимогам до Члена, викладеним у Статуті, правилах і положеннях Асоціації, і прийняті до Асоціації рішенням Загальних Зборів членів Асоціації. Всі Члени Асоціації безумовно мають професійно займатись наданням послуг лізингу з виконанням всіх вимог, передбачених чинним законодавством України, у т. ч. щодо реєстрації. У разі якщо юридична особа не надає послуги з лізингу, але бажає вступити до Асоціації, така особа набуває статусу Асоційованого Члену Асоціації, про що зазначається в сертифікаті на вступ до Асоціації.</t>
  </si>
  <si>
    <t>Асоціація "Український екологічний альянс"</t>
  </si>
  <si>
    <t>Учасниками Асоціації можуть бути будь-які суб’єкти господарювання резиденти та нерезиденти – юридичні особи приватного та публічного права, у тому числі, але не виключно, господарські товариства, підприємства, компанії, асоціації, корпорації, консорціуми, концерни, холдинги та інші об’єднання підприємств, всеукраїнські та іноземні громадські організації, які створені та діють в порядку, передбаченому чинним законодавством України або іноземним законодавством, структура яких розповсюджена на одну або більше адміністративно-територіальну одиницю України або іноземної держави, та які займають частку в загальному обсязі реалізації ринку у сфері поводження з відходами, житлово-комунального господарства, паливно-енергетичного комплексу, альтернативної енергетики, енергоефективності та енергозбереження</t>
  </si>
  <si>
    <t>Асоціація "Український клуб аграрного бізнесу" (UCAB)</t>
  </si>
  <si>
    <t>Асоціація "Український логістичний альянс"</t>
  </si>
  <si>
    <t>Членами Асоціації можуть бути юридичні особи, які реалізують свою діяльність у сферах логістичного обслуговування, складування, транспортування, експедирування, інформаційного забезпечення та консалтингової діяльності, надання освітніх послуг у сфері логістики</t>
  </si>
  <si>
    <t>Асоціація "Український ядерний форум"</t>
  </si>
  <si>
    <t>Учасником Асоціації може бути будь-яке підприємство чи об’єднання підприємств, що виявили бажання бути членом Асоціації та були прийняті до Асоціації відповідно до рішення Президії Асоціації</t>
  </si>
  <si>
    <t>Асоціація "Українські електроніка, комп'ютери, касові апарати"</t>
  </si>
  <si>
    <t>Учасниками Асоціації можуть бути суб’єкти підприємницької діяльності, які займаються виробництвом та впровадженням комп’ютерів, ваг, електронних та електротехнічних виробів, розробкою та впровадженням програмного забезпечення, сервісним обслуговуванням та ремонтом реєстраторів розрахункових операцій, комп'ютерно-касових систем для контролю за обігом готівки, електронних платежів та програмного забезпечення, електронних та електротехнічних виробів, а також підприємства торгівлі і інші суб’єкти господарювання незалежно від форм власності, які визнають Статут Асоціації і виявили бажання увійти до неї та сплачувати вступний, членські та інші узгоджені внески</t>
  </si>
  <si>
    <t>Асоціація "Українські імпортери побутової електроніки"</t>
  </si>
  <si>
    <t>Асоціація об'єднує підприємства та організації, що імпортують побутову техніку та електроніку в Україну для задоволення споживчих потреб громадян та гостей країни.</t>
  </si>
  <si>
    <t>Асоціація "Українські фондові торговці"​ (АУФТ)</t>
  </si>
  <si>
    <t>Кандидатом в члени Асоціації може бути юридична особа, яка відповідає наступним вимогам: має діючу(і) ліцензію(ї) на провадження професійної діяльності на фондовому ринку, видану Національною комісією з цінних паперів та фондового ринку; відповідає вимогам законодавства, встановленим для відповідного виду професійної діяльності на фондовому ринку, Статуту та правилам Асоціації, що підтверджує своєю заявою при вступі до Асоціації; подала заяву на втсп до Асоціації та пакет документів; висловила згоду з виконанням обов'язків члена Асоціації; створена і здійснює свою діяльність відповідно до законодавства України</t>
  </si>
  <si>
    <t>Асоціація "Укрзовніштранс"</t>
  </si>
  <si>
    <t>Категорію Учасника Асоціації можуть набувати юридичні особи (резиденти або нерезидент України), фізичні особи-підприємці, що здійснюють діяльність у сфері транспортно-логістичних та/або туристичних і супутніх послуг, які внесли встановлені в Асоціації внески (крім Учасників – спостерігачів), занесені до електронного Реєстру Учасників Асоціації, схвалюють та підтримують бачення, місію, цілі діяльності Асоціації, згодні виконувати обов’язки, що на них покладають Статут та інші внутрішні нормативні документи Асоціації, брати участь у роботі Асоціації, виконувати рішення органів управління Асоціації.</t>
  </si>
  <si>
    <t>Асоціація "Укркондпром"</t>
  </si>
  <si>
    <t>Учасником Асоціації можуть бути суб’єкти господарювання незалежно від форм власності та організаційно-правової форми господарювання, які є резидентами України; господарюють на ринку виробництва кондитерської продукції, харчових концентратів, крохмалепродуктів та кави; налаштовані активно сприяти досягненню цілей та предмету діяльності Асоціації, погодились з розміром внесків та порядком їх внесення</t>
  </si>
  <si>
    <t>Асоціація "Укрсадпром"</t>
  </si>
  <si>
    <t>Членами Асоціації можуть бути будь-які суб’єкти господарювання, господарські та громадські об’єднання, які діють в галузі садівництва, ягідництва та розсадництва, та які створюють і здійснюють свою діяльність відповідно до законодавства України, згодні виконувати обов’язки, що на них покладає Статут Асоціації, інші нормативні документи Асоціації.</t>
  </si>
  <si>
    <t>Асоціація "Укртелемережа"</t>
  </si>
  <si>
    <t>Членами Асоціації є засновники Асоціації, а також інші суб'єкти господарювання чи об'єднання суб'єктів господарювання, прийняті до Асоціації відповідно до рішення Ради Асоціації, розділяють мету Асоціації, виконують Положення та дотримуються вимог установчих документів. Членом Асоціації може бути будь-який суб'єкт господарювання, що здійснює діяльність у сфері телекомунікацій, телебачення та радіомовлення, виробництва (постачання) телекомунікаційного обладнання, або займається іншими суміжними видами діяльності. Членами Асоціації можуть бути нерезиденти України.</t>
  </si>
  <si>
    <t>Асоціація "Укрхризотил" (Українське хризотилове об'єднання)</t>
  </si>
  <si>
    <t>До Складу Асоціації увійшли 6 виробників, які використовують у виробництві виключно хризотил-азбест</t>
  </si>
  <si>
    <t>Асоціація "Ягідництво України"</t>
  </si>
  <si>
    <t>Членами є виключно юридичні особи - виробники та переробники плодово-ягідної продукції, виробники посадкового матеріалу, кооперативи, громадські організації, освітні заклади та інші гравці плодово-ягідного ринку</t>
  </si>
  <si>
    <t>Асоціація "IT Ukraine" (зареєстрована як: Асоціація "Інформаційні технології України")</t>
  </si>
  <si>
    <t>Асоціація “Газові трейдери України”</t>
  </si>
  <si>
    <t>Асоціація “М’ясної галузі”</t>
  </si>
  <si>
    <t>Асоціація є вільною до вступу нових учасників, якими можуть бути будь-які суб’єкти господарювання, юридичні особи, що створені та здійснюють свою діяльність відповідно до законодавства України, мають відповідні ліцензії та висловили свою згоду щодо виконання обов’язків, покладених на них Асоціацією.</t>
  </si>
  <si>
    <t>Асоціація «Українська Асоціація Меблевиків»</t>
  </si>
  <si>
    <t>Членами Асоціації можуть суб’єкти господарювання, які створені і діють відповідно до законодавства України, що визнають Статут Асоціації, прагнуть досягти договірної мети діяльності Асоціації і виявили згоду виконувати положення Статуту, згодні брати участь у діяльності Асоціації, сплачують вступні та членські внески.</t>
  </si>
  <si>
    <t>Асоціація «Укроліяпром»</t>
  </si>
  <si>
    <t>Асоціація аграріїв України (ААУ)</t>
  </si>
  <si>
    <t>ААУ має за мету об’єднати українських фермерів з іноземними інвестиціями, щоб згуртувати зусилля усіх її учасників для захисту своїх прав, інтересів та власності шляхом прямого та конструктивного діалогу з українським суспільством, політичними силами та владою. Учасником Асоціації може бути суб’єкт господарювання, що здійснює господарську діяльність у сферах виробництва, зберігання, реалізації сільськогосподарської продукції, яка створює і здійснює свою діяльність відповідно до законодавства України та згоден виконувати обов’язки, що на нього покладає Статут Асоціації.</t>
  </si>
  <si>
    <t>Асоціація безпеки експлуатації транспорту (АБЕТ)</t>
  </si>
  <si>
    <t>Членами Асоціації можуть бути юридичні особи, що здійснюють діяльність у галузі оцінки відповідності транспортних засобів в Україні, сертифікації транспортних засобів, калібрування та повірки вимірювальних приладів та техніки, тощо, які поділяють мету та завдання Асоціації, визнають положення установчих документів Асоціації, беруть участь в її діяльності та своєчасно сплачують встановлені відповідними внутрішніми нормативними актами Асоціації (положеннями) вступні, періодичні членські та інші внески.</t>
  </si>
  <si>
    <t>Асоціація виробників інноваційних ліків АПРаД</t>
  </si>
  <si>
    <t>Членом Асоціації може бути будь-яка інноваційно-дослідницька фармацевтична чи біотехнологічна компанія, що активно займається розробкою інноваційних препаратів і присутня в Україні. Члени Асоціації мають сприяти її розвитку та промоції.</t>
  </si>
  <si>
    <t>Асоціація виробників молока</t>
  </si>
  <si>
    <t>Учасником Асоціації може бути суб‘єкт господарської діяльності, що є виробником с/г продукції, діяльність якого пов’язана з виробництвом та селекцією в галузі молочного тваринництва, яке здійснює промислове розведення великої рогатої худоби та здійснює оптову торгівлю сирим молоком корів або продуктами його переробки.</t>
  </si>
  <si>
    <t>Асоціація виробників озброєння та військової техніки України</t>
  </si>
  <si>
    <t>Членами Асоціації можуть бути юридичні особи, у тому числі громадські об’єднання, підприємства, установи та організації різних форм власності та підпорядкування, які визнають Статут, добровільно виявили бажання вступити до Асоціації і брати участь у її діяльності. Долучайтеся до нас, якщо Ви: є гравцем ринку військово-промислового комплексу України або маєте намір працювати у цій галузі; є експертом у сфері розробки, виробництва, модернізації чи ремонту озброєння та військової техніки; є експертом у питаннях державного регулювання ринку озброєння і військової техніки чи в галузі міжнародного обігу товарів військового та подвійного призначення; розділяєте цілі і задачі Асоціації щодо лібералізації ринку виробництва й торгівлі озброєнням, а також щодо попередження корупції.</t>
  </si>
  <si>
    <t>Асоціація виробників та імпортерів рекламних сувенірів України</t>
  </si>
  <si>
    <t>Учасниками Асоціації є засновники Асоціації та юридичні особи, які здійснюють діяльність з виробництва та реалізації рекламно-сувенірної продукції, які подали заяву про вступ до Асоціації, внесли вступні внески, що розділяють цілі і завдання Асоціації, визнають її Статут, які беруть участь в її діяльності і регулярно вносять членські, цільові та інші внески. Членами АВІРСУ можуть бути компанії, які працюють на ринку промо продуктів не менше трьох років, користуються заслуженим авторитетом у цьому сегменті ринку і є компаніями - резидентами України.</t>
  </si>
  <si>
    <t>Асоціація виробників та постачальників газового обладнання</t>
  </si>
  <si>
    <t>Членом Асоціації може бути будь-який суб’єкт господарювання, юридична особа у сфері виробництва і постачання газового обладнання, сировини, матеріалів і послуг для виробництва цієї продукції, яка створюється і здійснює свою діяльність відповідно до законодавства України, має відповідні ліцензії (в разі необхідності), поділяє принципи і завдання Асоціації, визнає та виконує положення Статуту Асоціації, відповідає вимогам і прийнята до Асоціації в порядку, встановленому Статутом та внутрішніми документами Асоціації, а також своєчасно сплачує членські внески</t>
  </si>
  <si>
    <t>Асоціація виробників херсонського кавуна</t>
  </si>
  <si>
    <t>Асоціація виробників цементу України "Укрцемент"</t>
  </si>
  <si>
    <t>Члени Асоціації: юридичні особи, які створені та здійснюють свою діяльність відповідно до законодавства України, мають відповідні ліцензії та згодні виконувати обов’язки, що на них покладає Статут Асоціації, є виробниками цементу та націлені на задоволення ринкового попиту на комерційній основі, виробляють клінкер, або є частиною групи, що виробляє клінкер, повністю розуміють Статут Асоціації та розділяють його принципи</t>
  </si>
  <si>
    <t>Асоціація відповідальних перевізників</t>
  </si>
  <si>
    <t>Членами Спілки можуть бути юридичні особи приватного права і фізичні особи, яким виповнилось 18 років відповідно до законодавства, які діють у сфері транспорту та перевезень, здійснюють свою діяльність відповідно до законодавства України та згодні виконувати обов'язки, що на них покладає Статут Спілки</t>
  </si>
  <si>
    <t>Асоціація газовидобувних компаній України (АГКУ)</t>
  </si>
  <si>
    <t>Членом Асоціації може стати будь-яка юридична особа, яка створена та здійснює свою діяльність на території України згідно українського законодавства, є надрокористувачем і готова добросовісно дотримуватися правил членства в АГКУ</t>
  </si>
  <si>
    <t>Асоціація газового ринку України</t>
  </si>
  <si>
    <t>Асоціація готелів та курортів України (Ukrainian Hotel &amp; Resort Association - UHRA)</t>
  </si>
  <si>
    <t>Асоціація готелів та курортів України об’єднує готелі та курортні заклади розміщення, що функціонують на ринку України. Ми також відкриті щодо вступу на правах повних або асоційованих членів готельних об'єднань, компаній, що здійснюють діяльність в готельному девелопменті, а також закладів вищої та середньої освіти, які готують фахівців для готельного сектору</t>
  </si>
  <si>
    <t>Асоціація західноукраїнських забудовників</t>
  </si>
  <si>
    <t>До асоціації приймаються забудовники, що відповідають наступним критеріям: наявність позитивного досвіду у галузі будівництва – компанія має успішно реалізовані проекти; наявність передбачених чинним законодавством дозвільних документів на усіх етапах будівельного процесу; забезпечення максимальних гарантій захисту інтересів інвесторів</t>
  </si>
  <si>
    <t>Асоціація імпортерів автотранспорту</t>
  </si>
  <si>
    <t>Асоціація імпортерів та дистриб’юторів автокомпонентів (АІДА)</t>
  </si>
  <si>
    <t>Учасником Асоціації може бути будь-яка юридична особа, що діє на ринку aftermarket, згідна дотримуватися Статуту Асоціації та сплачувати членські внески.</t>
  </si>
  <si>
    <t>Асоціація ІТ Компаній Вінниці (Вінницький IT кластер)</t>
  </si>
  <si>
    <t>Сливине</t>
  </si>
  <si>
    <t>Асоціація крафтових виноробів Причорномор'я</t>
  </si>
  <si>
    <t>Асоціація крафтових дистиляторів України</t>
  </si>
  <si>
    <t>Членами Асоціації мають право бути: виробники крафтових дистилятів та інших міцних напоїв, які мають мале виробництво дистилятів або планують відкрити підприємство, мають вже портфель напоїв; виробники та постачальники сировини, обладнання, супутніх матеріалів; торгові організації</t>
  </si>
  <si>
    <t>Асоціація лідерів туристичного бізнесу в Миколаївській області</t>
  </si>
  <si>
    <t>Асоціація меблевих та деревообробних підприємств України "Меблідеревпром"</t>
  </si>
  <si>
    <t>Учасниками Асоціації можуть бути будь-які суб’єкти господарювання (резиденти та нерезиденти), юридичні особи, чия діяльність пов’язана із заготівлею та обробкою (переробкою) деревини, виробництвом меблів, оптово-роздрібною торгівлею, проектні і наукові організації та учбові заклади та інші організації, що визнають та згодні виконувати обов’язки, що на них покладають установчі документи Асоціації.</t>
  </si>
  <si>
    <t>Асоціація митних брокерів України</t>
  </si>
  <si>
    <t>Членами Асоціації можуть бути юридичні особи, зареєстровані у відповідності з чинним законодавством України, які надають митні брокерські послуги, послуги митного складу, а також інші юридичні особи, діяльність яких пов’язана з митною справою, якщо ці особи та суб’єкти заявили про своє бажання стати членами Асоціації виконувати передбачені Статутом обов’язки, внесли вступний внесок і регулярно сплачують членські внески.</t>
  </si>
  <si>
    <t>Асоціація Міжнародний, міжрегіональний, агропромисловий кластер Херсонської області Істен Фуд Текнолоджис Плас (І.ЕФ. ТЕК.+, Eastern Food Technologies plus)</t>
  </si>
  <si>
    <t>Асоціація міжнародних експедиторів України - АМЕУ</t>
  </si>
  <si>
    <t>Членами Асоціації можуть бути юридичні особи (резиденти або нерезиденти України), фізичні особи-підприємці, що здійснюють діяльність у сфері міжнародних транспортно-експедиторських та логістичних послуг, які об’єднані спільністю інтересів, сплатили встановлені в Асоціації внески і занесені до Реєстру Членів Асоціації, схвалюють та підтримують мету і предмет діяльності Асоціації і виконують обов’язки, що на них покладені Статутом та іншими внутрішніми нормативними документами Асоціації, беруть участь в роботі Асоціації, виконують рішення Керівних органів Асоціації, та своєчасно сплачують членські внески</t>
  </si>
  <si>
    <t>Асоціація міжнародних інвесторів в Україні</t>
  </si>
  <si>
    <t>Асоціація підприємств інформаційних технологій України</t>
  </si>
  <si>
    <t>Членом Асоціації може бути будь-який суб’єкт господарювання, юридична особа, що діє у сфері інформаційних технологій, яка створює і здійснює свою діяльність відповідно до законодавства України та згодна виконувати обов’язки, що на неї покладає Статут Асоціації.</t>
  </si>
  <si>
    <t>Асоціація підприємств промислової автоматизації України</t>
  </si>
  <si>
    <t>Асоціація об’єднує учасників ринку промислової автоматизації та ІТ – системних інтеграторів АСУ, розробників програмного та апаратного забезпечення, вендорів, університети, промислові підприємства, кінцеві споживачі продукції.</t>
  </si>
  <si>
    <t>Асоціація підприємств у сфері поводження з небезпечними відходами</t>
  </si>
  <si>
    <t>Членами Асоціації можуть стати українські підприємства, що надають послуги в сфері поводження з небезпечними відходами, за умови наявності у них виробничих потужностей з утилізації та знешкодження небезпечних відходів</t>
  </si>
  <si>
    <t>Асоціація підприємств-виробників техніки та обладнання для агропромислового комплексу "Украгромаш"</t>
  </si>
  <si>
    <t>Дійсним членом Асоціації може бути будь-який суб’єкт господарювання, юридична особа, яка створена і здійснює свою діяльність відповідно до законодавства України, має відповідні ліцензії та згодна виконувати обов’язки, що на неї покладає цей Статут та відповідає хоча б одному з наступних критеріїв: є виробником та/або розробником техніки і обладнання для агропромислового комплексу; займається випробовуванням техніки для агропромислового комплексу; здійснює науково – дослідницьку діяльність в агропромисловій галузі; є вищим навчальним закладом, що займається підготовкою і навчанням кадрів для агропромислового комплексу. Асоційованими членами Асоціації є: юридичні особи – резиденти України, що діють в інших сферах суспільного життя, ніж дійсні члени Асоціації, та об’єднання таких юридичних осіб; юридичні особи — нерезиденти України та об’єднання таких юридичних осіб.</t>
  </si>
  <si>
    <t>Асоціація правовласників та постачальників контенту (АППК)</t>
  </si>
  <si>
    <t>Членом Асоціації можу бути будь-який суб'єкт господарюванн, юридична особа (в тому числі нерезидент України), яка здійснює свою діяльність у сфері телебачення, радіомовлення, інтелектуальної власності, телекомунікацій, відповідно до законодавства, та згодна виконувати обов'язки, що на неї покладає Статут Асоціації</t>
  </si>
  <si>
    <t>Асоціація представників міжнародних фармацевтичних виробників України</t>
  </si>
  <si>
    <t>Асоціація представляє професійні та бізнес інтереси міжнародних фармацевтичних виробників, що оперують на ринку України</t>
  </si>
  <si>
    <t>Асоціація приватних медичних закладів України</t>
  </si>
  <si>
    <t>До Асоціації приватних медичних закладів України можуть бути прийняті юридичні особи – медичні заклади приватної форми власності або фізичні особи-підприємці, що займаються медичною практикою. Обов'язковою умовою розгляду заяви на вступ до Асоціації є наявність діючої ліцензії на здійснення медичної практики. Для приєднання до Асоціації необхідно надати 2 рекомендації від дійсних членів Асоціації.</t>
  </si>
  <si>
    <t>Асоціація професійних митних посередників</t>
  </si>
  <si>
    <t>Асоціація рітейлерів України</t>
  </si>
  <si>
    <t>Члени Асоціації рітейлерів України – компанії і бренди, що працюють тільки в сегменті b2c незалежно від сфери діяльності (FMCG, drogerie, ресторани, послуги etc), що підписали з Асоціацією Меморандум про членство і дотримуються Статуту і правил Асоціації. Членський внесок 40 000 грн. на рік.</t>
  </si>
  <si>
    <t>Асоціація сільгосптоваровиробників Луганської області</t>
  </si>
  <si>
    <t>Асоціація Страховий Бізнес (АСБ)</t>
  </si>
  <si>
    <t>Учасником Асоціації може бути кожне підприємство, установа, організація, яка здійснює свою діяльність на ринку страхових послуг та у сфері страхування, яка визнає Статут Асоціації, своєчасно сплачує членські внески, а також бере участь в діяльності Асоціації</t>
  </si>
  <si>
    <t>Асоціація суднобудівників України "Укрсудпром"</t>
  </si>
  <si>
    <t>Членами Асоціації можуть бути: підприємства суднобудівної галузі; науково-дослідні і конструкторські підприємства, виконавці роботи в галузі суднобудування, судноремонту та створення наукових і конструкторських розробок для членів Асоціації; судноремонтні підприємства; учбові заклади суднобудівного напряму; пароплавства, банки; інші підприємства, які згодні з положеннями Статуту Асоціації і вносять вступні та членські внески.</t>
  </si>
  <si>
    <t>Асоціація тваринників України</t>
  </si>
  <si>
    <t>Асоціація Туризм Одеси</t>
  </si>
  <si>
    <t>Асоціація туристичного та оздоровчого бізнесу "Відродження"</t>
  </si>
  <si>
    <t>Асоціація УАТА (Українська асоціація туристичних агенцій)</t>
  </si>
  <si>
    <t>Ми відкриті для всіх, хто відповідає таким умовам: розділяє цілі Асоціації, головна з яких - цивілізований ринок туризму (прозорість, "білі" оплати тощо), є турагентом чи мережею турагенцій в Україні. Не може бути членом Асоціації центральний офіс мережі, афілійованої з туроператором, через потенційний конфлікт інтересів</t>
  </si>
  <si>
    <t>Асоціація Українське об'єднання проектних організацій</t>
  </si>
  <si>
    <t>Членами Асоціації є організації, які поділяють мету і завдання Асоціації, визнають Статут Асоціації, сплатили вступний внесок та своєчасно сплачують членські внески</t>
  </si>
  <si>
    <t>Асоціація українських автомобілевиробників «УкрАвтопром»</t>
  </si>
  <si>
    <t>Асоціація українських банків</t>
  </si>
  <si>
    <t>Членами Асоціації можуть бути банки, об’єднання банків, інші підприємства, установи та організації, які створені відповідно до чинного законодавства України, визнають Статут Асоціації, сплачують вступні і членські внески</t>
  </si>
  <si>
    <t>Асоціація українських виробників "Морозиво і заморожені продукти"</t>
  </si>
  <si>
    <t>Асоціація українських експортерів та переробників меду</t>
  </si>
  <si>
    <t>Асоціація українських і арабських бізнесменів та інвесторів</t>
  </si>
  <si>
    <t>Асоціація українських імпортерів риби та морепродуктів</t>
  </si>
  <si>
    <t>Членом Асоціації може бути будь-який суб'єкт господарювання, юридична особа, яка створює і здійснює свою діяльність відповідно до законодавства України і згідно виконувати обов'язки, які покладаються установчими документами Асоціації та Положення про членство в Асоціації.</t>
  </si>
  <si>
    <t>Асоціація українських підприємств целюлозно-паперової галузі "Укрпапір"</t>
  </si>
  <si>
    <t>Членами Асоціації можуть бути українські та іноземні юридичні особи - целюлозно-паперові комбінати, паперові та картонні фабрики, підприємства-переробники паперу і картону, спеціалізовані машинобудівні і монтажні підприємства, організації і підприємства, що займаються заготівлею сировинних ресурсів та оптово-роздрібною торгівлею целюлозно-паперовою продукцією, наукові, проектні та науково-виробничі організації целюлозно-паперової промисловості, учбові заклади, що здійснюють підготовку кадрів для целюлозно-паперової промисловості, організації поліграфічної галузі та інші організації і підприємства, що мають відношення до целюлозно-паперової промисловості, які розділяють мету та завдання Асоціації, визнають положення установчих документів Асоціації, беруть участь в її діяльності та своєчасно сплачують вступні і членські внески.</t>
  </si>
  <si>
    <t>Асоціація учасників ринку бездротових мереж передачі даних "Wireless Ukraine"</t>
  </si>
  <si>
    <t>Громадяни україни, іноземні громадяни, особи без громадянства, які досягли 18 річного віку, можуть набути статус індивідуального членства Асоціації. Колективи юридичних осіб незалежно від форми власності можуть набути статус колективного членства Асоціації. Умовою прийняття в членство Асоціації є підтримка мети та статутних завдань діяльності Асоціації і виконання рішень органів управління Асоціації відповідно до цього Статуту.</t>
  </si>
  <si>
    <t>Асоціація фермерів Миколаївської області "Відродження"</t>
  </si>
  <si>
    <t>Членами Асоціації можуть бути фізичні особи та трудові колективи юридичних осіб будь-яких організаційно-правових форм власності, які проводять свою діяльність у сфері аграрно-промислового комплексу, підтримують мету і завдання Асоціації, визнають кодекс професійної етики та статут</t>
  </si>
  <si>
    <t>Асоціація фермерів та приватних землевласників України</t>
  </si>
  <si>
    <t>Членом Асоціації може бути кожен громадянин України, який досяг 18-річного віку, визнає даний Статут, веде фермерське чи особисте селянське господарство і сплачує членські внески.</t>
  </si>
  <si>
    <t>Асоціація фінансових інституцій (АФІ)</t>
  </si>
  <si>
    <t>Членом Асоціації може бути підприємство (юридична особа), яке проводить діяльність на ринку фінансових послуг України, внесене до Державного реєстру фінансових установ та має відповідні ліцензії у сфері надання фінансових послуг; згодне виконувати обов’язки, що покладає Статут Асоціації та внутрішні документи Асоціації з цих питань</t>
  </si>
  <si>
    <t>Асоціяція Міжнародних Автомобільних Перевізників України</t>
  </si>
  <si>
    <t>Учасниками Асоціації можуть бути суб’єкти господарювання всіх форм власності, а також, які мають зареєстровані на них транспортні засоби, ліцензію на надання послуг з міжнародних перевезень вантажів або пасажирів, визнають Статут Асоціації, сплачують членські внески та інші платежі відповідно до основних принципів діяльності та завдань Асоціації.</t>
  </si>
  <si>
    <t>Ассоціація "Всеукраїнське Об'єднання Крюінгових Компаній" (Асоціація ВОКК)</t>
  </si>
  <si>
    <t>Увійти до складу асоціації можуть юридичні особи, діяльність яких пов’язана з працевлаштуванням моряків для роботи на суднах під іноземним прапором. Членами асоціації «ВОКК» можуть бути компанії, що: мають відповідну ліцензію;&lt;br /&gt;
поділяють принципи і завдання ВОКК; визнають і виконують положення Статуту ВОКК, Кодексу професійної етики; відповідають вимогам, встановленим Статутом і внутрішніми документами ВОКК; своєчасно сплачують членські внески.</t>
  </si>
  <si>
    <t>Бізнес-асоціація "Ми-Херсонці"</t>
  </si>
  <si>
    <t>Членом організації може бути будь-яка фізична особа, яка: досягла 14 років; ознайомилась із її Статутом, поділяє мету і завдання організації і бажає своєю діяльністю сприяти їх досягненню та виконанню; зробила вступний внесок до організації</t>
  </si>
  <si>
    <t>м. Херсон, вул. Ярослава Мудрого, 12-14, офіс 16</t>
  </si>
  <si>
    <t>Бізнес-клуб "MoneyFest" (зареєстрований як громадська організація "Ділова Вінниця")</t>
  </si>
  <si>
    <t>MoneyFest club - спільнота активних ділових людей. Якщо ви є діючим підприємцем чи інвестором та ставите перед собою амбіційні цілі, то нам буде цікаво розвиватись разом!</t>
  </si>
  <si>
    <t>Бізнес-спільнота "Борд" | Business community Board</t>
  </si>
  <si>
    <t>Приєднатися до нас дуже просто: потрібно бути підприємцем, мати більше 2-х співробітників (для Києва більше 5-и), прийти на тестовий Board, щоб познайомитися особисто! Якщо ти: власник бізнесу з найманими працівниками, готовий ділитися досвідом, є бажання розвиватися та готовий разом з нами розвивати культуру сучасного бізнесу, реєструйся на Board-знайомство.</t>
  </si>
  <si>
    <t>Будівельна палата України</t>
  </si>
  <si>
    <t>Членами Палати є будівельні організації різних форм власності і виду діяльності, підприємства, що випускають і поставляють будівельні матеріали і вироби, проектні інститути, архітектурні майстерні, банківські установи, спеціалізовані вищі навчальні заклади, громадські організації, а також органи державної влади, що пов’язані з будівельним комплексом. Членами Палати можуть бути суб’єкти господарювання усіх форм власності, крім безпосередньо органів державної влади та органів місцевого самоврядування, основною сферою діяльності яких є будівництво та інша суміжна з будівництвом діяльність, які дотримуються вимог Статуту та інших документів Палати. Не допускається прийняття в члени Палати осіб, що є несумлінними учасниками ринку будівельних робіт та послуг.</t>
  </si>
  <si>
    <t>ВГО "Асоціація платників податків України"</t>
  </si>
  <si>
    <t>Індивідуальними членами Асоціації можуть бути фізичні особи (громадяни України, іноземні громадяни, особи без громадянства) на яких відповідно до чинного законодавства України покладено обов’язки по сплаті&lt;br /&gt;
податків та зборів (обов’язкових платежів), які поділяють мету та завдання Асоціації. Колективними членами Асоціації можуть бути міжнародні, всеукраїнські та місцеві громадські організації та інші юридичні особи, на яких відповідно до чинного законодавства України покладено обов'язки по сплаті податків та зборів (обов'язкових платежів), які поділяють мету та завдання Асоціації</t>
  </si>
  <si>
    <t>Вінницька торгово-промислова палата</t>
  </si>
  <si>
    <t>Члени Вінницької ТПП - юридичні особи різних форм власності, які створені і діють у відповідності із законодавством України, а також громадяни України, що зареєстровані як приватні підприємці</t>
  </si>
  <si>
    <t>Волинська торгово-промислова палата</t>
  </si>
  <si>
    <t>Членами Волинської ТПП можуть бути юридичні особи, котрі створені і діють у відповідності до чинного законодавства України, громадяни України, зареєстровані як підприємці, підприємства і їх об`єднання, господарські організації, комерційні банки, холдингові компанії, фондові біржі, позабіржові торгово-інформаційні системи, сільські господарства, споживчі товариства та їх союзи, інформаційні агентства, громадські організації, які створені і діють у відповідності до Законів України</t>
  </si>
  <si>
    <t>Всеукраїнська асоціація виробників автоклавного газобетону (ВААГ)</t>
  </si>
  <si>
    <t>Всеукраїнська асоціація виробників автоклавного газобетону України - це громадська організація, яка об'єднує найбільших виробників автоклавного газобетону з метою його популяризації.</t>
  </si>
  <si>
    <t>Всеукраїнська асоціація гастрономічного туризму</t>
  </si>
  <si>
    <t>Запрошуємо до своїх лав: гідів, туристичних операторів та агенції, державні та комунальні установи, які відповідають за туристичну галузь, профільні асоціації, а також: заклади громадського харчування, гостинні ферми, броварні, виноробства, виробників сиру та м’ясних смаколиків. Учасниками Спілки можуть бути будь-які юридичні особи приватного права, у тому числі громадські об’єднання зі статусом юридичної особи, та фізичні особи, які досягли 18 років.</t>
  </si>
  <si>
    <t>Всеукраїнська асоціація дистриб'юторів, виробників і продавців професійного звукового та світлового обладнання, музичних інструментів</t>
  </si>
  <si>
    <t>Всеукраїнська асоціація імпортерів овочів та фруктів</t>
  </si>
  <si>
    <t>Всеукраїнська асоціація імпортерів овочів та фруктів відкрита для співпраці з усіма підприємствами, організаціями та об’єднаннями, які працюють у сфері імпорту овочів та фруктів</t>
  </si>
  <si>
    <t>Всеукраїнська асоціація імпортерів та виробників стоматологічної продукції</t>
  </si>
  <si>
    <t>Всеукраїнська Асоціація Керівників Бізнесу (Ukrainian Association of Business Leaders - UABL)</t>
  </si>
  <si>
    <t>Громадська організація "Всеукраїнська асоціація керівників бізнесу" – це об’єднання керівників українських та іноземних компаній</t>
  </si>
  <si>
    <t>м. Львів, вул. Зелена, 109</t>
  </si>
  <si>
    <t>Всеукраїнська асоціація креативних культурних індустрій (ВАККІ)</t>
  </si>
  <si>
    <t>Членами Громадської організації можуть бути громадяни України, іноземці та особи без громадянства, які перебувають в Україні на законних підставах, які досягли 14 років і які визнають Статут Громадської організації та сприяють діяльності, що спрямована на досягнення мети і завдань Громадської організації.</t>
  </si>
  <si>
    <t>Всеукраїнська асоціація кредитних спілок (ВАКС)</t>
  </si>
  <si>
    <t>Членами ВАКС можуть бути кредитні спілки, інформація про які внесена до Державного реєстру фінансових установ. Членами Асоціації можуть бути кредитні спілки, які відповідають усім нижченаведеним умовам членства, а саме: зареєстровані у відповідності з чинним законодавством України; мають статус фінансової установи; здійснюють діяльність з надання фінансових послуг упродовж не менше одного року (для новостворених кредитних спілок); дотримуються фінансових нормативів діяльності, встановлених законодавством; визнають мету діяльності Асоціації, додержуються Статуту та внутрішніх положень Асоціації; своєчасно та в повному обсязі внесли вступний внесок; сплачують відповідно до Статуту та внутрішніх положень Асоціації членські та інші обов'язкові внески.</t>
  </si>
  <si>
    <t>Всеукраїнська асоціація операторів кабельного телебачення і телеінформаційних мереж</t>
  </si>
  <si>
    <t>Всеукраїнська асоціація пекарів (ВАП)</t>
  </si>
  <si>
    <t>Всеукраїнська асоціація сільськогосподарських підприємств</t>
  </si>
  <si>
    <t>Членами Асоціації можуть бути сільськогосподарські підприємства та інші суб’єкти господарювання, діяльність яких пов’язана з виробництвом, випуском, переробкою сільськогосподарської продукції, сировини та техніки, якщо вони визнають Статут Асоціації, а також своєчасно і в повному обсязі сплачують вступний і членські внески</t>
  </si>
  <si>
    <t>Всеукраїнська асоціація фінансових компаній (ВАФК)</t>
  </si>
  <si>
    <t>Учасниками Асоціації «ВАФК» можуть бути українські та іноземні юридичні особи, незалежно від організаційно-правових форм і форм власності, що займаються діяльністю з надання фінансових послуг, здійснюють посередницьку або суміжну діяльність або мають намір займатись такими видами діяльності</t>
  </si>
  <si>
    <t>Всеукраїнська громадська організація "Всеукраїнська рекламна коаліція"</t>
  </si>
  <si>
    <t>Членами Всеукраїнської рекламної коаліції можуть бути юридичні та фізичні особи, які є: суб'єктами, що ведуть свою основну діяльність в галузі ЗМІ, виробництва та розповсюдження реклами, маркетингу або союзами, об'єднуючими подібні суб'єкти; замовниками реклами (рекламодавці), які займають значне місце на ринку реклами або союзами, об'єднуючими таких рекламодавців; організаціями, метою яких є захист прав споживачів, розвиток підприємництва; громадянами, які користуються широкою популярністю і високим авторитетом завдяки своїй громадській або творчої діяльності у зазначених вище сферах</t>
  </si>
  <si>
    <t>Всеукраїнська громадська організація "Союз захисту підприємництва"</t>
  </si>
  <si>
    <t>Індивідуальними членами Союзу можуть бути особи віком від 18 років, громадяни України, іноземні громадяни або особи без громадянства, інші особи , які поділяють мету та завдання Союзу, беруть участь у діяльності Союзу. Колективними членами можуть бути інші об'єднання громадян, благодійні організації, трудові колективи підприємств, установ, організацій, які визнають Статут Союзу, сприяють її досягненням</t>
  </si>
  <si>
    <t>Всеукраїнська громадська організація "Українська асоціація вапняної промисловості"</t>
  </si>
  <si>
    <t>Членство в Асоціації може бути індивідуальним та колективним. Індивідуальними членами Асоціації можуть бути громадяни України, іноземні громадяни, особи без громадянства, яким виповнилося 18 років, які мають досвід роботи у галузі вапняної промисловості, викладацької чи дослідницької роботи, а також в інших видах діяльності, пов'язаних з галуззю вапняної промисловості чи мають відповідну освіту, визнають та виконують вимоги Статуту Асоціації, сплачують вступні та членські внески. Колективними членами можуть бути юридичні особи різних форм власності, трудові колективи підприємств, організацій, установ, які сприяють діяльності Асоціації, визнають вимоги Статуту та сплачують вступні та членські внески.</t>
  </si>
  <si>
    <t>Всеукраїнська громадська організація "Українська горіхова асоціація"</t>
  </si>
  <si>
    <t>Всеукраїнська громадська організація "Український союз пожежної та техногенної безпеки" (УСПТБ)</t>
  </si>
  <si>
    <t>У діяльності Союзу можуть брати участь як індивідуальні, так і колективні члени. Індивідуальним членом Союзу може бути громадянин України. Колективним членом Союзу можуть бути трудові колективи підприємств, установ, організацій, їх об’єднань, асоціацій, а також громадські організації, які поділяють принципи й мету Союзу, визнають й виконують Статут.</t>
  </si>
  <si>
    <t>Всеукраїнська громадська організація "Фумігаційна асоціація"</t>
  </si>
  <si>
    <t>Членами Асоціації можуть бути юридичні особи та фізичні особи-підприємці, які добровільно виявили бажання вступити до Асоціації та зацікавлені в досягненні її статутних цілей, поділяють принципи та завдання Асоціації, визнають та виконують положення Статуту Асоціації, відповідають вимогам і прийняті до Асоціації в порядку, встановленому Статутом та внутрішніми документами Асоціації, беруть активну участь у її діяльності через своїх представників, а також грошовими і майновими внесками й пожертвуваннями здійснюють фінансування програм і заходів Асоціації, сплачують вступні та членські внески.</t>
  </si>
  <si>
    <t>Всеукраїнська громадська організація Реміснича палата України</t>
  </si>
  <si>
    <t>Реміснича палата включає мікро, малі та середні підприємства (ММСП)</t>
  </si>
  <si>
    <t>Всеукраїнська дорожня асоціація</t>
  </si>
  <si>
    <t>Асоціація об’єднує підприємства усіх сфер діяльності в дорожній галузі. Наші члени - підприємства усіх рівнів: великі, середні та маленькі з усіх регіонів України. Ви можете стати частиною асоціації, якщо: поділяєте принципи, місію та стратегію Асоціації; маєте бездоганну ділову репутацію; ведете бізнес за високими етичними стандартами; впроваджуєте інновації у своєму бізнесі.</t>
  </si>
  <si>
    <t>Всеукраїнська молодіжна громадська організація "Асоціація молодих підприємців України" (АМПУ)</t>
  </si>
  <si>
    <t>ВМГО "АМПУ" об’єднує молодих людей – волонтерів віком від 14 до 35 років</t>
  </si>
  <si>
    <t>Всеукраїнське громадське об'єднання Українська аграрна конфедерація (ВГО "УАК")</t>
  </si>
  <si>
    <t>Членами (учасниками) УАК можуть бути юридичні особи приватного права, у тому числі громадські об'єднання зі статусом юридичної особи, фізичні особи, які досягли 18 років та не визнані судом недієздатними</t>
  </si>
  <si>
    <t>Всеукраїнське об'єднання малого та середнього бізнесу Фортеця</t>
  </si>
  <si>
    <t>Стати членом Фортеці може підприємець, підприємство або підприємницьке об'єднання, які розділяють статутні завдання організації і готові виконувати обов’язки та мати права, передбачені Статутом Фортеці</t>
  </si>
  <si>
    <t>Всеукраїнське об’єднання організацій роботодавців транспорту "Федерація роботодавців транспорту України"</t>
  </si>
  <si>
    <t>Членами Федерації можуть бути організації роботодавців, їх об’єднання, які діють відповідно до Закону України «Про організації роботодавців, їх об’єднання, права і гарантії їх діяльності». Асоційованими членами можуть бути суб’єкти господарюванн,я діяльність яких розповсюджується більш ніж на половину адміністративно-територіальних одиниць України, які мають права і обов’язки рівні з членами Федерації.</t>
  </si>
  <si>
    <t>ГО "Антикорупційний підприємницький фронт"</t>
  </si>
  <si>
    <t>ГО "Асоціація учасників та інвалідів АТО"</t>
  </si>
  <si>
    <t>Членами Організації можуть бути учасники бойових дій, інваліди війни та інші громадяни України та особи без громадянства, які перебувають, чи перебували в зоні проведення антитерористичної операції у складі Збройних сил України, Міністерства внутрішніх справ, Державної прикордонної служби, Державної служби з надзвичайних ситуацій, Служби безпеки України, добровольчих батальйонів або як волонтери. За згодою Правління до Організації можуть бути прийняті особи (асоційовані члени – без права голосу), які не перебували в зоні проведення антитерористичної операції.</t>
  </si>
  <si>
    <t>ГО "Вінницький клуб ділових людей"</t>
  </si>
  <si>
    <t>Вимоги до учасників Клубу: гарна ділова репутація, дотримання етичного кодексу, сплата щорічного членського внеску, бажання розвивати власний бізнес</t>
  </si>
  <si>
    <t>ГО "Всеукраїнська Рада Жінок - Фермерів"</t>
  </si>
  <si>
    <t>ГО "Маріупольський айті кластер" (Маріупольський IT кластер)</t>
  </si>
  <si>
    <t>ГО "Спілка бджолярів Шосткинщини"</t>
  </si>
  <si>
    <t>Індивідуальними членами Спілки можуть бути громадяни України, які досягли 14 років і бажають займатися бджільництвом та підтримують її Статут.</t>
  </si>
  <si>
    <t>ГО "Українська асоціація виробників біоетанолу" (Укрбіоетанол)</t>
  </si>
  <si>
    <t>ГО "Центр ініціатив підприємців м. Торецьк"</t>
  </si>
  <si>
    <t>ГО “Вінницька обласна організація “Cпілка підприємців ”Стіна”</t>
  </si>
  <si>
    <t>Членом Організації можуть бути громадяни України, іноземці та особи без громадянства, які перебувають в Україні на законних підставах, досягли 18 років та активно сприяють виконанню статутних завдань Організації</t>
  </si>
  <si>
    <t>м. Вінниця, вул. Театральна, 14, оф. 204, 205</t>
  </si>
  <si>
    <t>ГО «Спілка сприяння розвитку сільського зеленого туризму в Україні»</t>
  </si>
  <si>
    <t>Членами Організації можуть бути громадяни України, іноземці і особи без громадсянства, які досягли 18-річного віку і сприяють виконанню статутних завдань Організації.</t>
  </si>
  <si>
    <t>ГО Аграрний союз України</t>
  </si>
  <si>
    <t>Членами Спілки можуть бути юридичні особи приватного права (підприємства, усптанови, організації, засновані на приватній власності фізичних осіб та/або юридичних осіб, у тому числі громадські об'єднання зі статусом юридичної особи), які створені відповідно до чинного законодавства України або інших держав, та фізичні особи - громадяни України, які досягли 18-річного віку та не визнані судом недієздатними</t>
  </si>
  <si>
    <t>ГО Aсоціація працівників туристичної сфери «Туристична Буковина»</t>
  </si>
  <si>
    <t>Асоціація об’єднує підприємства та приватних підприємців туристичної та суміжних до неї галузей.</t>
  </si>
  <si>
    <t>Громадська оганізація "Ресторанна гільдія" (ГО "Ресто-гільдія")</t>
  </si>
  <si>
    <t>Громадська організація ''Вест юкрейніан бізнес клаб'' | West Ukrainian Business Club</t>
  </si>
  <si>
    <t>Учасники клубу - це власники та перші особи бізнесу, що займають передові позиції в різних галузях бізнесу України; персони, які мають хорошу ділову репутацію у бізнес-колах. Вони і їхні компанії не стоять на місті та завжди вдосконалюються. Критерії членства: власник або перше лице компанії; схожість за життєвими цінностями; хороша ділова репутація; мінімальний оборот компанії 30 млн. грн. на рік; досвід управління від 5 років; довіра до клубу; бажання розвивати клуб, залучаючи нових членів.</t>
  </si>
  <si>
    <t>Громадська організація "Антирейдерський союз підприємців України"</t>
  </si>
  <si>
    <t>Громадська організація "Асоціація ветеранів-підприємців" (Association of Veterans-Entrepreneurs - AVE)</t>
  </si>
  <si>
    <t>Громадська організація "Асоціація виробників продукції бджільництва "Буковинський Бджоляр"</t>
  </si>
  <si>
    <t>Членами Асоціації можуть бути громадяни України, а також іноземці та особи без громадянства, які перебувають на території України на законних підставах. Членами Асоціації можуть бути громадяни України, які досягли 14 років</t>
  </si>
  <si>
    <t>Громадська організація "Асоціація готельєрів та власників садиб Яремчанщини"</t>
  </si>
  <si>
    <t>Івано-Франківська обл., Яремчанський р/н, с. Татарів, вул. Піги, 660</t>
  </si>
  <si>
    <t>Громадська організація "Асоціація індійських фармацевтичних виробників"</t>
  </si>
  <si>
    <t>Критерії для членства: акредитований офіс представництва в Україні, міжнародна акредитація виробничого обладнання cGMP / USFDA / MHRA / UkrGMP, ексклюзивне представлення індійського виробника в Україні за вищезазначеними критеріями або існування в Україні понад 7 років з оборотом більше 5 млн. доларів, експорт більш ніж в 30 країн</t>
  </si>
  <si>
    <t>Громадська організація "Асоціація козівників України"</t>
  </si>
  <si>
    <t>Громадська організація "Асоціація підприємців-ветеранів АТО" (АПВА)</t>
  </si>
  <si>
    <t>Громадська організація "Асоціація роботодавців у галузі франчайзингу"</t>
  </si>
  <si>
    <t>Громадська організація "Асоціація учасників валютного ринку"</t>
  </si>
  <si>
    <t>Громадська організація "Бізнес клуб Інлідер"</t>
  </si>
  <si>
    <t>Громадська організація "Бізнес-союз Порада"</t>
  </si>
  <si>
    <t>Умови вступу в Бізнес-Союз: суворо дотримуватися цінності Організації, бути готовим відстоювати свої громадянські права в складі Організації, оплачувати членські внески</t>
  </si>
  <si>
    <t>м. Запоріжжя, пр. Соборний, 179, кв.35</t>
  </si>
  <si>
    <t>Громадська організація "Взаємодія-Плюс"</t>
  </si>
  <si>
    <t>Членами Організації можуть бути громадяни України, іноземці та особи без&lt;br /&gt;
громадянства, які перебувають в Україні на законних підставах, досягли 18-&lt;br /&gt;
річного віку, активно сприяють виконанню статутних завдань Організації,&lt;br /&gt;
виявили бажання бути членом Організації. Обо'язковою умовою для приєднання до Інформаційних членів є згода на дотримання угоди про доброчесне підприємництво</t>
  </si>
  <si>
    <t>Громадська організація "Виробники амаранту та амарантової продукції"</t>
  </si>
  <si>
    <t>Членство в Організації є індивідуальним. Індивідуальними членами Організації можуть бути громадяни України, іноземці та особи без громадянства, що на законних підставах перебувають та території України, та досягли 18 років та не визнані судом недієздатними, які визнають принципи, мету, завдання та Статут Організації, сплачують вступні та членські внески та отримали статус члена Організації у порядку, визначеному Статутом.</t>
  </si>
  <si>
    <t>Громадська організація "Відкрита асоціація готельєрів та рестораторів Кам'янця-Подільського"</t>
  </si>
  <si>
    <t>Громадська організація "Вірменський бізнес клуб"</t>
  </si>
  <si>
    <t>Членами Організації можуть бути фізичні особи, які досягли 18 років та не визнані судом недієздатними, які згодні виконувати обов'язки, що на них покладає Статут Організації, і за умови сплати вступного (членського внеску). Вступити в клуб можна за наявності рекомендації від його учасників.</t>
  </si>
  <si>
    <t>Громадська організація "Всеукраїнська професійна асоціація підприємців" (ГО "ВПАП")</t>
  </si>
  <si>
    <t>Громадська організація "Всеукраїнське Об'єднання громадських організацій Спілка пасічників України"</t>
  </si>
  <si>
    <t>Членами Спілки можуть бути: громадські об’єднання пасічників, зареєстровані відповідно до закону; підприємства та організації, діяльність яких пов’язана з бджільництвом; фізичні особи – пасічники (індивідуальні члени), у випадку вiдсутностi у адмiнiстративних одиницях зареєстрованих громадських об’єднань пасiчникiв.</t>
  </si>
  <si>
    <t>Громадська організація "Жіноча Професійна Ліга" (ініціатива Жіноча підприємницька та інтелектуальна спільнота)</t>
  </si>
  <si>
    <t>Членкинями (Лігіонерками) можуть бути жінки, як українки, так громадянки інших держав, котрі підтримують цілі організації, та є професіоналами в одній із зазначених сфер (бізнес, наука і освіта, політика/держслужба, мас-медіа). Радник(ця) Ліги (чоловіки або жінки) – це сучасно професійні освічені чоловіки та жінки, вищі професіонали, які на громадських засадах будуть надавати Лізі допомогу у різних сферах її діяльності, підтримують мету діяльності Ліги, її заходи та сплачують щорічні членські внески.</t>
  </si>
  <si>
    <t>Громадська організація "Запорізька обласна туристична асоціація" (ЗОТА)</t>
  </si>
  <si>
    <t>Членство в Громадській організації «ЗОТА» є індивідуальним та колективним. Індивідуальними членами Громадської організації «ЗОТА» можуть бути фізичні&lt;br /&gt;
особи, які своєю діяльністю впливають на функціонування туристичної сфери. Колективними членами Громадської організації «ЗОТА» можуть бути колективи юридичних осіб - суб’єктів туристичної діяльності та громадські організації.</t>
  </si>
  <si>
    <t>Громадська організація "Індустріальний телевізійний комітет" (ІТК)</t>
  </si>
  <si>
    <t>Членом ІТК може стати будь-який суб'єкт господарювання, юридична особа, яка здійснює свою діяльність у сфері телебачення (має відповідні ліцензії на мовлення, якщо це передбачено чинним законодавством України) та/або реклами, а також юридичні особи, які замовляють рекламні послуги у значних обсягах, відповідно до законодавства України, та згодні виконувати обов'язки, що на неї покладає Статут та інші документи Асоціації</t>
  </si>
  <si>
    <t>Громадська організація "Київ IT кластер"</t>
  </si>
  <si>
    <t>Київ ІТ Кластер об'єднує в собі наступні типи компаній: ІТ компанії будь-якої спрямованості (сервісні, стартапи, продуктові і т.д.), суміжні компанії, бізнес яких обслуговує потреби ІТ Компаній, представників владних структур, представників освіти і наукових інститутів</t>
  </si>
  <si>
    <t>Громадська організація "Клуб ділових жінок МЛТ"</t>
  </si>
  <si>
    <t>Громадська організація "Конотопський інформаційно-технологічний кластер" (Konotop IT-Cluster)</t>
  </si>
  <si>
    <t>Пільговий період участі у ІТ кластері триває протягом півроку. Учасники об’єднання можуть пропонувати доповнення до правил вступу до Конотопського ІТ кластеру.</t>
  </si>
  <si>
    <t>Громадська організація "Львівський туристичний альянс"</t>
  </si>
  <si>
    <t>Громадська організація "Міжнародна амбасада жінок-підприємниць"</t>
  </si>
  <si>
    <t>Звичайним членом Організації може бути фізична особа, яка: погоджується з положеннями Статуту Організації та зобов’язується їх виконувати; подасть письмову заяву до Правління організації. Допоміжним Членом Організації може бути юридична особа, яка надає фінансову, матеріальну або іншу суттєву допомогу в реалізації цілей Організації. Почесним Членом Організації може бути фізична або юридична особа, яка зробила видатний внесок в діяльність і розвиток Організації. Амбасадорка: має власний бізнес, дотримується високих стандартів його ведення та етичної ділової поведінки; володіє лідерськими якостями та готова допомагати іншим, надихати їх та ділитися своїми знаннями та досвідом; бере активну участь у навчанні ділових жінок у якості експерта, виступає ментором для інших членів Амбасади.</t>
  </si>
  <si>
    <t>Громадська організація "Одеський діловий клуб" | Odessa Business Club</t>
  </si>
  <si>
    <t>Odessa Business Club - це закритий клуб власників і перших осіб середнього і великого бізнесу півдня України</t>
  </si>
  <si>
    <t>Громадська організація "Підприємницький клуб"</t>
  </si>
  <si>
    <t>Громадська організація "Підприємці Полтавщини"</t>
  </si>
  <si>
    <t>Громадська організація "Проскурів бізнес клуб" | Proskuriv Business Club</t>
  </si>
  <si>
    <t>Вимоги до учасників: статус підприємця, позитивна ділова репутація, спільні цінності, готовність до активної участі. Вимоги до кандидатів на вступу до Спільноти: кандидатами в учасники Спільноти можуть бути особи, у яких є розуміння, що таке бізнес, які активно займаються бізнесом, або мають в цьому досвід; діячі культури і мистецтва, які активно змінюють світ на краще; кандидат має можливість два рази відвідати відкриту зустріч спільноти до прийняття рішення про вступ.</t>
  </si>
  <si>
    <t>Громадська організація "Союз підприємців поляків України" (Związek Przedsiębiorców Polaków Ukrainy)</t>
  </si>
  <si>
    <t>Громадська організація "Співтовариство працівників сфери інформаційних та комунікаційних технологій Запоріжжя Айсіті кластер Запоріжжя" (ГО "Айсіті кластер Запоріжжя")</t>
  </si>
  <si>
    <t>Громадська організація "Спілка орендарів і підприємців України" (ГО "СОПУ")</t>
  </si>
  <si>
    <t>Колективними членами Спілки можуть бути громадські організації, які об’єднують роботодавців, власників і підприємців, орендарів та фермерів. Індивідуальними членами Спілки можуть бути фізичні особи – громадяни України, іноземці та особи без громадянства, які перебувають в Україні на законних підставах, які досягли 18 років, фізичні особи, які ведуть підприємницьку діяльність, та/або створюють робочі місця (роботодавці, власники, самозайняті підприємці, орендарі землі, рухомого чи нерухомого майна, фермери) та їх об’єднання</t>
  </si>
  <si>
    <t>Громадська організація "Спілка професіоналів України в індустрії краси"</t>
  </si>
  <si>
    <t>Членами Спілки можуть бути громадяни України, іноземці та особи без громадянства, які перебувають в Україні на законних підставах, які досягли 14 роківі які визнають Статут Спілки та сприяють діяльності, що спрямована на досягнення мети і завдань Спілки</t>
  </si>
  <si>
    <t>Громадська організація "Тернопільський ІТ кластер" (Ternopil IT Cluster)</t>
  </si>
  <si>
    <t>Громадська організація "Українська асоціація маркетингу" (ГО "УАМ")</t>
  </si>
  <si>
    <t>ГО "УАМ" має колективних та індивідуальних членів. Колективними членами УАМ стають компанії, які у своїй діяльності дотримуються Стандартів якості маркетингових досліджень УАМ-СОУ 91.12.0-21708654-001-2002, Керівництв та Директив ESOMAR а також при вступі отримали 2 рекомендації від членів ВГО "УАМ". Індивідуальні члени - це фахівці, які працюють у сфері маркетингу, реклами, PR, а також провідні викладачі маркетингу України</t>
  </si>
  <si>
    <t>Громадська організація "Український фешен кластер" | Ukrainian Fashion Cluster</t>
  </si>
  <si>
    <t>Ukrainian Fashion Cluster - об'єднання людей, пов'язаних з фешн індустрією України - дизайнерів, брендів, стилістів, фотографів, постачальників, шоурумів і т. д.</t>
  </si>
  <si>
    <t>Громадська організація "Унгвар бізнес партнер груп" | Ungvar Business Partner Group - UBPG</t>
  </si>
  <si>
    <t>UBPG - перший найбільший закарпатський бізнес-клуб для малого та середнього бізнесу</t>
  </si>
  <si>
    <t>Громадська організація "Харківський кластер легкої промисловості та дизайну" (Kharkiv Fashion Cluster)</t>
  </si>
  <si>
    <t>Громадська організація "Хмельницький IT-кластер"</t>
  </si>
  <si>
    <t>Громадська організація "Янг бізнес клаб" (Young Business Club)</t>
  </si>
  <si>
    <t>Стати членом Young Business Club можна, якщо: Ви власник офіційно оформленого бізнесу, який існує більше 2 років; Ваш вік - до 45 років (включно); оборот вашої компанії - від 100 000 дол. США на рік; Ви поділяєте цінності Клубу: довіра, спільнодія, розвиток.</t>
  </si>
  <si>
    <t>Громадська організація "CEO Клаб" | CEO Club</t>
  </si>
  <si>
    <t>Критерії членства CEO Club Ukraine: позитивна ділова репутація і наявність рекомендацій, статус першої особи компанії з річним оборотом від $ 10 мільйонів, поділяння цінностей клубу, відповідність стратегії диверсифікації</t>
  </si>
  <si>
    <t>Громадська організація «Клуб Ділових Людей Україна»</t>
  </si>
  <si>
    <t>Повноправними Членами ГО можуть бути будь-які фізичні особи, що досягли 16 років, які поділяють мету і завдання ГО, визнають та виконують положення Статуту, прийняті до ГО в порядку, встановленому Статутом та внутрішніми документами ГО</t>
  </si>
  <si>
    <t>м. Львів, вул. Перфецького, 11</t>
  </si>
  <si>
    <t>Громадська організація «Українська Платформа «Жінки в Бізнесі»</t>
  </si>
  <si>
    <t>Громадська організація Клуб підприємців Донбасу</t>
  </si>
  <si>
    <t>Громадська організація Комітет підприємців міста Івано-Франківська</t>
  </si>
  <si>
    <t>Членами ГО "Комітет підприємців міста Івано-Франківська" можуть бути фізичні особи громадяни України, котрі досягли 18 років, поділяють мету ГО "Комітет підприємців міста Івано-Франківська", визнають положення Статуту, Кодексу Честі та інших регламентуючих документів ГО "Комітет підприємців міста Івано-Франківська", сплачують членські внески та беруть особисту участь в роботі ГО "Комітет підприємців міста Івано-Франківська"</t>
  </si>
  <si>
    <t>Громадська організація Міжнародна бізнес-асоціація Турксід (Turksid Uluslararası İş İnsanları Derneği)</t>
  </si>
  <si>
    <t>Асоціація об'єднує кримськотатарських підприємців з Туреччини, України, Румунії, Кіпру та Східної Європи. Кожна особа, яка є дієздатною, приймає цілі та принципи Асоціації, готова працювати в цьому напрямку та відповідає умовам, передбаченим законодавством, має право стати членом Асоціації. Однак іноземні фізичні особи також повинні мати право поселитися в Туреччині, щоб стати членом Асоціації. Юридична особа також повинна мати головний офіс або філію в Туреччині.</t>
  </si>
  <si>
    <t>Громадська організація МрійДій (DreamAction)</t>
  </si>
  <si>
    <t>Потрібна рекомендація від діючого учасника</t>
  </si>
  <si>
    <t>Громадська організація Рада підприємців Одеси</t>
  </si>
  <si>
    <t>Громадська організація Спілка підприємців, орендарів та власників Сумської області</t>
  </si>
  <si>
    <t>м. Суми, вул. Римського Корсакова, 8, кв. 6</t>
  </si>
  <si>
    <t>Громадська організація IT кластер Чернівці IT Ком'юніті (IT Cluster “Chernivtsi IT community”)</t>
  </si>
  <si>
    <t>Членами Організації можуть бути фізичні особи (іноземці, особи без громадянства або громадяни України), які досягли 14-річного віку. Для того, щоб стати членом Організації, особа має відповідати наступним вимогам: мати добру репутацію; здійснювати законну діяльність; мати досвід роботи у сфері інформаційних технологій та суміжних з нею.</t>
  </si>
  <si>
    <t>Громадська спілка "Агро-продовольча рада" (Agro-Food Council)</t>
  </si>
  <si>
    <t>Агро-продовольча рада - це об’єднання організацій та провідних фахівців аграрного сектору України задля захисту інтересів агро-продовольчої галузі на регіональному, національному та міжнарожному рівні</t>
  </si>
  <si>
    <t>Громадська спілка "Агрофудкластер Харків"</t>
  </si>
  <si>
    <t>Членами кластеру можуть бути агровиробники і переробники, а також сервісні компанії, що зареєстровані і працюють на території Харківської області</t>
  </si>
  <si>
    <t>Громадська спілка "Айті Фемілі Одеса" | Odesa IT Family</t>
  </si>
  <si>
    <t>Приєднатися до Odesa IT Family можуть IT-компанії та будь-які інші організації з суміжних сфер (бізнес, освіта тощо), які поділяють наші цінності та дивляться з нами в одному напрямку.</t>
  </si>
  <si>
    <t>Громадська спілка "Асоціація будівельників "Будіндустрія"</t>
  </si>
  <si>
    <t>Громадська спілка "Асоціація в'їзних туроператорів України"</t>
  </si>
  <si>
    <t>Критерії вступу до асоціації: реєстрація підприємства більше 1 року</t>
  </si>
  <si>
    <t>наявність туроператорської ліцензії та діючої банківської гарантії</t>
  </si>
  <si>
    <t>Громадська спілка "Асоціація виробників мелітопольської черешні"</t>
  </si>
  <si>
    <t>м. Мелітополь, проспект Хмельницького, 18, к. 5.315</t>
  </si>
  <si>
    <t>Дарахів</t>
  </si>
  <si>
    <t>Громадська спілка "Асоціація виробників традиційних карпатських високогірних сирів"</t>
  </si>
  <si>
    <t>Громадська спілка "Асоціація виробників України" (також відома як Українська асоціація виробників електротехніки)</t>
  </si>
  <si>
    <t>Учасником Асоціації може бути будь-яка юридична або фізична особа, яка поділяє мету та завдання Асоціації, визнає та забов’язується виконувати положення Статуту Асоціації.</t>
  </si>
  <si>
    <t>Громадська спілка "Асоціація власників малого та середнього бізнесу"</t>
  </si>
  <si>
    <t>Членами Асоціації можуть бути громадяни України, іноземні громадяни, особи без громадянства, які досягли 18 років, зацікавлені в досягненні статутних цілей Асоціації, та юридичні особи приватного права, зареєстровані відповідно до законодавства України, які через своїх керівників або уповноважених представників добровільно виявили бажання вступити до Асоціації, підтримують її статутні завдання</t>
  </si>
  <si>
    <t>Громадська спілка "Асоціація гостинності Черкащини"</t>
  </si>
  <si>
    <t>Громадська спілка "Асоціація ділового туризму України"</t>
  </si>
  <si>
    <t>Членами (учасниками) Спілки можуть бути юридичні особи приватного права, які підтримують мету (цілі) Спілки, визнають її Статут та прийняті до складу членів (учасників) Спілки у порядку, визначеному Статутом. Асоційованими членами (учасниками) Спілки можуть бути дієздатні фізичні особи, які досягли 18 років, які підтримують мету (цілі) Спілки, визнають її Статут та прийняті до складу асоційованих членів (учасників) Спілки у порядку, визначеному Статутом.</t>
  </si>
  <si>
    <t>Громадська спілка "Асоціація з інтеграції НАССР"</t>
  </si>
  <si>
    <t>Членами Асоціації можуть бути фізичні та юридичні особи</t>
  </si>
  <si>
    <t>Громадська спілка "Асоціація індустрії гостинності України"</t>
  </si>
  <si>
    <t>Громадська спілка "Асоціація креативних індустрій України" (Creative Industries Assotiation of Ukraine - CIA Ukraine)</t>
  </si>
  <si>
    <t>Членами Спілки можуть бути юридичні особи приватного права та громадяни України, іноземці та особи без громадянства, які перебувають в Україні на законних підставах, які досягли 18 років і які визнають Статут Спілки та сприяють діяльності, що спрямована на досягнення мети і завдань Спілки</t>
  </si>
  <si>
    <t>Громадська спілка "Асоціація менеджерів та управителів житловою нерухомістю"</t>
  </si>
  <si>
    <t>Члени Асоціації – це приватні управляючі компанії, фізичні особи-підприємці у сфері управління житлом, голови правлінь ОСББ.</t>
  </si>
  <si>
    <t>Громадська спілка "Асоціація морських агентств України"</t>
  </si>
  <si>
    <t>Членами Асоціації можуть бути резиденти або нерезиденти України, а саме: юридичні особи, фізичні особи, фізичні особи-підприємці, що здійснюють діяльність у сфері морського агентування або торговельного мореплавства, які об’єднані спільністю інтересів, сплатили встановлені внески та занесені до Реєстру Членів Асоціації, схвалюють та підтримують мету і предмет діяльності Асоціації</t>
  </si>
  <si>
    <t>Громадська спілка "Асоціація операторів зовнішньої реклами України"</t>
  </si>
  <si>
    <t>В Асоціації передбачається членство юридичних осіб приватного прва, а також фізичних осіб, що здійснюється на добровільних засадах. Вимоги до членів-юридичних осіб приватного права: засновниками юридичної особи не можуть бути органи державної влади, органи місцевого самоврядування, комунальні та/або державні підприємства; юридична особа має бути зареєстрована у встановленому законом порядку; має бути компанією у галузі зовнішньої реклами, тобто бути розповсюджувачем, замовником або іншим учасником відносин у сфері зовнішньої реклами; має поділяи принципи діяльності Асоціації, вести бізнес прозоро і чесно, не застосовувати у своїй діяльності корупційні схеми; не повинна публічно підтримувати позицію, відмінну від позиції Асоціації, стосовно будь-ких питань у галузі зовнішньої реклами; повина сприяти діяльності Асоціації, брати практичну участь в реалізації проектів та програм; має визнавати і виконувати статутні документи Асоціації, розділяти її цілі і завдання. Фізичними особами-членами Асоціації можуть бути громадяни України та іноземні громадяни, які досягли 18 років, визнають і виконують статутні документи Асоціації, розділяють її цілі і завдання, сприяють діяльності, беруть участь у реалізації проектів і програм</t>
  </si>
  <si>
    <t>Громадська спілка "Асоціація рекламних продакшенів України"</t>
  </si>
  <si>
    <t>Що об'єднує наших членів: лідери у сфері відеопродакшену, міжнародне партнерство, великий досвід, хороша репутація, відмінний сервіс, кваліфікований персонал</t>
  </si>
  <si>
    <t>Громадська Спілка "Асоціація Рибопромислових Підприємств України"</t>
  </si>
  <si>
    <t>Громадська спілка "Асоціація садівників, виноградарів та виноробів України" (ГС "Укрсадвинпром")</t>
  </si>
  <si>
    <t>Громадська Спілка "Укрсадвинпром" об'єднує виробників фруктів, ягід, горіхів та винограду, підприємства, що здійснюють переробку фруктів та ягід, виробництво вина, а також наукові установи для впровадження нових наукових підходів у виробництво</t>
  </si>
  <si>
    <t>Громадська спілка "Асоціація сонячної енергетики України"</t>
  </si>
  <si>
    <t>В Асоціацію сонячної енергетики України входять інвестори промислових сонячних електростанцій, компанії-проектувальники, ЕРС-підрядники та забудовники сонячних електростанцій, сервісні компанії СЕС, виробники обладнання для сонячних електростанцій, дистриб’ютори та інсталятори невеликих СЕС, спеціалізовані на енергетиці юридичні та консалтингові компанії, страхові і транспортні підприємства, компанії, що займаються утилізацією сонячних панелей, а також власники домашніх сонячних станцій</t>
  </si>
  <si>
    <t>Громадська спілка "Асоціація українських виробників лакофарбової промисловості" (ГС "АУВЛП")</t>
  </si>
  <si>
    <t>Членом Асоціації можуть бути будь-які суб'єкти господарювання, які діють у сфері виробництва та обігу лакофарбової продукції, обладнання, сировини, матеріалів і послуг для виробництва цієї продукції, та які створюють і здійснюють свою діяльність відповідно до законодавства України та згодні виконувати обов'язки, що на неї покладає Статут Асоціації</t>
  </si>
  <si>
    <t>Громадська спілка "Асоціація Чорнобильських туроператорів"</t>
  </si>
  <si>
    <t>Членами (учасниками) громадської спілки можуть бути юридичні особи приватного права, у тому числі громадські об'єднання зі статусом юридичної особи, фізичні особи, які досягли 18 років та не визнані судом недієздатними. Учасниками Асоціації чорнобильських туроператорів можуть бути: юридичні та фізичні особи, або громадські об’єднання, що працюють в індустрії туризму, ресторани, готелі та інші місця розміщення та харчування; транспортні компанії, які забезпечують туристичні потоки, туристичні асоціації, туристичні клуби, бюро та інші.</t>
  </si>
  <si>
    <t>Громадська спілка "Бізнес 100"</t>
  </si>
  <si>
    <t>Приєднуйтесь, якщо ви: власник української компанії, ведете свій бізнес прозоро, берете участь у соціальних проектах. Потрібно отримати 2 рекомендації від членів спільноти.</t>
  </si>
  <si>
    <t>Громадська спілка "Бізнес хелп"</t>
  </si>
  <si>
    <t>Громадська спілка "Біоенергетична асоціація України"</t>
  </si>
  <si>
    <t>Учасниками (членами) Асоціації є юридичні особи приватного права, у тому числі громадські об'єднання зі статусом юридичної особи, а також фізичні особи - дієздатні громадяни України, іноземці та особи без громадянства, які перебувають на території України на законних підставах, досягли 18 років, підтримують мету (цілі) діяльності Асоціації, визнають та виконують її Статут, здійснюють діяльність у сфері біоенергетики та прийняті до складу учасників (членів) Асоціації в порядку, визначеному Статутом.</t>
  </si>
  <si>
    <t>Громадська спілка "Виробники часнику України" (також відома як Асоціація виробників часнику України)</t>
  </si>
  <si>
    <t>Почаєвичі</t>
  </si>
  <si>
    <t>Громадська спілка "Вівчарство та козівництво України"</t>
  </si>
  <si>
    <t>Громадська спілка "Візіт Юкрейн", колишня назва - Громадська спілка "Київська туристична асоціація" | Visit Ukraine</t>
  </si>
  <si>
    <t>Учасниками Спілки можуть стати представники туристичного бізнесу України</t>
  </si>
  <si>
    <t>Громадська Спілка "Всеукраїнська Аграрна Рада" (ВАР)</t>
  </si>
  <si>
    <t>Громадська спілка "Всеукраїнська асоціація грибовиробників" (Укргрибпром)</t>
  </si>
  <si>
    <t>Членами Спілки можуть бути юридичні особи приватного права (підприємства, установи, організації засновані на приватній власності фізичних осіб або/та юридичних осіб, у тому числі громадські об’єднання зі статусом юридичної особи), які створені відповідно до чинного законодавства України або інших держав, та фізичні особи — громадяни України, які досягли 18-річного віку та не визнані судом недієздатними</t>
  </si>
  <si>
    <t>Громадська спілка "Всеукраїнська спілка виробників будматеріалів"</t>
  </si>
  <si>
    <t>Учасниками Спілки можуть бути будь-які юридичні особи, які здійснюють діяльність у сфері промисловості, виробництва будівельних матеріалів, будівництва та інших сферах діяльності, що мають безпосереднє чи опосередковане відношення до будівельної галузі</t>
  </si>
  <si>
    <t>Громадська спілка "Всеукраїнський аграрний форум" (ГС "ВАФ")</t>
  </si>
  <si>
    <t>Членами Спілки можуть бути юридичні особи приватного права, у тому числі громадські об'єднання зі статусом юридичної особи, фізичні особи, які досягли 18 років та не визнані судом недієздатними, які зареєстровані на території України або за її межами, визнають її Статут, сплачують членські внески та прийняті до Спілки в порядку та відповідно до умов, встановлених Статутом та Внутрішніми Документами Спілки</t>
  </si>
  <si>
    <t>Громадська спілка "Всеукраїнський Конгрес Фермерів"</t>
  </si>
  <si>
    <t>Членами організації можуть бути: фермерські господарства, агропідприємства, фізичні особи - одноосібники, ФОП, сільгоспвиробники, сільгоспкооперативи, громадські спілки</t>
  </si>
  <si>
    <t>Громадська спілка "Дніпро IT Ком'юніті"</t>
  </si>
  <si>
    <t>м. Дніпро, вул. Генерала Пушкіна, 1</t>
  </si>
  <si>
    <t>Громадська спілка "Дніпровський медичний кластер"</t>
  </si>
  <si>
    <t>Громадська спілка "Енергетична асоціація “Українська Воднева Рада”</t>
  </si>
  <si>
    <t>Членами Спiлки можуть бути юридичнi особи приватного права, у тому числi громадськi об'єднання зi статусом юридичної особи, фiзичнi особи, якi досягли 18 рокiв та не визнанi судом недiєздатними, якi пiдтримують мету i завдання Спiлки i визнають її Статут.</t>
  </si>
  <si>
    <t>Громадська спілка "Інноваційне фермерство та кооперація"</t>
  </si>
  <si>
    <t>Громадська спілка "Карпатський смак"</t>
  </si>
  <si>
    <t>Дійсними членами можуть бути юридичні або фізичні особи, які зареєстровані на території Закарпатської, Івано-Франківської, Львівської або Чернівецької областей, здійснюють заготівлю, виробництво та/або переробку продуктів харчування і поділяють мету і завдання Громадської спілки. Асоційованими членами можуть бути будь-які юридичні або фізичні особи, які поділяють мету і завдання Громадської спілки.</t>
  </si>
  <si>
    <t>Громадська спілка "Кластер видавничої діяльності та поліграфії"</t>
  </si>
  <si>
    <t>м. Львів, вул. Під Голоском, 27</t>
  </si>
  <si>
    <t>Громадська спілка "Кривий Ріг ІТ-кластер" (ГС КРІТ)</t>
  </si>
  <si>
    <t>Громадська спілка "Львівський кластер медичного бізнесу"</t>
  </si>
  <si>
    <t>Учасником Громадської спілки може бути фізична або юридична особа, яка розділяє мету та напрямки діяльності Громадської спілки та згодна виконувати обов’язки, що на неї покладають Статут, Етичний кодекс, Положення «Про участь в Громадській спілці «Львівський кластер медичного бізнесу» та інші внутрішні акти Громадської спілки</t>
  </si>
  <si>
    <t>Громадська спілка "Маріупольський IT-кластер" (МРПЛ ІТ-кластер/Mrpl it cluster)</t>
  </si>
  <si>
    <t>Громадська спілка "Мережа центрів інформаційної підтримки бізнесу"</t>
  </si>
  <si>
    <t>Громадська спілка "Міжнародна Асоціація Маркетингових Ініціатив" (МАМІ)</t>
  </si>
  <si>
    <t>Членами МАМІ можуть бути юридичні та фізичні особи, які є: компаніями, що ведуть свою основну діяльність у сфері стимулювання збуту, або мають свої підрозділи, які надають послуги у сфері стимулювання збуту, а також займаються суміжними видами діяльності; рекламодавцями або об'єднаннями рекламодавців; організаціями, метою яких є захист прав споживачів, розвиток підприємництва; студенти, фахівці маркетингу в сфері стимулювання збуту; особи, які користуються широкою популярністю і високим авторитетом завдяки своїй громадській, творчій або професійній діяльності в зазначених вище сферах</t>
  </si>
  <si>
    <t>Громадська Спілка "Міжрегіональний Союз птахівників та кормовиробників України"</t>
  </si>
  <si>
    <t>Членами ГС «МСПКУ» є птахівничі підприємства малого та середнього бізнесу; iнкубаторно-птахiвничi станції, провідні виробники комбікормів, кормових домішок та преміксів, ветеринарні компанії та профільні науково-дослідні та освітні установи.</t>
  </si>
  <si>
    <t>м. Харків, вул. Р. Роллана, 12, оф. 226</t>
  </si>
  <si>
    <t>Громадська спілка "Морський кластер України"</t>
  </si>
  <si>
    <t>Членом Громадської спілки може бути юридична особа приватного права, у тому числі громадське об’єднання зі статусом юридичної особи, яка розділяє мету та напрямки діяльності Громадської спілки та згодна виконувати обов’язки, що на неї покладають Статут та інші внутрішні документи Громадської спілки</t>
  </si>
  <si>
    <t>Громадська спілка "Національна платформа малого та середнього бізнесу" (Нацплатформа МСБ)</t>
  </si>
  <si>
    <t>Учасниками Національної платформи МСБ можуть бути: членські об’єднання, нечленські організації, аналітичні та експертні групи</t>
  </si>
  <si>
    <t>Громадська спілка "Національна туристична організація України"</t>
  </si>
  <si>
    <t>Учасниками Організації можуть юридичні особи, у тому числі громадські об'єднання зі статусом юридичної особи, фізичні особи з 18 років, занесені до Реєстру Учасників Організації, схвалюють та підтримують мету і предмет діяльності Організації і виконують обов’язки, покладені Статутом та іншими документами Організації, беруть участь в роботі Організації, виконують рішення Загальних зборів та Президентської ради, своєчасно сплачують членські внески.</t>
  </si>
  <si>
    <t>Громадська спілка "Об'єднання зообізнесу України"</t>
  </si>
  <si>
    <t>Членами «Об'єднання зообізнес України» може стати кожен учасник ринку товарів для тварин з активною і конструктивною позицією. Ми діємо в інтересах усіх учасників зооринку, сприяючи взаємному інтересу споживачів, дистриб'юторів, виробників, конкурентів, постачальників і кінцевих споживачів - домашніх тварин.</t>
  </si>
  <si>
    <t>Громадська спілка "Органічна Україна"</t>
  </si>
  <si>
    <t>Спілка «Органічна Україна» об’єднує виключно сертифікованих операторів органічного виробництва, виробників органічних добрив та засобів захисту.</t>
  </si>
  <si>
    <t>Громадська спілка "Перша енергетична асоціація України"</t>
  </si>
  <si>
    <t>Громадська спілка “Перша енергетична асоціація України” є провідною професійною спілкою енергетиків України, яка об’єднує в собі більше двадцяти провідних енергетичних підприємств та організацій України всіх видів генерацій</t>
  </si>
  <si>
    <t>Громадська спілка "Пест контроль України"</t>
  </si>
  <si>
    <t>Громадська спілка "Полтавська асоціація бізнесу"</t>
  </si>
  <si>
    <t>м. Полтава, вул. Гоголя, 21</t>
  </si>
  <si>
    <t>Громадська спілка "Прикарпатський еко-енергетичний кластер"</t>
  </si>
  <si>
    <t>Громадська спілка "Рівне IT кластер" (Rivne IT Cluster)</t>
  </si>
  <si>
    <t>Громадська спілка "Співтовариство виробників і споживачів бобових України" (СВСБУ)</t>
  </si>
  <si>
    <t>Громадська спілка "Спілка українських підприємців"</t>
  </si>
  <si>
    <t>Хто може бути членом СУП? &lt;br /&gt;
- Ви поділяєте місію, цінності та цілі СУП&lt;br /&gt;
- Ви маєте бездоганну ділову репутацію&lt;br /&gt;
- Ви готові популяризувати підприємницьку діяльність&lt;br /&gt;
- Ваш бізнес зареєстрований в Україні&lt;br /&gt;
- Ви готові активно впроваджувати інновації в своєму бізнесі&lt;br /&gt;
- Власники Вашого бізнесу не пов’язані з олігархічними та політичними структурами</t>
  </si>
  <si>
    <t>Громадська спілка "Східноукраїнський технокластер"</t>
  </si>
  <si>
    <t>Хто може долучитися до нас: сервісні компанії (системні інтегратори, підтримка програмного забезпечення, сервісні центри), заклади освіти, науки, R&amp;D (профільні ВНЗ, технікуми, приватні навчальні заклади), продуктові компанії (розробка програмного забезпечення, виробники високотехнологічного обладнання), підприємства інфраструктури (провайдери інтернету), підприємства, які мають ІТ-відділ (муніципалітет, великі промислові підприємства), стартапи (проекти, яким потрібна професійна підтримка, щоб взлетіти)</t>
  </si>
  <si>
    <t>Громадська спілка "Українська асоціація виробників віконних систем та пов'язаних будівельних продуктів"</t>
  </si>
  <si>
    <t>Громадська спілка "Українська асоціація виробників і дистриб'юторів ветеринарних препаратів та кормових добавок" (Ветпромспілка)</t>
  </si>
  <si>
    <t>Учасником Асоціації може бути будь-який суб’єкт господарювання, юридична особа, яка створює та здійснює свою діяльність відповідно до законодавства України в сфері виробництва та дистриб’юції ветеринарних препаратів та кормових добавок, має відповідні ліцензії та згодна виконувати обов’язки, що на неї покладаються установчими документами Асоціації.</t>
  </si>
  <si>
    <t>Громадська спілка "Українська асоціація виробників теплоізоляційних матеріалів" (ГС УКРІМА)</t>
  </si>
  <si>
    <t>Громадська спілка "Українська асоціація медичного туризму"</t>
  </si>
  <si>
    <t>Громадська спілка "Українська асоціація питної води Борисфен"</t>
  </si>
  <si>
    <t>Громадська спілка "Українська асоціація соціальних підприємців"</t>
  </si>
  <si>
    <t>Громадська спілка "Українська асоціація учасників ринку електромобілів"</t>
  </si>
  <si>
    <t>Членами Спілки можуть бути юридичні особи приватного права, у тому числі громадські об'єднання зі статусом юридичної особи</t>
  </si>
  <si>
    <t>Громадська спілка "Українська кооперативна федерація"</t>
  </si>
  <si>
    <t>Громадська спілка "Українська продовольча долина" (Ukrainian Food Valley)</t>
  </si>
  <si>
    <t>Громадська спілка "Українське об'єднання ринків капіталу" (Ukrainian Capital Markets Association - UCMA)</t>
  </si>
  <si>
    <t>Учасниками Спілки можуть бути юридичні особи приватного права, у тому числі громадські об'єднання зі статусом юридичної особи, а також фізичні особи, які досягли 18 років та не визнані судом недієздатними, які підтримують мету і завдання Спілки і визнають її Статут</t>
  </si>
  <si>
    <t>Громадська спілка "Український інтер'єрний, дизайнерський та меблевий кластер ЕФ кластер"</t>
  </si>
  <si>
    <t>Громадська Спілка "Українсько-Австрійська Асоціація"</t>
  </si>
  <si>
    <t>Нашими членами є юридичні та фізичні особи з Австрії, України та інших країн, які зацікавлені у встановленні та розвитку контактів у сферах діяльності Українсько-Австрійської Асоціації, а саме бізнесу та культури</t>
  </si>
  <si>
    <t>Громадська спілка "Хай-тек офіс Україна"</t>
  </si>
  <si>
    <t>Громадська спілка "Хай-тек офіс Україна" - це об’єднання підприємств у сфері високих технологій, метою діяльності якого є створення сприятливих умов для розвитку в Україні інноваційного бізнесу та цифрової економіки</t>
  </si>
  <si>
    <t>Громадська спілка "Харківський кластер інформаційних технологій" (Kharkiv IT Cluster)</t>
  </si>
  <si>
    <t>Громадська спілка "Холодильна асоціація України" (ГС "ХАУ")</t>
  </si>
  <si>
    <t>Членами Спілки можуть бути: громадяни України, іноземці та особи без громадянства, які досягли 18-річного віку, які перебувають в Україні на законних підставах, визнають статут Спілки, беруть участь у реалізації завдань Спілки та сплачують вступні та членські внески; юридичні особи приватного права, у тому числі громадські об'єднання зі статусом юридичної особи, благодійні фонди, які підтримують мету і завдання Спілки і визнають її Статут. Асоційованими членами Спілки можуть бути юридичні особи приватного права, громадські організації та благодійні фонди, зареєстровані в Україні та за кордоном, а також окремі фізичні особи за відповідним рішенням Загальних зборів членів Спілки або Правління Спілки.</t>
  </si>
  <si>
    <t>Громадська спілка "Християнська Бізнес Асоціація"</t>
  </si>
  <si>
    <t>Громадська спілка "Черкаси IT кластер" (Cherkasy IT Cluster)</t>
  </si>
  <si>
    <t>Громадська спілка "Ю-Фуд" (U-Food Association)</t>
  </si>
  <si>
    <t>Громадська спілка «Асоціація розвитку льонарства і коноплярства України»</t>
  </si>
  <si>
    <t>Членами спілки є ті, чия діяльність пов’язана з виробництвом, переробкою, зберіганням, реалізацією сировини і готової продукції, науково-технічною діяльністю, виготовленням обладнання, сировини, матеріалів і наданням послуг для галузей льонарства і коноплярства</t>
  </si>
  <si>
    <t>Громадська спілка «Українська асоціація венчурного та приватного капіталу» (Ukrainian Venture Capital and Private Equity Association - UVCA)</t>
  </si>
  <si>
    <t>Громадська спілка «Шведська Бізнес-Асоціація в Україні» (Swedish Business Association in Ukraine)</t>
  </si>
  <si>
    <t>Громадська спілка Асоціація Бізнес варта</t>
  </si>
  <si>
    <t>Громадська спілка Західноукраїнський кластер індустрії моди</t>
  </si>
  <si>
    <t>Учасниками Західноукраїнського Кластеру Індустрії Моди є провідні вітчизняні товарировиробники в галузі легкої промисловості, заклади вищої та середньої профільної освіти, а також талановиті дизайнери.</t>
  </si>
  <si>
    <t>Громадська спілка Миколаївський IT-кластер</t>
  </si>
  <si>
    <t>Громадська спілка Міжнародна Бізнес Асоціація (ГС "МБА")</t>
  </si>
  <si>
    <t>м. Кривий Ріг, вул. Димитрова, 30-В, офіс 401</t>
  </si>
  <si>
    <t>Громадська спілка Морська палата України</t>
  </si>
  <si>
    <t>Учасниками Морський палати можуть бути юридичні особи, зареєстровані відповідно до чинного законодавства України, і фізичні особи-підприємці, які здійснюють діяльність перевезення вантажів і пасажирів, буксирування, вантажопереробки, навчання, підготовки галузевих фахівців, інші види діяльності в сфері торгового мореплавання, і надають інші супутні послуги</t>
  </si>
  <si>
    <t>Громадська спілка Обласне об´єднання "Дніпровський пасічник"</t>
  </si>
  <si>
    <t>Громадська спілка Технологічний кластер Одеського регіону</t>
  </si>
  <si>
    <t>Громадська спілка Фонд Українська Рада Бізнесу</t>
  </si>
  <si>
    <t>Українська Рада Бізнесу – об’єднання бізнес-асоціацій. Будь-яка бізнес асоціація або громадська організація, яка представляє інтереси бізнес середовища та розділяє принципи та пріоритети Української Ради Бізнесу, має змогу доєднатися до її складу. Фонд УРБ – інституційний інструмент для сприяння сталого розвитку Коаліції Українська Рада Бізнесу.</t>
  </si>
  <si>
    <t>Громадська спілка"Глобал 100 РЕ Україна" (Global 100 RE Ukraine)</t>
  </si>
  <si>
    <t>Учасником Спілки може бути юридична особа приватного права, у тому числі громадське об’єднання зі статусом юридичної особи, та фізична особа, яка досягла 18 років та не визнана судом недієздатною, розділяє мету та напрямки діяльності Спілки та згодна виконувати обов’язки, що на неї покладаються Статутом та іншими внутрішніми документами Спілки</t>
  </si>
  <si>
    <t>Дніпровська туристична асоціація</t>
  </si>
  <si>
    <t>Дніпровський космічний кластер</t>
  </si>
  <si>
    <t>Дніпропетровська торгово-промислова палата</t>
  </si>
  <si>
    <t>Членами Дніпропетровської ТПП можуть бути організації, які здійснюють виробничу діяльність або надають послуги, корпорації, концерни, асоціації, консорціуми, спілки, ліги та інші об'єднання підприємців, приватні підприємці, бюджетні установи та організації, приватні підприємства</t>
  </si>
  <si>
    <t>м. Дніпро, вул. Шевченка, 4</t>
  </si>
  <si>
    <t>Донецька торгово-промислова палата</t>
  </si>
  <si>
    <t>Членами Донецької торгово-промислової палати можуть бути комерційні і некомерційні організації, юридичні особи, які створені і здійснюють свою діяльність відповідно до чинного законодавства України, а також громадяни України та їх об'єднання, зареєстровані як підприємці. Членом торгово-промислової палати не може бути політична організація (партія, об'єднання, рух), профспілка, приватна особа.</t>
  </si>
  <si>
    <t>Енергетичний кластер “Інновейшн Енерджи”</t>
  </si>
  <si>
    <t>Європейська Бізнес Асоціація</t>
  </si>
  <si>
    <t>м. Київ, Андріївський узвіз, 1A</t>
  </si>
  <si>
    <t>Житомирська торгово-промислова палата</t>
  </si>
  <si>
    <t>Членами Житомирської торгово-промислової палати можуть бути юридичні особи, які утворені і діють відповідно до законодавства України, громадяни України, зареєстровані як підприємці, та їх об'єднання. Членська база Житомирської ТПП складається з українських юридичних та фізичних осіб, що вступають до членів Палати за власним бажанням.</t>
  </si>
  <si>
    <t>м. Житомир, вул. Гагаріна, 24</t>
  </si>
  <si>
    <t>Закарпатська торгово-промислова палата</t>
  </si>
  <si>
    <t>Членами Закарпатської торгово-промислової палати України можуть бути юридичні особи, які створені та діють у відповідності із законодавством України, громадяни України, зареєстровані як підприємці та їх об'єднання. Членська база торгово-промислової палати формується за принципом добровільного об'єднання підприємців у Палату.</t>
  </si>
  <si>
    <t>Запорізька торгово-промислова палата</t>
  </si>
  <si>
    <t>Членом Палати може стати юридична особа, яка створила і здійснює свою діяльність у відповідності з діючим законодавством України, а також громадяни України, які зареєстровані як підприємці і їх об’єднання.</t>
  </si>
  <si>
    <t>м. Запоріжжя, бул. Центральний, 4</t>
  </si>
  <si>
    <t>Запорізький кластер "Інжиніринг – Автоматизація – Машинобудування" (ІАМ)</t>
  </si>
  <si>
    <t>Членом Громадської Спілки може бути юридична особа приватного права, у тому числі громадськ об'єднання зі статусом юридичної особи, а також фізичні особи, що розділяють мету та завдання діяльності Громадської Спілки, визнають положення Статуту Громадської Спілки і зобов'язуються їх виконувати. Громадська Спілка є вільною для вступу нових членів.</t>
  </si>
  <si>
    <t>Івано-Франківська торгово-промислова палата</t>
  </si>
  <si>
    <t>Івано-Франківська торгово-промислова палата - недержавна неприбуткова самоврядна організація, яка на добровільних засадах об`єднує юридичних осіб та громадян України, зареєстрованих як підприємці, а також їх об`єднання.</t>
  </si>
  <si>
    <t>Івано-Франківський IT Кластер</t>
  </si>
  <si>
    <t>Членами організації можуть бути громадяни України, іноземці і особи без громадсянства, які перебувають в Україні на законних підставах, досягли 18 років та активно сприяють виконанню статутних завдань організації. Членство в організації індивідуальне.</t>
  </si>
  <si>
    <t>Інноваційний кластер RInnoHub (Регіональний інноваційний хаб)</t>
  </si>
  <si>
    <t>м. Миколаїв, вул. 1-а Воєнна 2, кабінет 10-108</t>
  </si>
  <si>
    <t>Київська обласна (регіональна) торгово-промислова палата</t>
  </si>
  <si>
    <t>Палата об'єднує юридичних осіб, які створені і діють відповідно до законодавства України, та громадян України, зареєстрованих як підприємці, та їх об'єднання</t>
  </si>
  <si>
    <t>м. Біла Церква, вул. Северина Наливайка, 13</t>
  </si>
  <si>
    <t>Київська торгово-промислова палата</t>
  </si>
  <si>
    <t>Членами Палати можуть бути юридичні особи, які створені і діють відповідно до законодавства України та громадяни України, зареєстровані як підприємці, та їх об’єднання.</t>
  </si>
  <si>
    <t>Китайська торгова асоціація</t>
  </si>
  <si>
    <t>Кіровоградська торгово-промислова палата</t>
  </si>
  <si>
    <t>Членами Палати можуть бути юридичні особи, які створені і діють відповідно до Законодавства України, та громадяни України, зареєстровані як підприємці, та їх об’єднання, які сплачують членські внески.</t>
  </si>
  <si>
    <t>м. Кропивницький, вул. Преображенська, 79</t>
  </si>
  <si>
    <t>Кластер поліграфічної індустрії, видавництв та цифрових технологій "Поліграфія: Логістика, Сервіс, Якість"</t>
  </si>
  <si>
    <t>Клуб підприємців Буковини</t>
  </si>
  <si>
    <t>Клуб Підприємців Краматорська</t>
  </si>
  <si>
    <t>Членами Організації можуть бути підприємці, власники бізнесу, керівники організацій або їхні представники, що визнають і виконують статут Організації, які бажають взяти участь в роботі Організації</t>
  </si>
  <si>
    <t>Клуб підприємців Chernivtsi Business Group (Громадська організація "Чернівецька бізнес група")</t>
  </si>
  <si>
    <t>Критерії кандидата на членство в Chernivtsi Business Group: бути власником (співвласником) чи засновником бізнесу; досягнути річного обороту компанії 6 000 000 грн. (для компанії, що надає послуги), або 12 000 000 грн. (для компанії, що продає товари); бізнес-стаж не менше 2 років; масштабованість бізнесу; володіти позитивною діловою репутацією; розуміти місію та цінності об’єднання. Для вступу в клуб потрібно отримати рекомендацію від трьох учасників Chernivtsi Business Group.</t>
  </si>
  <si>
    <t>Коломийська асоціація підприємців (КАП)</t>
  </si>
  <si>
    <t>Критерії для кандидатів на вступ до Асоціації: кандидат зареєстрований як суб’єкт підприємницької діяльності; потенційний кандидат є власником бізнесу, а не обіймає посаду; за його прийняття проголосували всі учасники Асоціації.</t>
  </si>
  <si>
    <t>Конфедерація будівельників України</t>
  </si>
  <si>
    <t>Членом Конфедерації може бути суб'єкт господарювання, який здійснює свою діяльність відповідно до законодавства України та хоча б одним з видів діяльності якого є господарська діяльність, визначена в п. 1.2. Статуту (містобудування, нерухомість, будівництво, промисловість будівельних матеріалів, земельні відносини, інвестиції, девелоперська діяльність) або інформаційна, видавнича, PR-діяльність у зазначеній сфері та їх об'єднаня.</t>
  </si>
  <si>
    <t>Кремінська бізнес асоціація</t>
  </si>
  <si>
    <t>Ліга ділових та професійних жінок України</t>
  </si>
  <si>
    <t>Членами (учасниками) Організації можуть бути громадяни України (як правило, але не виключно – жінки: фізичні особи-підприємці, керівники, власниці приватних та інших підприємств, (спів)власниці господарських товариств, професіонали, спеціалісти, майстрині тощо), іноземні громадяни, особи без громадянства, що перебувають в Україні на законних підставах, яким виповнилось 14 років і котрі беруть участь у досягненні мети та реалізації статутних завдань Організації, визнають та виконують положення Статуту</t>
  </si>
  <si>
    <t>м. Чернігів, пр. Миру, 308 а</t>
  </si>
  <si>
    <t>Ліга підприємців "Українська справа"</t>
  </si>
  <si>
    <t>Ліга страхових організацій України</t>
  </si>
  <si>
    <t>Членом Ліги може бути страхова (перестрахова) компанія, яка: проводить страхову діяльність на ринку; створена i здійснює свою діяльність відповідно до законодавства України; включена до Державного реєстру фінансових установ та отримала ліцензію(ї) у сфері ринків небанківських фінансових послуг; висловила свою згоду з виконанням обов’язків, що на неї накладає Статут та внутрішні документи Ліги; сплатила вступний внесок. Членами Ліги також можуть бути інші професійні об'єднання страховиків, а також суб'єкти вітчизняного і іноземного фінансових ринків (страхові посередники, аварійні комісари, сюрвейєри та інші) та їх об’єднання. Асоційованими членами Ліги без права вирішального голосу можуть бути відокремлені підрозділи страховиків-членів Ліги, страхові організації інших держав, інші організації.</t>
  </si>
  <si>
    <t>Луганська торгово-промислова палата</t>
  </si>
  <si>
    <t>Членами Луганської РТТП можуть бути юридичні особи, які створені і діють відповідно до законодавства України та громадяни України, зареєстровані як підприємці, та їх об’єднання.</t>
  </si>
  <si>
    <t>Львівська Асоціація Розвитку Туризму</t>
  </si>
  <si>
    <t>Львівська торгово-промислова палата</t>
  </si>
  <si>
    <t>Львівський кластер інформаційних технологій та бізнес-послуг</t>
  </si>
  <si>
    <t>Маріупольська асоціація підприємців</t>
  </si>
  <si>
    <t>м. Маріуполь, вул. Архітектора Нільсена, 60 (освітній хаб "Halabuda")</t>
  </si>
  <si>
    <t>Миколаївська торгово-промислова палата</t>
  </si>
  <si>
    <t>Членами РТПП Миколаївської області можуть бути комерційні і некомерційні організації, юридичні особи, які створені і здійснюють свою діяльність відповідно до чинного законодавства України, а також громадяни України та їх об’єднання, зареєстровані як підприємці. Членом торгово-промислової палати не може бути політична організація (партія, об’єднання, рух), профспілка, приватна особа.</t>
  </si>
  <si>
    <t>Міжгалузева асоціація з розвитку систем теплопостачання Укртеплокомуненерго</t>
  </si>
  <si>
    <t>Міжгалузева асоціація з розвитку систем теплопостачання „Укртеплокомуненерго” є добровільним міжгалузевим об’єднанням самостійних юридичних осіб: теплогенеруючих, теплотранспортуючих та теплосервісних організацій, виробничих підприємств, науково-дослідних, проектних, ремонто-будівельних та інших підприємств та організацій різних форм власності, які об'єдналися з метою координації їх діяльності для вирішення питань енергозабезпечення населених пунктів України</t>
  </si>
  <si>
    <t>Міжнародна морська бізнес асоціація (International Marine Business Association - IMBA)</t>
  </si>
  <si>
    <t>IMBA запрошує українських та міжнародних членів, які є: адміністраціями морських та річкових портів, верфями, асоційованими організаціями у промисловості, урядами/радами, консультантами, постачальниками послуг з: корабельного та портового обладнання, суднового ремонту та технічного обслуговування, освіти та навчання, палива, дозвілля, морського будівництва та дизайну, морського виробництва, обслуговування та сервісу, системного програмного забезпечення; а також студентські та молодіжні організації</t>
  </si>
  <si>
    <t>Міжнародна Спілка Бізнесменів України та Туреччини (Türk Ukrayna İşadamları Derneği - TUİD)</t>
  </si>
  <si>
    <t>Насіннєва асоціація України</t>
  </si>
  <si>
    <t>Нафтогазова асоціація України</t>
  </si>
  <si>
    <t>До складу Асоціації входять найбільші оптові, роздрібні, видобуваючі, переробні підприємства нафтогазової галузі, що представляють національний, міжнародний, приватний і державний бізнес</t>
  </si>
  <si>
    <t>Національна асоціація виробників дитячого харчування, молочноконсервної та сокової продукції "Укрконсервмолоко"</t>
  </si>
  <si>
    <t>Національна асоціація дорожників України (НАДУ)</t>
  </si>
  <si>
    <t>Умови вступу до Асоціації: претендентом може бути юридична особа, зареєстрована в Україні; підтверджена необхідна кваліфікації в галузі дорожнього будівництва або суміжних галузей; сформована позитивна ділова репутація; відсутність санкцій органів Антимонопольного комітету України; ознайомлення з Положенням про членство в ГС "Національна асоціація дорожників України"; подання заяви на ім’я Президента ГС "Національна асоціація дорожників України" про намір вступу до НАДУ</t>
  </si>
  <si>
    <t>Національна асоціація кредитних спілок України (НАКСУ)</t>
  </si>
  <si>
    <t>Національна асоціація молочників України "Укрмолпром"</t>
  </si>
  <si>
    <t>Асоціація є вільною до вступу нових членів на добровільних засадах, якими можуть бути будь-яка юридична особа, або виробничий підрозділ з окремим розрахунковим рахунком, які створені і здійснюють свою діяльність відповідно до законодавства України та висловили свою згоду на виконання обов’язків, що на них покладає асоціація.</t>
  </si>
  <si>
    <t>Національна асоціація розробників програмної продукції та постачальників IT сервісів "Софтвер Юкрейн" | Software Ukraine</t>
  </si>
  <si>
    <t>Дійсним Учасником Асоціації може стати українська ІТ компанія, яка розробляє та впроваджує програмний продукт власної розробки, або надає електронні сервіси, поділяє цілі та мету діяльності Асоціації. Статус Асоційованого Учасника може отримати компанія, ВНЗ, наукова установа чи недержавна організація або фізична особа, яка поділяє цілі та мету діяльності Асоціації.</t>
  </si>
  <si>
    <t>Національна асоціація цукровиків України УКРЦУКОР</t>
  </si>
  <si>
    <t>Національна організація роздрібної торгівлі</t>
  </si>
  <si>
    <t>Членами Спілки можуть бути юридичні особи приватного права, у тому числі громадські об'єднання зі статусом юридичної особи, а також фізичні особи, які досягли 18 років та не визнані судом недієздатними</t>
  </si>
  <si>
    <t>Незалежна асоціація банків України (НАБУ)</t>
  </si>
  <si>
    <t>Членами Асоціації можуть бути банки, які підтримують цілі та мету діяльності Асоціації, визнають її установчі документи та зобов'язуються суворо дотримуватись їх положень</t>
  </si>
  <si>
    <t>Німецько-українська промислово-торговельна палата (Deutsch-Ukrainische Industrie- und Handelskammer - AHK Ukraine)</t>
  </si>
  <si>
    <t>Членами міжнародної спільноти Німецьких промислово-торговельних палат є компанії у всіх галузях: від харчової промисловості до легкої, від сільського господарства до важкої металургії та виробництва високоточних приладів.</t>
  </si>
  <si>
    <t>Об'єднання пасічників "Карпатська Еко Пасіка" (КЕП)</t>
  </si>
  <si>
    <t>Об'єднання підприємств "Федерація страхових посередників України"</t>
  </si>
  <si>
    <t>Членом ФЕДЕРАЦІЇ (крім Членів класу “Е”) може бути будь-який учасник страхового ринку (юридична або фізична особа), який надає на ньому посередницькі послуги та діє у відповідності з вимогами Законів України "Про страхування", "Про фінансові послуги та державне регулювання ринків фінансових послуг" та інших законодавчих актів, визнає Статуст Федерації та згоден керуватися ним у випадку членства у Федерації а також відповідає кваліфікаційним критеріям для вступу до Федерації Членами Федерації за класом “Е” можуть бути страхові компанії, а також страховики, створені у будь-якій іншій дозволеній законодавством формі (професійні прибуткові об'єднання страховиків (спілки, асоціації, пули, бюро та інші), у тому числі створені за регіональним принципом), професійні неприбуткові об'єднання страховиків, професійні неприбуткові об’єднання страхових (перестрахових) посередників, інші суб'єкти страхового ринку (аварійні комісари, сюрвейєри та ін.) та їхні професійні об’єднання, страхові агенти, які не відповідають кваліфікаційним критеріям, Статуту Федерації тощо.</t>
  </si>
  <si>
    <t>Об'єднання підприємств Укрметалургпром</t>
  </si>
  <si>
    <t>Об'єднання підприємств хімічної галузі україни Союз хіміків України</t>
  </si>
  <si>
    <t>Союз хіміків України є недержавним, некомерційним, добровільним об'єднанням юридичних осіб, пов'язаних із розробкою, виробництвом та експортом хімічної продукції</t>
  </si>
  <si>
    <t>Об'єднання підприємств хлібопекарної промисловості "Укрхлібпром"</t>
  </si>
  <si>
    <t>Об'єднання пiдприємцiв торгiвлi та громадського харчування Харкiвської областi "Торгова єдність"</t>
  </si>
  <si>
    <t>Об’єднання організацій роботодавців медичної та мікробіологічної промисловості України (ГО "ООРММПУ")</t>
  </si>
  <si>
    <t>ГО "ООРММПУ" є всеукраїнським об’єднанням організацій роботодавців, яке об’єднує 12 обласних організацій роботодавців фармацевтичної промисловості України, у тому числі підприємства, які здійснюють виробництво лікарських засобів, оптову та роздрібну торгівлю такими засобами</t>
  </si>
  <si>
    <t>Одеська торгово-промислова палата</t>
  </si>
  <si>
    <t>Членам Палати можуть бути юридичні особи, які створені і діють відповідно до законодавства України, громадяни України, зареєстровані як підприємці, та об’єднання підприємців.</t>
  </si>
  <si>
    <t>Освітня компанія Призма | PRIZMA Club</t>
  </si>
  <si>
    <t>Закритий бізнес-клуб підприємців з товарообігом від 1 млн дол. США в рік</t>
  </si>
  <si>
    <t>Подільська асоціація виробників саджанців та горіхів фундука "Золотий горішок"</t>
  </si>
  <si>
    <t>Представництво Польсько-Українська Господарча Палата (Polsko-Ukraińska Izba Gospodarcza - PUIG)</t>
  </si>
  <si>
    <t>Членами Палати можуть бути фізичні, юридичні особи та інші суб'єкти господарювання. Асоційованими членами Палати можуть бути фізичні особи, юридичні особи та інші суб'єкти господарювання, які здійснюють підприємницьку діяльність та які її не здійснюють.</t>
  </si>
  <si>
    <t>Балта</t>
  </si>
  <si>
    <t>Професійна асоціація аграріїв Балтщини</t>
  </si>
  <si>
    <t>Професійна асоціація корпоративного управління (ГС "ПАКУ")</t>
  </si>
  <si>
    <t>Членство в Асоціації є індивідуальним та/або колективним. Колективні члени - юридичні особи приватного права, здійснюють діяльність в Асоціації через власних представників, перелік яких (не більш, як п’ять осіб) юридична особа – колективний член надає Асоціації. Представники колективних членів Асоціації мають ті ж самі права та обов’язки, що і члени Асоціації – фізичні особи. Індивідуальними членами Асоціації (представниками колективного члена Асоціації) можуть бути громадяни України, громадяни інших держав, що досягли 18-річного віку та працюють у сфері корпоративного управління. Членами Асоціації (представниками колективного члена Асоціації) можуть бути тільки особи, які визнають важливими для суспільства завдання та поділяють принципи діяльності Асоціації, визнають та виконують положення її Статуту, відповідають професійним та етичним вимогам Асоціації.</t>
  </si>
  <si>
    <t>Професійна асоціація учасників ринків капіталу та деривативів (ПАРД)</t>
  </si>
  <si>
    <t>Членом ПАРД може бути юридична особа, яка має ліцензію на здійснення професійної діяльності на фондовому ринку, в тому числі депозитарної діяльності, діяльності з торгівлі цінними паперами, діяльності з управління активами інституційних інвесторів, діяльності з адміністрування недержавних пенсійних фондів, діяльності з управління майном для фінансування об'єктів будівництва та/або здійснення операцій з нерухомістю; створена і здійснює свою діяльність відповідно до законодавства України; висловила свою згоду на виконання Внутрішніх документів ПАРД; надала належним чином оформлені документи, необхідні для всутупу в ПАРД. ПАРД може приймати до складу кандидатів у члени ПАРД юридичних осіб, які мають намір отримати ліцензію на провадження професійної діяльності на фондовому ринку.</t>
  </si>
  <si>
    <t>Рівненська торгово-промислова палата</t>
  </si>
  <si>
    <t>Членами Палати можуть бути юридичні особи, які створені і діють відповідно до законодавства України, громадяни України, котрі зареєстровані як підприємці, та об’єднання підприємців.</t>
  </si>
  <si>
    <t>Рівненська федерація малого та середнього бізнесу "Єдність"</t>
  </si>
  <si>
    <t>Членами Громадської організації можуть бути громадяни України, іноземці та особи без громадянства, які перебувають в Україні на законних підставах, досягли 18-річного віку, активно сприяють виконанню статутних завдань Громадської організації, виявили бажання бути членом Громадської організації</t>
  </si>
  <si>
    <t>Союз промисловців і підприємців Туреччини та України "ТУСІБ" (TUSIB)</t>
  </si>
  <si>
    <t>TUSIB пропонує корпоративне членство для юридичних осіб, а також спеціальне членство професіоналам, які проживають і працюють в Україні та зацікавлені в роботі або на даний час працюють на керівних посадах середнього рівня або на управлінських посадах високого рівня</t>
  </si>
  <si>
    <t>Спілка "Борошномели України"</t>
  </si>
  <si>
    <t>Спілка автоматизаторів бізнесу</t>
  </si>
  <si>
    <t>Спілка автоматизаторів бізнесу – всеукраїнська громадська організація, яка об'єднує професіоналів в області автоматизації бізнесу, зацікавлених у розвитку сучасних інформаційних технологій, їх популяризації та ефективному використанні в різних галузях економіки. Компанії, що входять до Спілки, можуть допомогти користувачам в підборі технологій для вирішення будь-яких бізнес-задач, надати послуги з впровадження та супроводу інформаційних систем для управління та обліку.</t>
  </si>
  <si>
    <t>Спілка молочних підприємств України</t>
  </si>
  <si>
    <t>Дотримання Кодексу поведінки є обов’язковою умовою членства в Спілці</t>
  </si>
  <si>
    <t>Спілка підприємців малих, середніх і приватизованих підприємств України</t>
  </si>
  <si>
    <t>Членство в Спілці може бути індивідуальним та колективним. Індивідуальні члени Спілки - громадяни України та громадяни інших держав, які займаються підприємницькою діяльністю в будь-якій організаційно-правовій формі, передбаченій законодавством України. Колективні члени Спілки - колективи підприємств, господарських товариств, кооперативів, організацій. Колективні члени Спілки реалізують свої права та обов'язки через своїх представників.</t>
  </si>
  <si>
    <t>Спілка підприємців Харківської області</t>
  </si>
  <si>
    <t>Членство у Спілки може бути як індивідуальним, так і колективним. Індивідуальними членами Спілки можуть бути громадяни України, іноземні громадяни, які беруть участь у підприємницькій діяльності, приймають вимоги Статуту Спілки і оплачують вступні і членські внески. Колективними членами Спілки можуть бути колективи підприємств, організацій і установ недержавного сектора, а так само колективи громадських організацій, які сприяють діяльності Спілки, визначають і виконують вимоги Статуту Спілки і оплачують вступні і членські внески.</t>
  </si>
  <si>
    <t>Сумська торгово-промислова палата</t>
  </si>
  <si>
    <t>Членами торгово-промислової палати можуть бути юридичні особи, які створені і діють відповідно до законодавства України, громадяни України, зареєстровані як підприємці, та їх об'єднання. Членська база торгово-промислової палати формується за принципом добровільного об'єднання підприємців.</t>
  </si>
  <si>
    <t>Таврійський туристичний альянс</t>
  </si>
  <si>
    <t>Телекомунікаційна палата України</t>
  </si>
  <si>
    <t>Учасником Асоціації може бути будь-який суб'єкт господарювання, юридична особа - оператор телекомунікацій, провайдер телекомунікацій чи програмних послуг, телерадіоорганізація, дистриб'ютор, виробник обладнання або інша юридична особа, що займається спорідненими видами діяльності, розділяє мету Асоціації, висловила згоду на виконання обов'язків, покладених на неї Статутом Асоціації, створена і здійснює свою діяльність відповідно до законодавства України, а також має відповідні ліцензії, дозволи, договори та інші документи, необхідні для здійснення діяльності згідно законодавства України, при необхідності отримання таких ліцензій, дозволів.</t>
  </si>
  <si>
    <t>Членами Торгово-промислової палати можуть бути юридичні особи, що створені і діють відповідно до законодавства України, громадяни України, зареєстровані як підприємці, і їх об'єднання. Членська база торгово-промислової палати формується за принципом добровільного об'єднання підприємців у Палату.</t>
  </si>
  <si>
    <t>Торгово-промислова палата України</t>
  </si>
  <si>
    <t>Членами Палати можуть бути юридичні особи, які створені і діють відповідно до законодавства України, та громадяни України, які зареєстровані як підприємці, та їх об’єднання</t>
  </si>
  <si>
    <t>Туристичний кластер «Посулля»</t>
  </si>
  <si>
    <t>Членом організації можу бути будь-який суб'єкт господарювання, фізична особа, яка створює і здійснює свою діяльність відповідно до законодавства України та згодна виконувати обов'язки, що на неї покаладає Статут організації</t>
  </si>
  <si>
    <t>Українська авіатранспортна асоціація</t>
  </si>
  <si>
    <t>Дійсними членами Асоціації можуть бути юридичні особи-резиденти України, які поділяють мету та завдання Асоціації і бажають сприяти її діяльності та мають відповідні чинні ліцензії і сертифікати в галузі цивільної авіації та високу ділову репутацію.</t>
  </si>
  <si>
    <t>Українська аграрна асоціація</t>
  </si>
  <si>
    <t>Українська Асоціація "Укрелектрокабель”</t>
  </si>
  <si>
    <t>Членами Асоціації можуть бути юридичні особи, які створені відповідно до чинного законодавства України, статутна діяльність яких відповідає вимогам cтатуту Асоціації та які письмово дали згоду виконувати всі його положення.</t>
  </si>
  <si>
    <t>Українська асоціація аграрного експорту (УААЕ)</t>
  </si>
  <si>
    <t>Українська Асоціація Аграрного Експорту (УААЕ) - це добровільне, недержавне, неприбуткове об’єднання виробників, постачальників та експортерів сільськогосподарської продукції.</t>
  </si>
  <si>
    <t>Українська Асоціація бізнес-інкубаторів і інноваційних центрів</t>
  </si>
  <si>
    <t>В Асоціацію на правах її Члена можуть прийматися будь-які українські та іноземні фізичні і юридичні особи, та особи без громадянства, що переймаються втіленням в життя мети й основних завдань Асоціації, розділяють та зобов'язуються виконувати положення Статуту, а також вносять членські внески. Членами Асоціації не можуть бути політичні партії та релігійні конфесії, органи державної влади і місцевого самоврядування, державні і комунальні підприємства, установи, організації України, що фінансуються з бюджету.</t>
  </si>
  <si>
    <t>Українська асоціація бізнесу і торгівлі - УАБТ (Ukrainian Business &amp; Trade Association - UBTA)</t>
  </si>
  <si>
    <t>Члени та партнери UBTA – це провідні українські компанії та асоціації, що є ключовими гравцями у сфері міжнародної бізнес-діяльності та зацікавленні у розвитку експортних можливостей, використовуючи потенціал UBTA</t>
  </si>
  <si>
    <t>Українська асоціація видавців та книгорозповсюджувачів</t>
  </si>
  <si>
    <t>До складу Асоціації входять юридичні особи — найбільші видавництва та підприємства книгорозповсюдження, однак без суб’єктів видавничої справи державної і комунальної форм власності</t>
  </si>
  <si>
    <t>Українська асоціація виробників і переробників сої (Украгропромсоя)</t>
  </si>
  <si>
    <t>Українська Асоціація Виробників Картоплі</t>
  </si>
  <si>
    <t>Учасником Асоціації може стати: господарство, яке є професійним виробником товарної картоплі, компанія, діяльність якої пов'язана з ринком промислової картоплі, а також особи, що готують або підвищують кваліфікацію працівників картопляної галузі.</t>
  </si>
  <si>
    <t>Українська асоціація виробників феросплавів та іншої електрометалургійної продукції (УКРФА)</t>
  </si>
  <si>
    <t>Українська асоціація високотехнологічних підприємств та організацій "Космос"</t>
  </si>
  <si>
    <t>Учасником Асоціації може будь-яка юридична особа приватного чи публічного права</t>
  </si>
  <si>
    <t>Українська асоціація відновлюваної енергетики</t>
  </si>
  <si>
    <t>Учасником Асоціації може бути будь-який суб'єкт господарювання, юридична особа, яка створює (має намір) та/або здійснює свою діяльність у сфері відновлюваної (альтернативної) енергетики відповідно до законодавства України; зареєстровані в Україні у встановленому порядку енергогенеруючі підприємства інших країн. Членами Асоціації з правом дорадчого голосу можуть бути підприємства та організації, які працюють за договором з Асоціацією (або нею утворені) в інтересах енергогенеруючих підприємств - членів Асоціації.</t>
  </si>
  <si>
    <t>Українська асоціація візуальної індустрії</t>
  </si>
  <si>
    <t>Замовники реклами, рекламні агенства, виробники та постачальники реклами</t>
  </si>
  <si>
    <t>Українська асоціація вторинних металів (УАВтормет)</t>
  </si>
  <si>
    <t>Українська асоціація деревообробного обладнання (УАДО)</t>
  </si>
  <si>
    <t>Членом Асоціації може бути суб'єкт господарської діяльності, який поділяє мету та завдання Асоціації, є резидентом України, є виробником та (або) торгівцем лісового, деревообробного чи меблевого обладнання, інструменту, технологій, запасних частин, надає ремонтні та сервісні послуги, забезпечує галузеву медіа-підтримку та надає галузеві маркетингові та освітньо-наукові послуги. Фізичні особи за рішенням З'їзду можуть бути визнані почесними членами Асоціації за поданням правління Асоціації. Вони можуть брати участь у роботі органів Асоціації як консультанти.</t>
  </si>
  <si>
    <t>Українська асоціація енергосервісних компаній (ГО "УАЕСКО")</t>
  </si>
  <si>
    <t>Українська асоціація ігрової індустрії (УАІІ)</t>
  </si>
  <si>
    <t>Українська Асоціація Інвестиційного Бізнесу - УАІБ</t>
  </si>
  <si>
    <t>Членом Асоціації може бути юридична особа, яка: проводить професійну діяльність на фондовому ринку, а саме: діяльність з управління активами інституційних інвесторів, з торгівлі цінними паперами, депозитарну діяльність, крім депозитаріїв; створена i діє відповідно до законодавства України; визначена чинним законодавством як професійний учасник фондового ринку i має відповідну ліцензію, видану органом, що здійснює державне регулювання ринку цінних паперів; згідна з виконанням обов’язків, що на неї накладає Статут та внутрішні документи Acoцiaцiї</t>
  </si>
  <si>
    <t>Українська асоціація індустрії іграшок</t>
  </si>
  <si>
    <t>Українська асоціація кераміки</t>
  </si>
  <si>
    <t>Учасниками Асоціації можуть бути українські юридичні особи, які створені і діють відповідно до законодавства України, а також іноземні підприємства, організації, їх об’єднання, які визнають Статут Асоціації, прагнуть досягти договірної мети діяльності Асоціації, виявили згоду виконувати його вимоги, сплачують вступні та членські внески</t>
  </si>
  <si>
    <t>Українська Асоціація Медіа Бізнесу (колишня Українська асоціація видавців періодичної преси - УАВПП)</t>
  </si>
  <si>
    <t>Членами (учасниками) Спілки можуть бути юридичні особи приватного права, в тому числі громадські об'єднання зі статусом юридичної особи, та фізичні особи, які досягли 18 років та не визнані судом недієздатними, за умови, що ці особи поділяють мету (цілі) та напрямки діяльності Спілки, визнають та виконують положення Статуту</t>
  </si>
  <si>
    <t>Українська асоціація операторів зв’язку “Телас”</t>
  </si>
  <si>
    <t>Учасниками Асоціації можуть бути юридичні особи, чия діяльність пов’язана з функціонуванням ринку телекомунікаційних послуг, які визнають установчі документи Асоціації і виявили бажання увійти до неї та сплачувати членські внески</t>
  </si>
  <si>
    <t>Українська асоціація підприємств водопровідно-каналізаційного господарства "Укрводоканалекологія" (Асоціація водоканалів України)</t>
  </si>
  <si>
    <t>Членами Асоціації можуть бути юридичні особи, фізичні особи-підприємці та фізичні особи, які поділяють принципи та завдання Асоціації,&lt;br /&gt;
визнають та виконують положення Статуту Асоціації, відповідають вимогам та&lt;br /&gt;
прийняті до Асоціації в порядку, встановленому Статутом та внутрішніми&lt;br /&gt;
документами Асоціації, а також своєчасно сплачують членські внески.</t>
  </si>
  <si>
    <t>Українська асоціація підприємств легкої промисловості "Укрлегпром"</t>
  </si>
  <si>
    <t>Українська асоціація платіжних систем (УАПС)</t>
  </si>
  <si>
    <t>В Асоціації встановлюється таки види членства: Член Асоціації, Учасник Асоціації. Членами Асоціації можуть бути українські та іноземні підприємства, установи, організації та інші особи, які визнають цілі і завдання Асоціації, беруть активну участь в її діяльності, виконують положення Статуту Асоціації, рішення органів Асоціації, що прийняті в межах їх компетенції, виконують положення договорів та правочинів між ними та Асоціацією, сплачують до Асоціації членські внески. Учасниками Асоціації можуть бути особи, які беруть участь в її діяльності за будь-яким окремим проектом, сплачують до Асоціації внески, визнають положення Статуту Асоціації. Для вступу в Асоціацію потрібно надати копію Свідоцтва Національної Комісії, що здійснює державне регулювання у сфері ринків фінансових послуг, Ліцензії Національного банку України на переказ коштів у національній валюті, Свідоцтва Національного банку України про узгодження правил платіжної системи.</t>
  </si>
  <si>
    <t>Українська асоціація прямого продажу (УАПП)</t>
  </si>
  <si>
    <t>Членами Асоціації можуть бути юридичні особи, які використовують у своїй діяльності в Україні метод прямого продажу товарів або послуг, поділяють принципи та цілі Асоціації, а також визнають і дотримуються Кодексу професійної етики УАПП</t>
  </si>
  <si>
    <t>Українська асоціація скрапленого газу (УАСГ)</t>
  </si>
  <si>
    <t>Учасниками Асоціації є підприємства, які її заснували (Засновники) та нові учасники - будь-які суб’єкти господарювання, юридичні особи, які створюють і здійснюють свою господарську діяльність, відповідно до законодавства України, мають відповідні ліцензії та згодні виконувати обов’язки, що на неї покладають установчі документи Асоціації</t>
  </si>
  <si>
    <t>Українська асоціація транспортної логістики "Південна Пальмира"</t>
  </si>
  <si>
    <t>Українська асоціація фінтех та інноваційних компаній</t>
  </si>
  <si>
    <t>Українська вітроенергетична асоціація</t>
  </si>
  <si>
    <t>Членами УВЕА можуть бути юридичні та фізичні особи, які поділяють статутні цілі і завдання УВЕА, а також беруть безпосередню участь в діяльності УВЕА, в тому числі: компанії-девелопери вітроенергетичних проектів, виробники вітроенергетичного обладнання та комплектуючих, сервісні і консалтингові компанії, проектні, інженерні компанії та організації, юридичні компанії, будівельні, монтажні компанії, транспортно-логістичні компанії, страхові компанії, громадські організації та асоціації підприємців, вищі навчальні заклади, науково-дослідні організації та інститути, інші юридичні особи, які зацікавлені і готові сприяти розвитку вітроенергетичних технологій в Україні</t>
  </si>
  <si>
    <t>Українська дверна асоціація</t>
  </si>
  <si>
    <t>Членами Асоціації можуть бути засновники Асоціації, бдь-які суб'єкти господарювання, які здійснюють свою діяльність у сфері виробництва та/або продажу дверей або супутніх пристроїв відповідно до законодавства України і погоджуються виконувати права та обов'язки, визначені Статутом після державної реєстрації Асоціації.</t>
  </si>
  <si>
    <t>Українська енергетична асоціація (УЕА)</t>
  </si>
  <si>
    <t>Членом Асоціації може бути будь-який суб'єкт господарювання, який здійснює свою діяльність у сфері паливно-енергетичного комплексу та діє відповідно до законодавства України і згоден виконувати обов'язки, що на нього покладає статут та документи Асоціації</t>
  </si>
  <si>
    <t>Українська Зернова Асоціація (УЗА)</t>
  </si>
  <si>
    <t>Учасниками Асоціації можуть бути юридичні особи права, підприємства та організації, які підтримують мету, завдання та цілі Асоціації, надають матеріальну та організаційну підтримку Асоціації, або займаються іншою діяльністю та в утсановленому порядку сприяють реалізації мети, завдань та цілей Асоціації</t>
  </si>
  <si>
    <t>Українська Кіноасоціація (УКА)</t>
  </si>
  <si>
    <t>Українська Кіноасоціація - фахове неприбуткове відкрите об’єднання продюсерів телебачення і кінематографії, що представляє інтереси галузі виробництва аудіовізуального контенту України.</t>
  </si>
  <si>
    <t>Українська Локсмайстер Федерація (УЛФ)</t>
  </si>
  <si>
    <t>Основною вимогою при вступі в Федерацію є добровільність та бажання працювати в напрямках по розвитку галузі, а також прийняття та дотримування Кодексу етики Локсмайстра. Всі члени Федерації поділяються на дві категорії: приєднані члени - виробники та оптові компанії-імпортери продукції, що має відношення до галузі замикання; повні члени - практикуючі Локсмайстри віком від 21 року, сфера діяльності яких включає продаж, встановлення та обслуговування замків, дверей, систем контролю доступу; виготовлення ключів; аварійне відкриття об’єктів.</t>
  </si>
  <si>
    <t>Українська міжбанківська асоціація членів платіжних систем ЄМА</t>
  </si>
  <si>
    <t>Членами Асоціації можуть бути українські та іноземні підприємства, установи, організації та інші особи, які визнають цілі і завдання Асоціації, беруть активну участь в її діяльності, виконують положення Статуту Асоціації, рішення органів Асоціації, що прийняті в межах їх компетенції, виконують положення договорів та правочинів між ними та Асоціацією, сплачують до Асоціації членські внески. Учасниками Асоціації можуть бути особи, які беруть участь в її діяльності за будь-яким окремим проектом, сплачують до Асоціації внески, визнають положення Статуту Асоціації</t>
  </si>
  <si>
    <t>Українська науково-промислова асоціація "Укркокс"</t>
  </si>
  <si>
    <t>До складу Української науково-промислової асоціації "Укркокс" входять всі коксохімічні підприємства України, науково-дослідний інститут УХІН м. Харкова, проектний інститут ГІПРОКОКС м. Харкова, а також ряд організацій, які працюють з коксохімічними підприємствами.</t>
  </si>
  <si>
    <t>Українська плодоовочева асоціація (УПОА)</t>
  </si>
  <si>
    <t>Українська таксомоторна асоціація</t>
  </si>
  <si>
    <t>Асоціація складається з представників автотранспортних підприємств таксомоторної галузі, легальних приватних підприємців-перевізників на таксі і представників служб виклику таксі</t>
  </si>
  <si>
    <t>Українська Федерація Індустрії Безпеки (УФІБ)</t>
  </si>
  <si>
    <t>Членами Федерації можуть бути громадяни України, іноземці та особи без громадянства, які перебувають в Україні на законних підставах, досягли 14 років, визнають Статут та сприяють діяльності Федерації, діяльність яких спрямована на підвищення теоретичного і професійного рівня у сфері охорони, технічних засобів безпеки та управління будівлями, а саме: виробництва та постачання продукції технічних засобів безпеки та управління будівлями, послуг з проектування, монтажу та технічного обслуговування, а також послуг з охорони управління будівлями. Потрібно отримати рекомендаційні листи від двох членів Федерації</t>
  </si>
  <si>
    <t>Українське виробничо-екологічне об'єднання по заготівлі та використанню вторинних матеріальних ресурсів "Укрвторма"</t>
  </si>
  <si>
    <t>Український аерокосмічний кластер</t>
  </si>
  <si>
    <t>Український національний комітет Міжнародної Торгової Палати (ICC Ukraine)</t>
  </si>
  <si>
    <t>Учасниками Комітету можуть бути юридичні особи, фізичні особи та фізичні особи - підприємці, які зареєстровані i діють на території України або іноземних країн згідно законодавства України чи відповідної держави, які визнають його Статут, безпосередньо сприяють реалізації мети, цілей та завдань Комітету та сплачують внески до Комітету. Статус учасника-спостерігача може надаватися представникам органів виконавчої влади, органів місцевого самоврядування, інститутів громадянського суспільства, міжнародних, урядових та неурядових організацій, науково-дослідних та освітніх закладів, державних установ, засобів масової інформації, ділових та професійних асоціацій тощо, добровільна участь яких в заходах комітету здійснюється за офіційним запрошенням секретаріату комітету на безоплатній основі.</t>
  </si>
  <si>
    <t>Український органічний кластер</t>
  </si>
  <si>
    <t>Українсько-Арабська Ділова Рада (المجلس الأوكراني العربي التجاري)</t>
  </si>
  <si>
    <t>Фітосанітарна асоціація України (ФАУ)</t>
  </si>
  <si>
    <t>Членами ФАУ можуть стати компанії, діяльність яких пов’язана зі сферою захисту рослин і продукції рослинного походження від шкідливих рослин та організмів, або оздоровленням навколишнього середовища</t>
  </si>
  <si>
    <t>Харківська обласна громадська організація "Асоціація приватних роботодавців"</t>
  </si>
  <si>
    <t>Членами Організації можуть бути колективи підприємств, установ, організацій, підприємці незалежно від форми власності, виду діяльності та галузевої належності або уповноважені ними органи або фізичні особи віком від 18 років, які визнають статут Організації, підтримують її організаційно та фінансово</t>
  </si>
  <si>
    <t>м. Харків, вул. Плеханівська, 16, к.2</t>
  </si>
  <si>
    <t>Харківський кластер "Інжиніринг – Автоматизація – Машинобудування" (ІАМ)</t>
  </si>
  <si>
    <t>В основі кластеру ІАМ – співпраця широкого кола гравців (малого та середнього бізнесу, великих підприємств, університетів, наукових установ та лабораторій, інкубаторів, центрів трансферу технологій тощо, із залученням державних та місцевих органів влади) в наступних економічних секторах: інжиніринг, автоматизація, машинобудування</t>
  </si>
  <si>
    <t>Членами Палати можуть бути юридичні особи, які створені і діють відповідно до законодавства України, та громадяни, зареєстровані як підприємці, та їх об'єднання.</t>
  </si>
  <si>
    <t>Хмельницька торгово-промислова палата</t>
  </si>
  <si>
    <t>Членами Палати можуть бути юридичні особи, які створені й діють відповідно до законодавства України, громадяни України, зареєстровані в якості підприємців, і їхні об'єднання. Членська база торгово-промислової палати формується за принципом добровільного об'єднання підприємців у Палату.</t>
  </si>
  <si>
    <t>Членами Палати можуть бути юридичні особи, які створені і діють відповідно до законодавства України, та громадяни України, зареєстровані як підприємці, та їх об'єднання, які сплачують членські внески.</t>
  </si>
  <si>
    <t>Чернігівська торгово-промислова палата</t>
  </si>
  <si>
    <t>Чернігівський IT-кластер (Chernihiv IT cluster)</t>
  </si>
  <si>
    <t>Членами кластеру є компанії міста, які працюють в різних напрямках: створення e-commerce рішень, автоматизація бізнес-процесів, створення сайтів, розробка продуктів та рівень для бізнесу.</t>
  </si>
  <si>
    <t>Центр для студентів Дія.Бізнес у КНУ імені Тараса Шевченка</t>
  </si>
  <si>
    <t>Центри підтримки підприємців Дія.Бізнес</t>
  </si>
  <si>
    <t>Для студентів із будь-якого університету зі всієї України, які мріють про старт власної справи.&lt;br /&gt;
1/ Рop-up локація&lt;br /&gt;
2/ Платформа для проведення системного навчання та подій&lt;br /&gt;
3/ Коворкінг-зона для студентів</t>
  </si>
  <si>
    <t>м. Київ, вул. Васильківська, 90А (економічний факультет Київського національного університету імені Тараса Шевченка)</t>
  </si>
  <si>
    <t>Центр підтримки підприємців Дія.Бізнес у м.Миколаїв</t>
  </si>
  <si>
    <t>1/ Консалтинг-зона&lt;br /&gt;
2/ Рop-up локація&lt;br /&gt;
3/ Платформа для проведення подій&lt;br /&gt;
4/ Платформа для проведення системного навчання&lt;br /&gt;
5/ Кав’ярня «VR crafted coffee» Brew bar</t>
  </si>
  <si>
    <t>м. Миколаїв, вул. Шевченка, 59/3</t>
  </si>
  <si>
    <t>1/ Консалтинг-зона&lt;br /&gt;
2/ Рop-up локація</t>
  </si>
  <si>
    <t>м. Черкаси, бульвар Тараса Шевченка, 277.</t>
  </si>
  <si>
    <t>Центр підтримки підприємців Дія.Бізнес у м.Одеса</t>
  </si>
  <si>
    <t>1/ Консалтинг-зона&lt;br /&gt;
2/ Платформа для проведення подій&lt;br /&gt;
3/ Платформа для проведення системного навчання&lt;br /&gt;
4/ Кав’ярня “ВІТЕР”</t>
  </si>
  <si>
    <t>м. Одеса, вул. Грецька, 1А</t>
  </si>
  <si>
    <t>Центр підтримки підприємців Дія.Бізнес у м.Полтава</t>
  </si>
  <si>
    <t>1/ Консалтинг-зона&lt;br /&gt;
2/ Рop-up локація&lt;br /&gt;
3/ Платформа для проведення подій</t>
  </si>
  <si>
    <t>м. Полтава, вул. Соборності, 45а</t>
  </si>
  <si>
    <t>Центр підтримки підприємців Дія.Бізнес у м.Ужгород</t>
  </si>
  <si>
    <t>м. Ужгород, вул. Університетська, 14</t>
  </si>
  <si>
    <t>Центр підтримки підприємців Дія.Бізнес у м.Буча</t>
  </si>
  <si>
    <t>1/ Консалтинг-зона&lt;br /&gt;
2/ Платформа для проведення подій&lt;br /&gt;
3/ Платформа для проведення системного навчання</t>
  </si>
  <si>
    <t>м. Буча, пров. Олекси Тихого, будинок 4, корпус 1, примiщення 230</t>
  </si>
  <si>
    <t>Центр підтримки підприємців Дія.Бізнес у м.Тернопіль</t>
  </si>
  <si>
    <t>Для майбутніх підприємців — тих, хто шукає або має ідею власної справи та хоче започаткувати власний бізнес. Для діючих підприємців мікро, малого та середнього бізнесу, що перебувають на певному етапі розвитку своєї діяльності і потребують фахової консультації. Для студентів, які мріють про старт власної справи. Для батьків, які хочуть навчити дітей підприємництва.</t>
  </si>
  <si>
    <t>м. Тернопіль, вул. 15 квітня, 2м, Бізнес-центр К-15</t>
  </si>
  <si>
    <t>Центр підтримки підприємців Дія.Бізнес у м.Кривий Ріг</t>
  </si>
  <si>
    <t>м. Кривий Ріг, вул. Петра Калнишевського, 1а</t>
  </si>
  <si>
    <t>Центр підтримки підприємців Дія.Бізнес у м.Кременчук</t>
  </si>
  <si>
    <t>м. Кременчук, вул. Соборна, 21, ТРК “Галактика”, 5-й поверх</t>
  </si>
  <si>
    <t>Агенція регіонального розвитку Вінницької області</t>
  </si>
  <si>
    <t>Агенція регіонального розвитку Вінницької області - недержавна неприбуткова установа, головною метою якої є сприяння всеохоплюючому регіональному розвитку Вінницької області та її окремих територій за рахунок залучення інвестиційних та додаткових ресурсів, а також здійснення комплексу заходів, направлених на покращення іміджу області та розвиток бізнес-середовища.</t>
  </si>
  <si>
    <t>21036, м. Вінниця, вул. Хмельницьке шосе, 7, кімн. 125</t>
  </si>
  <si>
    <t>Агенція регіонального розвитку Запорізької області</t>
  </si>
  <si>
    <t>Установа «Агенція регіонального розвитку Запорізької області» (далі – Агенція) функціонує з 2016 року та була утворена на виконання плану заходів з реалізації Стратегії регіонального розвитку Запорізької області .&lt;br /&gt;
 &lt;br /&gt;
Головною метою Агенції є сприяння у реалізації регіональної стратегії розвитку, програм і проектів регіонального розвитку, підвищення інвестиційної привабливості регіону, залучення інвестиційних та кредитних ресурсів, міжнародної технічної допомоги для регіонального розвитку, впровадження реформи децентралізації.</t>
  </si>
  <si>
    <t>м. Запоріжжя пр. Соборний 164 каб. 110, каб. 218 у приміщенні Запорізької обласної державної адміністрації</t>
  </si>
  <si>
    <t>Агенція регіонального розвитку Київської області</t>
  </si>
  <si>
    <t>Агенція регіонального розвитку Київської області створена у травні 2018 року. Ключові напрямки діяльності: &lt;br /&gt;
1/ Розвиток бізнесу — професійна підтримка розширення існуючого бізнесу та залучення нового бізнесу в область, включаючи координацію зусиль усіх необхідних учасників — від територіальних громад до національних агенцій, міністерств тощо. &lt;br /&gt;
2/ Стратегія та маркетинг.&lt;br /&gt;
3/ Розвиток інвестиційної спроможності та привабливості громад та області.</t>
  </si>
  <si>
    <t>Київ, пл. Лесі Українки, 1, 01196 вул. Німецька 1/32</t>
  </si>
  <si>
    <t>Агенція регіонального розвитку Кіровоградської області</t>
  </si>
  <si>
    <t>Агенція регіонального розвитку Кіровоградської області створена з метою залучення інвесторів та реалізації проектів у регіоні.</t>
  </si>
  <si>
    <t>вулиця Архітектора Паученка, Кропивницький</t>
  </si>
  <si>
    <t>Агенція регіонального розвитку Одеської області</t>
  </si>
  <si>
    <t>Агенція регіонального розвитку Одеської області є неприбутковою та не бюджетною установою, що утворюється на засадах партнерства між державним, приватним та громадським секторами з метою ефективної реалізації державної регіональної політики. Основні завдання Агенції регіонального розвитку Одеської області: 1/ проведення досліджень соціально-економічної ситуації та проблем Одеської області, створення пропозицій їх вирішення 2/ розробка проектів та програм регіонального розвитку, надання консультацій 3/ участь у моніторингу виконання Державної стратегії регіонального розвитку та ін.</t>
  </si>
  <si>
    <t>місто Одеса, пр.Шевченка, будинок 4</t>
  </si>
  <si>
    <t>Агенція регіонального розвитку Херсонської області</t>
  </si>
  <si>
    <t>Херсон, площа Свободи, будинок 1</t>
  </si>
  <si>
    <t>Агенція регіонального розвитку Хмельницької області</t>
  </si>
  <si>
    <t>Команда, яка розробляє проєкти, надає практичну допомогу в підготовці та реалізації програм регіонального розвитку.</t>
  </si>
  <si>
    <t>місто Хмельницький, Майдан Незалежності, будинок 2, офіс 401</t>
  </si>
  <si>
    <t>Сприяння соціально-економічному розвитку, підвищення конкурентоспроможності, розвитку підприємництва області. Місія – створення умов для формування і розвитку місцевих компаній в тісній співпраці з навколобізнесовим середовищем та адміністративними органами.</t>
  </si>
  <si>
    <t>Преображенська вулиця, 12, Чернігів</t>
  </si>
  <si>
    <t>Агенція регіонального розвитку Тернопільської області</t>
  </si>
  <si>
    <t>Підвищення конкурентноспроможності Тернопільського регіону за рахунок залучення всіх видів ресурсів, і покращення добробуту мешканців.</t>
  </si>
  <si>
    <t>бульвар Тараса Шевченка, 17, Тернопіль</t>
  </si>
  <si>
    <t>Торгово-промислова палата України (ТПП України) - недержавна неприбуткова самоврядна організація, яка на добровільних засадах об`єднує юридичних осіб та громадян України, зареєстрованих як підприємці, а також їх об`єднання. Мета - розвинений і конкурентоспроможний на світових ринках український бізнес.</t>
  </si>
  <si>
    <t>м.Київ, вул.Велика Житомирська, 33</t>
  </si>
  <si>
    <t>Вінницька торгово-промислова палата є недержавною самоврядною організацією, яка об’єднує юридичних осiб, що створенi i дiють вiдповiдно до законодавства України, та громадян України, зареєстрованих як пiдприємцi, з метою сприяння розвитковi народного господарства та нацiональної економiки, її iнтеграцiї у свiтову господарську систему.</t>
  </si>
  <si>
    <t>вул. Соборна, 67, м. Вінниця</t>
  </si>
  <si>
    <t>Закарпатська торгово-промислова палата – недержавна неприбуткова самоврядна організація, що об’єднує юридичних та фізичних осіб, зареєстрованих згідно законодавства України як підприємці та створена і діє згідно з Законом «Про торгово-промислові палати в Україні». &lt;br /&gt;
Широкий спектр діяльності Закарпатської ТПП спрямований на встановлення ділових контактів між українськими та зарубіжними організаціями, освоєння нових форм співробітництва, участь у здійсненні міжнародних програм та проведення ділових зустрічей, бізнес-місій, конференцій та презентацій, надання практичної допомоги підприємствам усіх форм власності та представництво інтересів підприємств - членів Закарпатської ТПП у відносинах з центральними, регіональними та муніципальними органами державної влади.</t>
  </si>
  <si>
    <t>м. Ужгород, вул. Грушевського, 62</t>
  </si>
  <si>
    <t>Недержавна неприбуткова самоврядна організація, яка на добровільних засадах об`єднує юридичних осіб та громадян України, зареєстрованих як підприємці, а також їх об`єднання.</t>
  </si>
  <si>
    <t>м. Івано-Франківськ, вул. Теодора Цоклера 9а</t>
  </si>
  <si>
    <t>Київська торгово-промислова палата – недержавна неприбуткова самоврядна організація, що об’єднує юридичних та фізичних осіб, зареєстрованих згідно законодавства України як підприємці та створена і діє згідно з Законом «Про торгово-промислові палати в Україні». Київська ТПП має на меті сприяння розвиткові національної економіки та її інтеграції у світову систему, зміцнення ринкових механізмів, надання практичної допомоги підприємствам усіх форм власності і представництва інтересів підприємства організацій – членів Палати у відносинах з місцевими органами державної виконавчої влади.</t>
  </si>
  <si>
    <t>вул. Б. Хмельницкого, 55, Київ</t>
  </si>
  <si>
    <t>Львівська торгово-промислова палата є бізнес-асоціацією, яка створена для сприяння інноваційного розвитку економіки регіону та усіх видів підприємництва, підвищення конкурентноздатності ділового середовища Львівщини, його прибутковості та відповідальності перед громадою.</t>
  </si>
  <si>
    <t>Стрийський парк, 14, Львів</t>
  </si>
  <si>
    <t>Одеська регіональна торгово-промислова палата (ОРТПП) - є недержавною неприбутковою самоврядною організацією, яка об'єднує юридичних осіб, які створені і діють відповідно до законодавства України і громадян України, зареєстрованих як підприємці, і їх об'єднання.&lt;br /&gt;
ОРТПП об'єднує 297 підприємств і організацій виробничої, комерційної, агропромислової, науково-навчальної, страхової та інших сфер.&lt;br /&gt;
ОРТПП надає широкий спектр послуг, здійснюючи тісну взаємодію з регіональними органами влади, міністерствами і відомствами, посольствами, торговими представництвами та торгово-промисловими палатами.</t>
  </si>
  <si>
    <t>м. Одеса, вул. Базарна, 47</t>
  </si>
  <si>
    <t>Торгово -промислова палата України / ТПП України / створена в 1973 році на базі відділення Всесоюзної торгової палати , яка діяла в Україні з 1944 року. ТПП України сьогодні – це недержавна самоврядна організація , яка об’єднує на добровільних засадах понад 4000 членів .</t>
  </si>
  <si>
    <t>вул. Автобазівська, 7</t>
  </si>
  <si>
    <t>Рівненська торгово-промислова палата – є одним із центрів ділової активності в регіоні, аграрний і промисловий потенціал якого добре відомий як в Україні, так і за її межами. Працюючи під девізом: «Ми впевнено дивимось у майбутнє і відкриті до ділового співробітництва», Палата бере активну участь у реалізації регіональних програм і стала унікальним сервісним центром із забезпечення просування товарів і послуг малого та середнього бізнесу на нові ринки.</t>
  </si>
  <si>
    <t>м.Рівне, вул.Гетьмана Мазепи,19</t>
  </si>
  <si>
    <t>Сумська торгово-промислова палата - недержавна неприбуткова організація, яка на добровільних засадах об'єднує провідні підприємства Сумської області, сприяє просуванню їх бізнесу, захисту ділових інтересів не тільки на регіональному та республіканському, а й на міжнародному рівні.&lt;br /&gt;
На даний момент членами Палати є 222 підприємства різних форм власності.Основна мета Палати - створювати сприятливі умови для вітчизняного підприємництва, представляти і захищати його інтереси на всіх рівнях, включаючи вищі ешелони влади, розвивати прямі зв'язки із зарубіжними партнерами в галузі економіки, науки і торгівлі, шукати інвесторів і допомагати готувати інвестиційні проекти і бізнес-плани .&lt;br /&gt;
Основний вид діяльності - видача підприємствам кількох видів сертифікатів походження товарів та проведення цінових експертиз.</t>
  </si>
  <si>
    <t>м. Суми, вул. Іллінська, 7а</t>
  </si>
  <si>
    <t>Історія розвитку Тернопільської торгово-промислової палати бере початок з 1954 року, однак палата у сучасному сприйнятті була створена у 1995 році. В умовах незалежності України з’явились нові пріоритети, а відтоді діяльність Тернопільської торгово-промислової палати спрямована на створення сприятливих умов розвитку підприємництва та зовнішньоекономічних зв’язків в області, експорту українських товарів, наданню практичної допомоги підприємцям у проведені торговельно-економічних операцій на внутрішньому та зовнішньому ринках, пошуку ділових партнерів та інвесторів як в регіоні своєї діяльності, так і за її межами.</t>
  </si>
  <si>
    <t>м. Тернопiль, вул. Руська, 40</t>
  </si>
  <si>
    <t>Харківська торгово-промислова палата - недержавна неприбуткова самоврядна організація. Палата об'єднує суб'єктів господарювання різних форм власності та видів діяльності, зареєстрованих в Харківській області. Харківська торгово-промислова палата — громадська організація, діяльність якої спрямована на розвиток економіки держави шляхом: надання консалтингових та прикладних послуг в сфері ЗЕД та внутрішньогосподарської діяльності; проведення навчальних заходів, спрямованих на розвиток ділового середовища; підтримки платформи B2B для спілкування членів Палати.</t>
  </si>
  <si>
    <t>пр. Московський, 122 Б, м. Харків</t>
  </si>
  <si>
    <t>Херсонська Торгово-промислова палата на добровільних засадах об'єднує компанії, підприємства, установи, зацікавлені в розвитку своєї діяльності та налагодженні виробничих і торгівельних зв'язків на внутрішньому й зовнішньому ринках. Правовою основою діяльності ХТПП є Закон України «Про торгово-промислові палати в Україні».&lt;br /&gt;
Палата надає всебічну підтримку підприємцям, які прагнуть встановлювати й розвивати взаємовигідні економічні зв'язки з зарубіжжям, освоювати нові форми співробітництва та розширювати межі здійснення підприємницької діяльності.</t>
  </si>
  <si>
    <t>вул.Гагаріна 34 А, м.Херсон</t>
  </si>
  <si>
    <t>Хмельницька торгово-промислова палата. Торгово-промислова палата України, відповідно до Закону - недержавна неприбуткова самоврядна організація, яка на добровільних засадах об'єднує юридичних осіб і громадян України, зареєстрованих як підприємці, а також їх об'єднання. &lt;br /&gt;
Головне завдання Палати:&lt;br /&gt;
Насамперед створення сприятливих умов для вітчизняного підприємництва, представлення та захист його інтересів на всіх рівнях, сприяння розвитку прямих зв'язків із зарубіжними партнерами в галузі економіки, науки і торгівлі, пошук інвесторів і кваліфікована підготовка інвестиційних проектів, бізнес-планів та багато іншого. Хмельницька Торгово-промислова палата є важливим елементом інтеграції регіону у світову економіку.</t>
  </si>
  <si>
    <t>м. Хмельницький, вул. Подільська, 109/1</t>
  </si>
  <si>
    <t>Черкаська торгово-промислова палата є одним із потужних центрів ділової активності та бізнес-комунікацій Черкаської області, учасник багатьох міжнародних стратегічних альянсів. Палата стала ефективним і компетентним діловим партнером багатьох підприємств, організацій, торгово-промислових палат, бізнес-асоціацій, державних установ як в Україні, так і за кордоном.</t>
  </si>
  <si>
    <t>вул. Небесної Сотні, 105, м. Черкаси</t>
  </si>
  <si>
    <t>Чернігівська регіональна торгово-промислова палата є недержавною самоврядною організацією, яка діє згідно із Законом України про “Торгово-промислові палати в Україні”. Чернігівська ТПП — найбільша бізнес-асоціація в Чернігівській області. Мета сприяння розвитку підприємництва, зростання та зміцнення конкурентоздатності вітчизняних товаровиробників, підвищення статусу українського бізнесу всередині країни та за її межами. Торгово-промислова палата надає послуги юридичним та фізичним особам з експертиз, митного оформлення вантажів, технічної інвентаризації, сертифікації товарів та інші.</t>
  </si>
  <si>
    <t>м. Чернігів, вул. Пятницька, 33</t>
  </si>
  <si>
    <t>COVID-19 Бізнес-клініка в Івано-Франківську</t>
  </si>
  <si>
    <t>За підтримки ЄС та уряду Німеччини GIZ запуcкає COVID-19 Бізнес-клініки, щоб допомогти українським малим і середнім підприємствам (МСП) відреагувати на напружені економічні умови, викликані пандемією COVID-19. Бізнес-клініки працюють на базі Центрів інформаційної підтримки бізнесу (ЦІПБ), створених в рамках EU4Business, і надають підприємцям ряд переважно безплатних онлайн-послуг, таких як:Короткі індивідуальні та групові консультації; вебінари, тренінги та форуми; ваучери на глибинні бізнес-консультації.</t>
  </si>
  <si>
    <t>COVID-19 Бізнес-клініка в Чернігові</t>
  </si>
  <si>
    <t>COVID-19 Бізнес-клініка у Вінниці</t>
  </si>
  <si>
    <t>COVID-19 Бізнес-клініка в Дніпрі</t>
  </si>
  <si>
    <t>COVID-19 Бізнес-клініка в Харкові</t>
  </si>
  <si>
    <t>COVID-19 Бізнес-клініка в Миколаєві</t>
  </si>
  <si>
    <t>COVID-19 Бізнес-клініка у Львові</t>
  </si>
  <si>
    <t>Бізнес-інкубатор на базі Державного навчального закладу "Багатопрофільний центр професійно-технічної освіти"</t>
  </si>
  <si>
    <t>ГО "Волонтерське об'єднання "Вірю в Україну"</t>
  </si>
  <si>
    <t>Підвищення правової обізнаності та навичок правового самозахисту громадян; посилення конкурентоспроможності українських мікро-, малих та середніх підприємств шляхом навчання, консультацій та допомоги пошуку інвестицій. Формування ефективного партнерства громади, місцевої влади, громадських організацій та бізнесу; сприяння розвитку людського потенціалу територіальної громади; створення умов для всебічного розвитку бізнесу, особливо молодими людьми та незахищеними категоріями.</t>
  </si>
  <si>
    <t>Слов’янський район, м. Миколаївка, вул. Михайла Петренка, 7, 2 поверх</t>
  </si>
  <si>
    <t>Громадська спілка підприємців "Органічні системи"</t>
  </si>
  <si>
    <t>смт Короп, вул. Київська, 78</t>
  </si>
  <si>
    <t>Інформаційний пункт підприємця Запоріжжя</t>
  </si>
  <si>
    <t>Інформаційний пункт підприємця Мелітополь</t>
  </si>
  <si>
    <t>Вирішення проблеми низької доступності об’єктів інфраструктури та інформації, необхідної для забезпечення розвитку суб’єктів малого і середнього підприємництва, зокрема суб’єктів мікропідприємництва, а також осіб, які планують започаткувати власну справу. Надання інформаційної та консультаційної підтримки СПД, залученням державних та недержавних організацій, які спеціалізуються на окремих питаннях здійснення підприємницької діяльності.</t>
  </si>
  <si>
    <t>Координаційна рада з питань розвитку підприємництва м.Лубни</t>
  </si>
  <si>
    <t>До складу ради на паритетних засадах входять представники громадських організацій, керівники спілок підприємців та представники місцевого органу виконавчої влади. Склад Координаційної ради становить 11 осіб. Основною формою роботи ради є засідання.</t>
  </si>
  <si>
    <t>Координаційна рада з питань розвитку підприємництва м.Первомайськ</t>
  </si>
  <si>
    <t>Постійно діючий консультативно-дорадчий орган.</t>
  </si>
  <si>
    <t>м. Первомайськ, вул. Михайла Грушевського, 3</t>
  </si>
  <si>
    <t>Асоціація “Правозахист”</t>
  </si>
  <si>
    <t>«Асоціація юристів «ПРАВОЗАХИСТ» - громадська організація, створена з метою захисту прав та законних інтересів підприємництва та громадян в економічній, правовій, соціальній та інших сферах їх діяльності, представництво інтересів членів Асоціації на національному, галузевому та місцевому рівнях, об’єднання зусиль для захисту інтересів і лобіювання законопроектів.</t>
  </si>
  <si>
    <t>Всеукраїнська асоціація пекарів</t>
  </si>
  <si>
    <t>Всеукраїнська асоціація пекарів – діючий асоціативний орган, створений для координації спільних дій у напрямку посилення ринкових позицій підприємств-членів Асоціації, активного захисту і лобіювання їх інтересів на всеукраїнському та регіональних рівнях. З часу заснування Всеукраїнська асоціація пекарів веде активну діяльність щодо захисту інтересів не лише підприємств-членів ВАП, але й усієї хлібопекарної галузі.</t>
  </si>
  <si>
    <t>м. Київ, вул. Євгена Коновальца, буд. 31, офіс 514</t>
  </si>
  <si>
    <t>Спілка орендарів і підприємців України</t>
  </si>
  <si>
    <t>м. Київ, вул. Григорія Сковороди, 5-А</t>
  </si>
  <si>
    <t>Всеукраїнська громадська організація «Українська Федерація Індустрії Безпеки»</t>
  </si>
  <si>
    <t>Основною метою Федерації є сприяння суттєвому зростанню ємності українського ринку технічних засобів охорони.</t>
  </si>
  <si>
    <t>м. Київ, проспект Перемоги, 123, офіс 511</t>
  </si>
  <si>
    <t>ГС “Національна організація роздрібної торгівлі”</t>
  </si>
  <si>
    <t>Місія та цілі: &lt;br /&gt;
Захист законних прав та інтересів представників роздрібної торгівлі.&lt;br /&gt;
Побудова відкритого, конструктивного та ефективного діалогу між представниками малого бізнесу та органами державної влади.&lt;br /&gt;
Участь у формуванні державної політики у сфері підприємництва та сприяння розвитку малого бізнесу.</t>
  </si>
  <si>
    <t>м. Київ, вул. Хрещатик, 7/11</t>
  </si>
  <si>
    <t>Громадська організація “Інститут податкових реформ”</t>
  </si>
  <si>
    <t>Інститут податкових реформ об’єднує провідних фахівців і науковців, представників бізнес-середовища та органів державної влади з метою розробки стратегії реформування податкової політики задля забезпечення сталого суспільно-економічного розвитку в Україні.</t>
  </si>
  <si>
    <t>м. Київ, вул. Коновальця, 36-Д, оф. 45і</t>
  </si>
  <si>
    <t>ВГО "Реміснича палата України"</t>
  </si>
  <si>
    <t>Реміснича палата України (РПУ) – всеукраїнська неурядова організація, яка з 2009 року працює на національному та міжнародному рівнях для захисту прав та представництва інтересів мікро, малих та середніх підприємств (ММСП) в сфері виробництва та сервісу.&lt;br /&gt;
РПУ об’єднує ММСП, індивідуальні та дрібні промисли, ремісничі майстерні, національні крафтові виробництва у всій країні.</t>
  </si>
  <si>
    <t>24, Вацлава Гавела бул., Київ</t>
  </si>
  <si>
    <t>Український культурний фонд</t>
  </si>
  <si>
    <t>Український культурний фонд ‒ державна установа, створена у 2017 році, на підставі відповідного Закону України, з метою сприяння розвитку національної культури та мистецтва в державі, забезпечення сприятливих умов для розвитку інтелектуального та духовного потенціалу особистості і суспільства, широкого доступу громадян до національного культурного надбання, підтримки культурного розмаїття та інтеграції української культури у світовий культурний простір.</t>
  </si>
  <si>
    <t>Київ, вул. Лаврська 10-12</t>
  </si>
  <si>
    <t>Спілка Професіоналів України в індустрії краси (СПУ)</t>
  </si>
  <si>
    <t>Спілка Професіоналів України в індустрії краси (СПУ) - громадська організація, яка об'єднує перукарів, візажистів, майстрів нігтьової естетики, бровістів і інших фахівців індустрії краси з усієї країни.&lt;br /&gt;
&lt;br /&gt;
Основні завдання організації - підвищення престижності професій індустрії краси, поліпшення якості послуг, що надаються в салонах краси, підвищення кваліфікації майстрів та стандартизація освітніх послуг в індустрії, розвиток і популяризація конкурсного руху на національному та міжнародному рівні.</t>
  </si>
  <si>
    <t>Київ, вул. Княжий Затон 9, офіс 391</t>
  </si>
  <si>
    <t>Сумська міська громадська молодіжна організація «Молодь та підприємництво»</t>
  </si>
  <si>
    <t>м.Суми, вул.Кооперативна 19</t>
  </si>
  <si>
    <t>ГС “Всеукраїнська Асоціація Гідів”</t>
  </si>
  <si>
    <t>Головною метою ВАГ є об'єднання гідів на засадах створення сприятливих умов для розвитку національного туристичного ринку шляхом розробки та просування якісного екскурсійного продукту, підвищення рівня професійної майстерності гідів, конкретизації їх ролі й місця в просвітницькому та виховному процесі, підвищенню авторитету професії.</t>
  </si>
  <si>
    <t>Громадська організація «Взаємодія Плюс»</t>
  </si>
  <si>
    <t>Неурядова неприбуткова громадська організація, що об'єднує фізичних &lt;br /&gt;
осіб–підприємців. Місія — об'єднання підприємців, керівників, професіоналів, спеціалістів для захисту прав і свобод учасників, сприяння розвитку ділових ініціатив та підприємництва, освіти, науки та навчання, самореалізації членів, посилення їх ролі та впливу на економічне й соціальне життя суспільства, розвиток правової свідомості, економічної та правової культури, запобігання будь-яких проявів дискримінації за ознаками статі чи віку.</t>
  </si>
  <si>
    <t>м. Київ, вул. Велика Житомирська 33, офіс 516</t>
  </si>
  <si>
    <t>Громадська спілка "Зихідноукраїнський кластер індустрії моди"</t>
  </si>
  <si>
    <t>Західноукраїнський Кластер Індустрії Моди – це громадська спілка, об’єднання однодумців: дизайнерів, підприємців та освітян, засноване у 2018 році. Кластер увійшов до складу Львівського Промислового Хабу, ставши одним із перших регіональних об’єднань місцевих підприємців.</t>
  </si>
  <si>
    <t>79018, м.Львів, вул.Тобілевича, 8</t>
  </si>
  <si>
    <t>Громадська спілка Асоціація кінокомісій України</t>
  </si>
  <si>
    <t>01033, м.Київ, Голосіївський район, ВУЛИЦЯ САКСАГАНСЬКОГО, будинок 6</t>
  </si>
  <si>
    <t>Асоціація "Львівський промисловий хаб"</t>
  </si>
  <si>
    <t>Хаб покликаний скоординувати і підвищити взаємодію між промисловістю, закладами професійно-технічної освіти і науковими установами. В межах цього хабу будуть створені промислові кластери, відбуватиметься об’єднання промислових підприємств, переформатування підходів до професійно-технічної освіти у відповідних закладах на засадах дуальної освіти.</t>
  </si>
  <si>
    <t>Львів, вул. Винниченка, 18</t>
  </si>
  <si>
    <t>Кластерна ініціатива “Дністер 1362”</t>
  </si>
  <si>
    <t>Прикарпатський еко-енергетичний кластер</t>
  </si>
  <si>
    <t>ПРИКАРПАТСЬКИЙ ЕКО-ЕНЕРГЕТИЧНИЙ КЛАСТЕР створений з метою підвищення ефективності використання всіх видів енергії та зменшення негативного впливу на довкілля в Івано-Франківській області шляхом покращення співпраці бізнесу, науки і громадського сектору.&lt;br /&gt;
&lt;br /&gt;
МІСІЯ КЛАСТЕРУ – пропагування енергоощадності та розвитку відновлювальної енергетики, сприяння впровадження енергоефективних рішень та стартапів, щоб допомогти перетворити Прикарпаття в «осередок зелених інновацій».</t>
  </si>
  <si>
    <t>ГО АСОЦІАЦІЯ БУКОВИНСЬКИЙ БДЖОЛЯР</t>
  </si>
  <si>
    <t>Усвідомлюючи потребу у співпраці, у квітні 2015 року, більше 100 пасічників Чернівецької області прийняли рішення про створення самостійної громадської організації та обрали її керівництво. 19 листопада 2015 року було офіційно зареєстровано громадську організацію «Асоціація виробників продукції бджільництва «Буковинський БДЖОЛЯР» та її Статут.&lt;br /&gt;
18 грудня 2015 року громадська організація стала представляти інтереси пасічників Чернівецької області у всеукраїнській ГО «Спілка пасічників України».</t>
  </si>
  <si>
    <t>вул.Вірменська, 34 | м.Чернівці, 58000</t>
  </si>
  <si>
    <t>Морський Кластер України</t>
  </si>
  <si>
    <t>Морський Кластер України це ланка, що пов’язує весь морський сектор з іншими гравцями індустрії, глобальними та національними регуляторними органами, розробниками політик та морськими організаціями.</t>
  </si>
  <si>
    <t>ГО "Харківський кластер легкої промисловості та дизайну"</t>
  </si>
  <si>
    <t>Харківський кластер легкої промисловості та дизайну - це некомерційна організація, яка сприяє просуванню та конкурентоспроможності представників легкої промисловості, модною індустрії та дизайну Харківщини. Ми об’єдналися для розробки та реалізації перспективних проектів для всієї галузі.</t>
  </si>
  <si>
    <t>Миргородський Центр Кераміки</t>
  </si>
  <si>
    <t>ГРОМАДСЬКА СПІЛКА "УКРАЇНСЬКА АСОЦІАЦІЯ МЕДИЧНОГО ТУРИЗМУ"</t>
  </si>
  <si>
    <t>УКРАЇНСЬКА АСОЦІАЦІЯ МЕДИЧНОГО ТУРИЗМУ (УАМТ) Є НЕКОМЕРЦІЙНОЮ ОРГАНІЗАЦІЄЮ, ДІЯЛЬНІСТЬ ЯКОЇ СПРЯМОВАНА НА:&lt;br /&gt;
1/ підвищення рівня медичної допомоги; 2/ надання пацієнтам зі складними / рідкісними захворюваннями можливості якісної діагностики та лікування; 3/ забезпечення безпеки пацієнтів; 4/розвиток медичного туризму як одного з найбільш перспективних напрямків охорони здоров'я України.</t>
  </si>
  <si>
    <t>м. Київ вул. Микільсько-Слобідська, 1а, оф. 76</t>
  </si>
  <si>
    <t>Рівненський міжрегіональний медичний кластер</t>
  </si>
  <si>
    <t>ГРОМАДСЬКА СПІЛКА ЛЬВІВСЬКИЙ КЛАСТЕР МЕДИЧНОГО ТУРИЗМУ</t>
  </si>
  <si>
    <t>ГРОМАДСЬКА ОРГАНІЗАЦІЯ ЛЬВІВСЬКИЙ КЛАСТЕР ОСВІТИ ТА КРЕАТИВНОСТІ</t>
  </si>
  <si>
    <t>Харківський кластер Інжиніринг – Автоматизація – Машинобудування (IAM)</t>
  </si>
  <si>
    <t>Платформа для компаній Харківської області, що працюють у секторах Інжиніринг, Автоматизація та Машинобудування для обміну найкращими практиками та створення консолідованої позиції індустрії</t>
  </si>
  <si>
    <t>м. Харків, вул. Малом'ясницька, 9/11</t>
  </si>
  <si>
    <t>ГРОМАДСЬКА СПІЛКА "ЗАПОРІЗЬКИЙ КЛАСТЕР "ІНЖИНІРИНГ-АВТОМАТИЗАЦІЯ-МАШИНОБУДУВАННЯ"</t>
  </si>
  <si>
    <t>Місія кластеру: &lt;br /&gt;
Зростання економічного потенціалу Запорізької області через підвищення конкурентоспроможності учасників кластеру та розвитку регіональної інноваційної екосистеми промислових високотехнологічних секторів. В основі кластеру ІАМ – співпраця широкого кола гравців в наступних економічних секторах: Інжиніринг, Автоматизація, Машинобудування.</t>
  </si>
  <si>
    <t>бул. Центральний, 4 м. Запоріжжя</t>
  </si>
  <si>
    <t>Закарпатська автокластерна ініціатива</t>
  </si>
  <si>
    <t>ТОВ "Консалтинг Центр"</t>
  </si>
  <si>
    <t>Консалтинг Центр - центр бухгалтерії та фінансів. Працює в сфері бухгалтерського обслуговування МСБ, консультування з питань оподаткування та управління фінансами.</t>
  </si>
  <si>
    <t>м. Луцьк, вул. Коперника, 8А, 3 пов., офіс 10</t>
  </si>
  <si>
    <t>ГО «Агенція сталого розвитку «АСТАР»</t>
  </si>
  <si>
    <t>Громадська організація “Агенція сталого розвитку “АСТАР” офіційно була зареєстрована 21 березня 2017 року.&lt;br /&gt;
Ідея створення організації ґрунтувалась на необхідності підтримки ініціатив, спрямованих на зміцнення сталого розвитку Подільсько-Буковинського регіону, встановлення партнерських відносин між організаціями громадянського суспільства як в Україні, так і за її межами.&lt;br /&gt;</t>
  </si>
  <si>
    <t>м. Хмельницький, вул. Героїв Майдану, 38</t>
  </si>
  <si>
    <t>Державна організація "Регіональний фонд підтримки підприємництва в Запорізькій області"</t>
  </si>
  <si>
    <t>Регіональний фонд підтримки підприємництва в Запорізькій області створений та діє відповідно до Закону України «Про розвиток та державну підтримку малого і середнього підприємництва» від 22 березня 2012 року № 4618-VI. Активну діяльність Фонд почав із січня 2001р. Фонд здійснює свою діяльність за рахунок об’єднання фінансових, матеріальних, нематеріальних та інших ресурсів, спрямованих на підтримку та розвиток підприємництва.</t>
  </si>
  <si>
    <t>м. Запоріжжя, вул. Незалежної України, 90, оф.27</t>
  </si>
  <si>
    <t>ГО "Центр розвитку соціального бізнесу "Ініціатива"</t>
  </si>
  <si>
    <t>ГО "Центр розвитку соціального бізнесу "Ініціатива" - неприбуткова організація.&lt;br /&gt;
Сфери діяльності:&lt;br /&gt;
- Просування гендерної рівності в питаннях розвитку підприємницької діяльності та соціальної адаптації. &lt;br /&gt;
- Залучення маломобільних людей до бізнес-середовища.&lt;br /&gt;
- Руйнування стереотипів про малий та середній бізнес.&lt;br /&gt;
- Підвищення потенціалу, посилення та розвиток МСП у Запорізькій області.&lt;br /&gt;
- Створення можливостей для жіночого МСП.&lt;br /&gt;
- Інформаційна підтримка підприємців-початківців.</t>
  </si>
  <si>
    <t>ТОВ "Центр підтримки бізнесу"</t>
  </si>
  <si>
    <t>Центр підтримки бізнесу – незалежна організація, що успішно працює у галузі підтримки підприємництва, інвестицій та регіонального економічного розвитку, починаючи з 1998 року. Пріоритетними напрямками діяльності Центру є інформаційна підтримка, консалтинговий супровід та посилення професійних компетенцій як управлінців, так і профільних фахівців окремих напрямків бізнесу.</t>
  </si>
  <si>
    <t>м. Миколаїв, вул. Потьомкінська, 51/1</t>
  </si>
  <si>
    <t>ГО "Бізнес-інкубатор "БІ-Запоріжжя"</t>
  </si>
  <si>
    <t>Забезпечення сприятливих умов для розвитку малого і середнього бізнесу, підвищення конкурентоздатності підприємств і компаній шляхом надання допомоги підприємцям на всіх стадіях організації і функціонування підприємств, сприяння формуванню і розвитку інфраструктури підтримки малого і середнього бізнесу. Створення інвестиційного клімату: навчально-методологічна, психологічна допомога; сприяння розробці та реалізації стратегії регіонального розвитку; залучення нових інвестицій у регіон.</t>
  </si>
  <si>
    <t>м. Запоріжжя, вул. Незалежної України, 71 /60</t>
  </si>
  <si>
    <t>ГО "ПР Консалтинг"</t>
  </si>
  <si>
    <t>P&amp;R Consulting - компанія, очолювана жінками, яка розробляє комплексні консалтингові рішення для малого та середнього бізнесу. Окремий фокус діяльності - розвиток жіночого підприємництва в Україні та формування жіночої ділової спільноти. Місією P&amp;R Consulting: сприяння розвитку інфраструктури підтримки жіночого підприємництва, покращення інвестиційного середовища, бізнес-клімату та інноваційного потенціалу України.</t>
  </si>
  <si>
    <t>м. Київ, вул. Антоновича, 74</t>
  </si>
  <si>
    <t>Харківський регіональний фонд підтримки підприємництва</t>
  </si>
  <si>
    <t>Метою діяльності Фонду є створення сприятливих умов для розвитку малого та середнього бізнесу в Харківській області:&lt;br /&gt;
- надання фінансово-кредитної підтримки;&lt;br /&gt;
- безкоштовні консультації для підприємців;&lt;br /&gt;
- проведення освітнього курсу "Школа малого бізнесу".&lt;br /&gt;
Також ХРФПП є членом Партнерської платформи Програми Fit for Partnersip with Germany: консультації, прийом заявок на участь.</t>
  </si>
  <si>
    <t>м. Харків, площа Свободи 5, Держпром, 1 під'їзд, 5 поверх</t>
  </si>
  <si>
    <t>Асоціація "Інноваційний Кластер "Регіональний інноваційний ХАБ"</t>
  </si>
  <si>
    <t>Допомога в генеруванні власної ідеї, перетворенні її на стартап-проєкт, презентації його перед інвесторами, виходу на світові ринки..</t>
  </si>
  <si>
    <t>Регіональний фонд підтримки підприємництва в Миколаївський області</t>
  </si>
  <si>
    <t>Навчання (тренінги, семінари, курси), інформаційна та комунікаційна підтримка, фінансова підтримка, захист прав та представництво інтересів, вихід на міжнародні ринки, підтримка та розвиток місцевого бізнесу, консультаційна та юридична підтримка, аналітичні, маркетингові та інші дослідження, Підтримка новостворених підприємств.</t>
  </si>
  <si>
    <t>м. Миколаїв, проспект Героїв України, 9, каб. 100 Б</t>
  </si>
  <si>
    <t>ГО "Асоціація агротуризму Запорізького краю"</t>
  </si>
  <si>
    <t>ГО «Асоціація агротуризму Запорізького краю» (далі – Асоціація) створена у 2015 році за ініціативною групою соціально відповідальних осіб які професійно знаються та прагнуть розвивати агротуризм: сільський зелений, гастрономічний, етно, релігійний, фермерський виробнчий та інші види туризму на селі. Члени громадської організації були залучені в різні регіональні та міжнародні проєкти, які направлені на популяризацію, розвиток та сертифікацію об’єктів сільського зеленого туризму.</t>
  </si>
  <si>
    <t>м. Запоріжжя, вул. Незалежної України, 71 / 60</t>
  </si>
  <si>
    <t>Всеукраїнська ГО "Українська асоціація центрів підтримки бізнесу"</t>
  </si>
  <si>
    <t>Українська Асоціація Центрів Підтримки Бізнесу (УАЦПБ) - це всеукраїнське добровільне об'єднання незалежних професійних організацій з усіх регіонів України, які спеціалізуються в галузях консалтингових, тренінгових та дослідницьких послуг для малого та середнього бізнесу.&lt;br /&gt;
Мета УАЦПБ полягає у постійному піднесенні якості бізнес-послуг, спрямованих на розвиток підприємництва в Україні, та в професійному зростанні організацій-ченів, підвищенні їх ефективності та конкурентоспроможності.</t>
  </si>
  <si>
    <t>54001, г. Николаев, ул. Потёмкинская 51/1</t>
  </si>
  <si>
    <t>ГО "Молоде бізнес-покоління"</t>
  </si>
  <si>
    <t>Організація «YBG» - це стартап-майданчик для молодих підприємців, підприємницький соціальний проєкт, спрямований на популяризацію молодіжного підприємництва, особливо інклюзивних прошарків студентської молоді, селян та переселенців.</t>
  </si>
  <si>
    <t>ГО "РОТАРІ-КЛУБ "КИЇВ-СТОЛИЦЯ"</t>
  </si>
  <si>
    <t>Бізнес-клуб, створений лідерами місцевих підприємств та організацій, які об'єднуються для підтримки один одного і покращення життя навколо. Член міжнародної мережі ротарі-клубів.</t>
  </si>
  <si>
    <t>м. Київ, вул. Хрещатик, 27а</t>
  </si>
  <si>
    <t>ГО "Центр сприяння бізнесу"</t>
  </si>
  <si>
    <t>Центр сприяння бізнесу здійснює діяльність із 2013 року. Експерти організації працюють у більшості регіонів України та проваджують підходи розвитку підприємництва за навчальними програмами "Розпочни та вдосконалюй свій бізнес" (Start and Improve Your Business Programme), здійснюють інвестиційний консалтинг регіонів, міст та об’єднаних територіальних громад. Організація Інтелектуального бізнес-клубу та реалізація навчальних заходів з підготовки бізнес-планів за програмою 5-7-9%.</t>
  </si>
  <si>
    <t>м. Рівне, вул. Мазепи, 19</t>
  </si>
  <si>
    <t>Харківська обласна ГО "Асоціація приватних роботодавців"</t>
  </si>
  <si>
    <t>Основні напрямки діяльності полягають у поліпшенні сприятливих умов та підтримки малого та середнього бізнесу (МСБ), проведення інформаційних заходів, адвокасі кампаній, налагодженні взаємодії та діалогу з органами місцевого самоврядування через партнерські відносини бізнеса з владою, налагодження зв'язків із членами місцевої громади, співпраця для досягнення спільної мети у проведенні реформ у сфері боротьби з корупцією, децентралізації, прозорого та підзвітного врядування.</t>
  </si>
  <si>
    <t>Телеграм ВЦА області</t>
  </si>
  <si>
    <t xml:space="preserve">Тип сторінки </t>
  </si>
  <si>
    <t xml:space="preserve">Телеграм ВЦА району </t>
  </si>
  <si>
    <t>Тип</t>
  </si>
  <si>
    <t>https://t.me/vinnytskaODA</t>
  </si>
  <si>
    <t>персоналізована</t>
  </si>
  <si>
    <t>https://t.me/oborona_Zhmerinka</t>
  </si>
  <si>
    <t>неперсоналізована</t>
  </si>
  <si>
    <t>https://t.me/Mog_Pod_MR</t>
  </si>
  <si>
    <t>https://t.me/khm_gov_ua</t>
  </si>
  <si>
    <t>https://t.me/tulchyn_rva</t>
  </si>
  <si>
    <t>https://t.me/zhytomyrskaoborona</t>
  </si>
  <si>
    <t>https://t.me/korostenskaoborona</t>
  </si>
  <si>
    <r>
      <rPr>
        <u/>
        <sz val="10"/>
        <color rgb="FF1155CC"/>
        <rFont val="Arial"/>
        <family val="2"/>
        <charset val="204"/>
      </rPr>
      <t>https://t.me/berdychiv_vca</t>
    </r>
    <r>
      <rPr>
        <sz val="10"/>
        <color rgb="FF000000"/>
        <rFont val="Arial"/>
        <family val="2"/>
        <charset val="204"/>
      </rPr>
      <t xml:space="preserve">, </t>
    </r>
    <r>
      <rPr>
        <u/>
        <sz val="10"/>
        <color rgb="FF1155CC"/>
        <rFont val="Arial"/>
        <family val="2"/>
        <charset val="204"/>
      </rPr>
      <t>https://t.me/berdrda</t>
    </r>
  </si>
  <si>
    <t>https://t.me/berdrda</t>
  </si>
  <si>
    <t>https://t.me/Novograd_miskarada</t>
  </si>
  <si>
    <t xml:space="preserve">Черкаська область </t>
  </si>
  <si>
    <t>https://t.me/cherkaskaODA</t>
  </si>
  <si>
    <t xml:space="preserve">Черкаський район </t>
  </si>
  <si>
    <t>https://t.me/ValeriyaBandurko</t>
  </si>
  <si>
    <t>https://t.me/volynskaODA   /   https://t.me/koordynacijnyj_centr_Volyni</t>
  </si>
  <si>
    <t>https://t.me/kaminfo_1</t>
  </si>
  <si>
    <t>https://t.me/mayorpolishchuk</t>
  </si>
  <si>
    <t>https://t.me/dnipropetrovskaODA</t>
  </si>
  <si>
    <t>https://t.me/OlegGapich</t>
  </si>
  <si>
    <t>https://t.me/vilkul</t>
  </si>
  <si>
    <t>https://t.me/Yevtushenko_E</t>
  </si>
  <si>
    <t>https://t.me/novomoskovskaRDA</t>
  </si>
  <si>
    <t>https://t.me/pvl_oborona</t>
  </si>
  <si>
    <t>https://t.me/pavlokyrylenko_donoda</t>
  </si>
  <si>
    <t>https://t.me/vca_2022</t>
  </si>
  <si>
    <t>https://t.me/kramatorsk_rada</t>
  </si>
  <si>
    <r>
      <rPr>
        <u/>
        <sz val="10"/>
        <color rgb="FF1155CC"/>
        <rFont val="Arial"/>
        <family val="2"/>
        <charset val="204"/>
      </rPr>
      <t>https://t.me/mariupolrada</t>
    </r>
    <r>
      <rPr>
        <sz val="10"/>
        <color rgb="FF000000"/>
        <rFont val="Arial"/>
        <family val="2"/>
        <charset val="204"/>
        <scheme val="minor"/>
      </rPr>
      <t xml:space="preserve"> , </t>
    </r>
    <r>
      <rPr>
        <u/>
        <sz val="10"/>
        <color rgb="FF1155CC"/>
        <rFont val="Arial"/>
        <family val="2"/>
        <charset val="204"/>
      </rPr>
      <t>https://t.me/mrpl_rada</t>
    </r>
  </si>
  <si>
    <t>https://t.me/pokrovsktrebushkin</t>
  </si>
  <si>
    <t>https://t.me/zoda_inform</t>
  </si>
  <si>
    <t>https://t.me/beregovorda</t>
  </si>
  <si>
    <t>https://t.me/andriybaloha</t>
  </si>
  <si>
    <t>https://t.me/RakhivRWA</t>
  </si>
  <si>
    <t>https://t.me/tyachivrda</t>
  </si>
  <si>
    <r>
      <rPr>
        <u/>
        <sz val="10"/>
        <color rgb="FF1155CC"/>
        <rFont val="Arial"/>
        <family val="2"/>
        <charset val="204"/>
      </rPr>
      <t>https://t.me/integrationcenter</t>
    </r>
    <r>
      <rPr>
        <sz val="10"/>
        <color rgb="FF000000"/>
        <rFont val="Arial"/>
        <family val="2"/>
        <charset val="204"/>
      </rPr>
      <t xml:space="preserve">, </t>
    </r>
    <r>
      <rPr>
        <u/>
        <sz val="10"/>
        <color rgb="FF1155CC"/>
        <rFont val="Arial"/>
        <family val="2"/>
        <charset val="204"/>
      </rPr>
      <t>https://t.me/uzhrada</t>
    </r>
  </si>
  <si>
    <t>https://t.me/khustrda</t>
  </si>
  <si>
    <r>
      <rPr>
        <u/>
        <sz val="10"/>
        <color rgb="FF1155CC"/>
        <rFont val="Arial"/>
        <family val="2"/>
        <charset val="204"/>
      </rPr>
      <t>https://t.me/starukhofficial</t>
    </r>
    <r>
      <rPr>
        <sz val="10"/>
        <color rgb="FF000000"/>
        <rFont val="Arial"/>
        <family val="2"/>
        <charset val="204"/>
      </rPr>
      <t xml:space="preserve">, </t>
    </r>
    <r>
      <rPr>
        <u/>
        <sz val="10"/>
        <color rgb="FF1155CC"/>
        <rFont val="Arial"/>
        <family val="2"/>
        <charset val="204"/>
      </rPr>
      <t>https://t.me/zoda_gov_ua</t>
    </r>
  </si>
  <si>
    <r>
      <rPr>
        <u/>
        <sz val="10"/>
        <color rgb="FF1155CC"/>
        <rFont val="Arial"/>
        <family val="2"/>
        <charset val="204"/>
      </rPr>
      <t>https://t.me/starukhofficial</t>
    </r>
    <r>
      <rPr>
        <sz val="10"/>
        <color rgb="FF000000"/>
        <rFont val="Arial"/>
        <family val="2"/>
        <charset val="204"/>
      </rPr>
      <t xml:space="preserve">, </t>
    </r>
    <r>
      <rPr>
        <u/>
        <sz val="10"/>
        <color rgb="FF1155CC"/>
        <rFont val="Arial"/>
        <family val="2"/>
        <charset val="204"/>
      </rPr>
      <t>https://t.me/zoda_gov_ua</t>
    </r>
  </si>
  <si>
    <t>https://t.me/vasgromada</t>
  </si>
  <si>
    <r>
      <rPr>
        <u/>
        <sz val="10"/>
        <color rgb="FF1155CC"/>
        <rFont val="Arial"/>
        <family val="2"/>
        <charset val="204"/>
      </rPr>
      <t>https://t.me/starukhofficial</t>
    </r>
    <r>
      <rPr>
        <sz val="10"/>
        <color rgb="FF000000"/>
        <rFont val="Arial"/>
        <family val="2"/>
        <charset val="204"/>
      </rPr>
      <t xml:space="preserve">, </t>
    </r>
    <r>
      <rPr>
        <u/>
        <sz val="10"/>
        <color rgb="FF1155CC"/>
        <rFont val="Arial"/>
        <family val="2"/>
        <charset val="204"/>
      </rPr>
      <t>https://t.me/zoda_gov_ua</t>
    </r>
  </si>
  <si>
    <t>https://t.me/zapocm</t>
  </si>
  <si>
    <r>
      <rPr>
        <u/>
        <sz val="10"/>
        <color rgb="FF1155CC"/>
        <rFont val="Arial"/>
        <family val="2"/>
        <charset val="204"/>
      </rPr>
      <t>https://t.me/starukhofficial</t>
    </r>
    <r>
      <rPr>
        <sz val="10"/>
        <color rgb="FF000000"/>
        <rFont val="Arial"/>
        <family val="2"/>
        <charset val="204"/>
      </rPr>
      <t xml:space="preserve">, </t>
    </r>
    <r>
      <rPr>
        <u/>
        <sz val="10"/>
        <color rgb="FF1155CC"/>
        <rFont val="Arial"/>
        <family val="2"/>
        <charset val="204"/>
      </rPr>
      <t>https://t.me/zoda_gov_ua</t>
    </r>
  </si>
  <si>
    <t>https://t.me/MelitopolGovUA</t>
  </si>
  <si>
    <r>
      <rPr>
        <u/>
        <sz val="10"/>
        <color rgb="FF1155CC"/>
        <rFont val="Arial"/>
        <family val="2"/>
        <charset val="204"/>
      </rPr>
      <t>https://t.me/starukhofficial</t>
    </r>
    <r>
      <rPr>
        <sz val="10"/>
        <color rgb="FF000000"/>
        <rFont val="Arial"/>
        <family val="2"/>
        <charset val="204"/>
      </rPr>
      <t xml:space="preserve">, </t>
    </r>
    <r>
      <rPr>
        <u/>
        <sz val="10"/>
        <color rgb="FF1155CC"/>
        <rFont val="Arial"/>
        <family val="2"/>
        <charset val="204"/>
      </rPr>
      <t>https://t.me/zoda_gov_ua</t>
    </r>
  </si>
  <si>
    <t>https://t.me/pologivskagromada</t>
  </si>
  <si>
    <t>https://t.me/onyshchuksvitlana</t>
  </si>
  <si>
    <t>https://t.me/ivanofrankove</t>
  </si>
  <si>
    <t>https://t.me/kalushrada</t>
  </si>
  <si>
    <t>https://t.me/kolomyiagov</t>
  </si>
  <si>
    <t>https://t.me/kosiv_otg</t>
  </si>
  <si>
    <t>https://t.me/nadVir</t>
  </si>
  <si>
    <t>https://t.me/kyivoda</t>
  </si>
  <si>
    <t>https://t.me/bcrda</t>
  </si>
  <si>
    <t>https://t.me/BoryspilskaRVA</t>
  </si>
  <si>
    <t>https://t.me/BrovRVA</t>
  </si>
  <si>
    <t>https://t.me/thebucharegion</t>
  </si>
  <si>
    <t>https://t.me/vysh_gov_ua</t>
  </si>
  <si>
    <t>https://t.me/fastivskarda</t>
  </si>
  <si>
    <t>https://t.me/kirovogradskaODA</t>
  </si>
  <si>
    <t>https://t.me/krrada</t>
  </si>
  <si>
    <t>https://t.me/OleksandriiskaRaionnaViiskovaADM</t>
  </si>
  <si>
    <t>https://t.me/serhiy_hayday</t>
  </si>
  <si>
    <t>https://t.me/sm_vca</t>
  </si>
  <si>
    <t>https://t.me/starobilskrda</t>
  </si>
  <si>
    <t>https://t.me/kozytskyy_maksym_official</t>
  </si>
  <si>
    <t>https://t.me/DrohobychRDA</t>
  </si>
  <si>
    <t>https://t.me/people_of_action</t>
  </si>
  <si>
    <t>https://t.me/sambirrada</t>
  </si>
  <si>
    <t>https://t.me/chervonograd_mr</t>
  </si>
  <si>
    <t>https://t.me/yavorivRDA</t>
  </si>
  <si>
    <t>https://t.me/mykolaivskaODA</t>
  </si>
  <si>
    <t>https://t.me/bashtrda</t>
  </si>
  <si>
    <t>https://t.me/sakovskiyserhii</t>
  </si>
  <si>
    <t>https://t.me/odeskaODA</t>
  </si>
  <si>
    <t>https://t.me/berezivka_od_ukr</t>
  </si>
  <si>
    <t>https://t.me/bdrda</t>
  </si>
  <si>
    <t>https://t.me/Bolgradreal</t>
  </si>
  <si>
    <t>https://t.me/IzmailRDA</t>
  </si>
  <si>
    <t>https://t.me/OdeskaRDA</t>
  </si>
  <si>
    <t>https://t.me/podilska_miska_rada</t>
  </si>
  <si>
    <t>https://t.me/DMYTROLUNIN</t>
  </si>
  <si>
    <t>https://t.me/gromada_best</t>
  </si>
  <si>
    <t>https://t.me/myrrada</t>
  </si>
  <si>
    <t>https://t.me/poltavskaoda</t>
  </si>
  <si>
    <t>https://t.me/vitalykoval8</t>
  </si>
  <si>
    <t>https://t.me/dubenska</t>
  </si>
  <si>
    <t>https://t.me/ODA_RV</t>
  </si>
  <si>
    <t>https://t.me/Zhyvytskyy</t>
  </si>
  <si>
    <t>https://t.me/Semenihin</t>
  </si>
  <si>
    <t>https://t.me/WnJx9Yx3p6Y0OGIy</t>
  </si>
  <si>
    <r>
      <rPr>
        <u/>
        <sz val="10"/>
        <color rgb="FF1155CC"/>
        <rFont val="Arial"/>
        <family val="2"/>
        <charset val="204"/>
      </rPr>
      <t>https://t.me/Sumy_news_ODA</t>
    </r>
    <r>
      <rPr>
        <sz val="10"/>
        <color rgb="FF000000"/>
        <rFont val="Arial"/>
        <family val="2"/>
        <charset val="204"/>
      </rPr>
      <t xml:space="preserve">, </t>
    </r>
    <r>
      <rPr>
        <u/>
        <sz val="10"/>
        <color rgb="FF1155CC"/>
        <rFont val="Arial"/>
        <family val="2"/>
        <charset val="204"/>
      </rPr>
      <t>https://t.me/golova_lysenko</t>
    </r>
  </si>
  <si>
    <t>https://t.me/shostkarda</t>
  </si>
  <si>
    <t>Тернопілька область</t>
  </si>
  <si>
    <t>https://t.me/ternopilskaODA</t>
  </si>
  <si>
    <t>https://t.me/smahlukandrii</t>
  </si>
  <si>
    <t>https://t.me/synegubov</t>
  </si>
  <si>
    <t>https://t.me/bogodukhiv_rda</t>
  </si>
  <si>
    <t>https://t.me/krasnogradskiy_official</t>
  </si>
  <si>
    <t>https://t.me/Lozivska_RDA</t>
  </si>
  <si>
    <r>
      <rPr>
        <u/>
        <sz val="10"/>
        <color rgb="FF1155CC"/>
        <rFont val="Arial"/>
        <family val="2"/>
        <charset val="204"/>
      </rPr>
      <t>https://t.me/chuhuivrda</t>
    </r>
    <r>
      <rPr>
        <sz val="10"/>
        <color rgb="FF000000"/>
        <rFont val="Arial"/>
        <family val="2"/>
        <charset val="204"/>
      </rPr>
      <t xml:space="preserve">, </t>
    </r>
    <r>
      <rPr>
        <u/>
        <sz val="10"/>
        <color rgb="FF1155CC"/>
        <rFont val="Arial"/>
        <family val="2"/>
        <charset val="204"/>
      </rPr>
      <t>https://t.me/GalinaMinaeva</t>
    </r>
  </si>
  <si>
    <t>https://t.me/khersonskaODA</t>
  </si>
  <si>
    <t>https://t.me/GenicheskUk</t>
  </si>
  <si>
    <t>https://t.me/khmelnytskaODA</t>
  </si>
  <si>
    <t>https://t.me/KPRVAinfo</t>
  </si>
  <si>
    <t>https://t.me/AleksandrSkichko</t>
  </si>
  <si>
    <t>https://t.me/Zvenyhorodskyi_RDA</t>
  </si>
  <si>
    <t>https://t.me/ternova_i</t>
  </si>
  <si>
    <t>https://t.me/chernivetskaODA</t>
  </si>
  <si>
    <t>https://t.me/chernigivskaODA</t>
  </si>
  <si>
    <t>Категорія (міська, сільська, селищна)</t>
  </si>
  <si>
    <t>В якому році остаточно сформована?</t>
  </si>
  <si>
    <t>Населення (2021)</t>
  </si>
  <si>
    <t>Перелік всіх сільських рад, які увійшли до складу громади у 2020 році</t>
  </si>
  <si>
    <t>Кількість місцевих рад, які ввійшли до складу ОТГ</t>
  </si>
  <si>
    <t>Дата "першого" створення</t>
  </si>
  <si>
    <t>Перелік всіх сільських рад, які увійшли до складу громади у 2016 році</t>
  </si>
  <si>
    <t>Кількість населення на момент створення громади (2016)</t>
  </si>
  <si>
    <t>Скільки сільських рад добровільно доєдналися до складу громади до 2020 року?</t>
  </si>
  <si>
    <t>Перелік</t>
  </si>
  <si>
    <t>Скільки добровільно утворених громад було долучено до складу  фінально створеної громади у 2020 році?</t>
  </si>
  <si>
    <r>
      <rPr>
        <b/>
        <sz val="10"/>
        <color theme="1"/>
        <rFont val="Arial"/>
        <family val="2"/>
        <charset val="204"/>
      </rPr>
      <t xml:space="preserve">Перелік </t>
    </r>
    <r>
      <rPr>
        <b/>
        <u/>
        <sz val="10"/>
        <color theme="1"/>
        <rFont val="Arial"/>
        <family val="2"/>
        <charset val="204"/>
      </rPr>
      <t>добровільно утворених громад</t>
    </r>
    <r>
      <rPr>
        <b/>
        <sz val="10"/>
        <color theme="1"/>
        <rFont val="Arial"/>
        <family val="2"/>
        <charset val="204"/>
      </rPr>
      <t xml:space="preserve">, долучених до складу фінально створеної </t>
    </r>
  </si>
  <si>
    <t xml:space="preserve">Дати долучення добровільно утворених громад до фінальної створеної </t>
  </si>
  <si>
    <t>Скільки сільських рад (не були обєднані до 2020 року) було долучено до складу  фінально створеної громади у 2020/2021 році?</t>
  </si>
  <si>
    <r>
      <rPr>
        <b/>
        <sz val="10"/>
        <color theme="1"/>
        <rFont val="Arial"/>
        <family val="2"/>
        <charset val="204"/>
      </rPr>
      <t>Перелік</t>
    </r>
    <r>
      <rPr>
        <b/>
        <u/>
        <sz val="10"/>
        <color theme="1"/>
        <rFont val="Arial"/>
        <family val="2"/>
        <charset val="204"/>
      </rPr>
      <t xml:space="preserve"> сільських/міських рад</t>
    </r>
    <r>
      <rPr>
        <b/>
        <sz val="10"/>
        <color theme="1"/>
        <rFont val="Arial"/>
        <family val="2"/>
        <charset val="204"/>
      </rPr>
      <t xml:space="preserve"> (не були обєднані до 2020 року) було долучено до складу  фінально створеної громади у 2020 році?</t>
    </r>
  </si>
  <si>
    <t>Посилання на першоджерела</t>
  </si>
  <si>
    <t>Харківська</t>
  </si>
  <si>
    <t xml:space="preserve">міська
</t>
  </si>
  <si>
    <t>54058 осіб</t>
  </si>
  <si>
    <t xml:space="preserve"> Асіївська, Борщівська, Бригадирівська, Вербівська, Гусарівська, Лозовеньківська, Новогусарівська, Міловська, Петрівська, Протопопівська, Чепільська, Шевелівська, Яковенківська сільські ради Балаклійського району та Волохово-Ярської сільської ради</t>
  </si>
  <si>
    <t>Балаклійська міської рада</t>
  </si>
  <si>
    <r>
      <rPr>
        <u/>
        <sz val="10"/>
        <color rgb="FF1155CC"/>
        <rFont val="Arial"/>
        <family val="2"/>
        <charset val="204"/>
      </rPr>
      <t>https://balakleyamer.gov.ua/istoriia-balaklijskoi-th/</t>
    </r>
    <r>
      <rPr>
        <u/>
        <sz val="10"/>
        <color rgb="FF000000"/>
        <rFont val="Arial"/>
        <family val="2"/>
        <charset val="204"/>
      </rPr>
      <t xml:space="preserve"> </t>
    </r>
    <r>
      <rPr>
        <u/>
        <sz val="10"/>
        <color rgb="FF1155CC"/>
        <rFont val="Arial"/>
        <family val="2"/>
        <charset val="204"/>
      </rPr>
      <t>https://gromada.info/gromada/balakliyska/</t>
    </r>
    <r>
      <rPr>
        <u/>
        <sz val="10"/>
        <color rgb="FF1155CC"/>
        <rFont val="Arial"/>
        <family val="2"/>
        <charset val="204"/>
      </rPr>
      <t xml:space="preserve"> </t>
    </r>
    <r>
      <rPr>
        <u/>
        <sz val="10"/>
        <color rgb="FF1155CC"/>
        <rFont val="Arial"/>
        <family val="2"/>
        <charset val="204"/>
      </rPr>
      <t>https://uk.wikipedia.org/wiki/%D0%91%D0%B0%D0%BB%D0%B0%D0%BA%D0%BB%D1%96%D0%B9%D1%81%D1%8C%D0%BA%D0%B0_%D0%BC%D1%96%D1%81%D1%8C%D0%BA%D0%B0_%D0%B3%D1%80%D0%BE%D0%BC%D0%B0%D0%B4%D0%B0</t>
    </r>
    <r>
      <rPr>
        <u/>
        <sz val="10"/>
        <color rgb="FF1155CC"/>
        <rFont val="Arial"/>
        <family val="2"/>
        <charset val="204"/>
      </rPr>
      <t xml:space="preserve">       </t>
    </r>
    <r>
      <rPr>
        <u/>
        <sz val="10"/>
        <color rgb="FF1155CC"/>
        <rFont val="Arial"/>
        <family val="2"/>
        <charset val="204"/>
      </rPr>
      <t>https://decentralization.gov.ua/areas/0572/gromadu</t>
    </r>
  </si>
  <si>
    <t>979,1 км2</t>
  </si>
  <si>
    <t>Шевченкове, Верхньозорянське, Зорянське, Михайлівка, Огурцівка, Первомайське, Раївка, Сазонівка, Троїцьке, Аркадівка, Ленінка, Микільське, Безмятежне, Кравцівка, Миропілля, Полтава, Станіславка, Старий Чизвик, Березівка, Баранове, Борівське, Василенкове, Худоярове, Великі Хутори, Журавка, Волоська Балаклія, Гетьманівка, Лелюківка, Малі Кринки, Мостове, Одрадне, Тетянівка, Нижній Бурлук, Володимирівка, Іванівка, Михайлівка, Смолівка, Шевченкове, Шишківка, Новомиколаївка, Петропілля, Гроза, Колісниківка, Максимівка, Олександрівка, Олексіївка, Самарське, Ставище, Сумське, Петрівка, Горожанівка, Іванівка, Семенівка, Богодарівка, Новий Лиман, Новостепанівка, Сподобівка, Дуванка, Федорівка, Старовірівка</t>
  </si>
  <si>
    <r>
      <rPr>
        <u/>
        <sz val="10"/>
        <color rgb="FF1155CC"/>
        <rFont val="Arial"/>
        <family val="2"/>
        <charset val="204"/>
      </rPr>
      <t>https://decentralization.gov.ua/areas/0572/gromadu</t>
    </r>
    <r>
      <rPr>
        <u/>
        <sz val="10"/>
        <color rgb="FF000000"/>
        <rFont val="Arial"/>
        <family val="2"/>
        <charset val="204"/>
      </rPr>
      <t xml:space="preserve"> </t>
    </r>
    <r>
      <rPr>
        <u/>
        <sz val="10"/>
        <color rgb="FF1155CC"/>
        <rFont val="Arial"/>
        <family val="2"/>
        <charset val="204"/>
      </rPr>
      <t>https://www.wikiwand.com/uk/%D0%A8%D0%B5%D0%B2%D1%87%D0%B5%D0%BD%D0%BA%D1%96%D0%B2%D1%81%D1%8C%D0%BA%D0%B0_%D1%81%D0%B5%D0%BB%D0%B8%D1%89%D0%BD%D0%B0_%D0%B3%D1%80%D0%BE%D0%BC%D0%B0%D0%B4%D0%B0</t>
    </r>
  </si>
  <si>
    <t>Чкаловська селищна громада</t>
  </si>
  <si>
    <t>391,3 км2</t>
  </si>
  <si>
    <t>12 054 осіб</t>
  </si>
  <si>
    <r>
      <rPr>
        <sz val="10"/>
        <rFont val="Arial"/>
        <family val="2"/>
        <charset val="204"/>
      </rPr>
      <t xml:space="preserve">Чкаловська селищна рада та </t>
    </r>
    <r>
      <rPr>
        <sz val="10"/>
        <color rgb="FF202122"/>
        <rFont val="Arial"/>
        <family val="2"/>
        <charset val="204"/>
      </rPr>
      <t>Базаліївської</t>
    </r>
    <r>
      <rPr>
        <sz val="10"/>
        <rFont val="Arial"/>
        <family val="2"/>
        <charset val="204"/>
      </rPr>
      <t xml:space="preserve">, </t>
    </r>
    <r>
      <rPr>
        <sz val="10"/>
        <color rgb="FF202122"/>
        <rFont val="Arial"/>
        <family val="2"/>
        <charset val="204"/>
      </rPr>
      <t>Іванівської</t>
    </r>
    <r>
      <rPr>
        <sz val="10"/>
        <rFont val="Arial"/>
        <family val="2"/>
        <charset val="204"/>
      </rPr>
      <t xml:space="preserve">, </t>
    </r>
    <r>
      <rPr>
        <sz val="10"/>
        <color rgb="FF202122"/>
        <rFont val="Arial"/>
        <family val="2"/>
        <charset val="204"/>
      </rPr>
      <t>Коробочкинської</t>
    </r>
    <r>
      <rPr>
        <sz val="10"/>
        <rFont val="Arial"/>
        <family val="2"/>
        <charset val="204"/>
      </rPr>
      <t xml:space="preserve">, </t>
    </r>
    <r>
      <rPr>
        <sz val="10"/>
        <color rgb="FF202122"/>
        <rFont val="Arial"/>
        <family val="2"/>
        <charset val="204"/>
      </rPr>
      <t>Леб'язької</t>
    </r>
    <r>
      <rPr>
        <sz val="10"/>
        <rFont val="Arial"/>
        <family val="2"/>
        <charset val="204"/>
      </rPr>
      <t xml:space="preserve">, </t>
    </r>
    <r>
      <rPr>
        <sz val="10"/>
        <color rgb="FF202122"/>
        <rFont val="Arial"/>
        <family val="2"/>
        <charset val="204"/>
      </rPr>
      <t>Юрченківської</t>
    </r>
    <r>
      <rPr>
        <sz val="10"/>
        <rFont val="Arial"/>
        <family val="2"/>
        <charset val="204"/>
      </rPr>
      <t xml:space="preserve"> сільських рад,  Граківська сільська рада</t>
    </r>
  </si>
  <si>
    <t>Чкаловської селищної рада. Базаліївська, Іванівська, Коробочкинська, Леб'язька, Юрченківська сільські ради</t>
  </si>
  <si>
    <t>11 463 осіб</t>
  </si>
  <si>
    <t>1 ( у 2018)</t>
  </si>
  <si>
    <t>Граківська сільська рада</t>
  </si>
  <si>
    <t>лютий 2018 рік</t>
  </si>
  <si>
    <t>https://uk.wikipedia.org/wiki/%D0%A7%D0%BA%D0%B0%D0%BB%D0%BE%D0%B2%D1%81%D1%8C%D0%BA%D0%B0_%D1%81%D0%B5%D0%BB%D0%B8%D1%89%D0%BD%D0%B0_%D0%B3%D1%80%D0%BE%D0%BC%D0%B0%D0%B4%D0%B0</t>
  </si>
  <si>
    <t>Мереф'янська  територіальна громада</t>
  </si>
  <si>
    <t xml:space="preserve"> Утківської селищної ради , Яковлівської сільської ради</t>
  </si>
  <si>
    <t xml:space="preserve">  Мереф'янської міської рада</t>
  </si>
  <si>
    <t>Мереф'янської міської ради та Утківської селищної ради</t>
  </si>
  <si>
    <t xml:space="preserve">25 585 </t>
  </si>
  <si>
    <t>частина 1</t>
  </si>
  <si>
    <t xml:space="preserve"> Яковлівської сільської ради (сіл Яковлівка та Олександрівка)</t>
  </si>
  <si>
    <t>12 червня 2020 рік</t>
  </si>
  <si>
    <r>
      <rPr>
        <u/>
        <sz val="10"/>
        <color rgb="FF1155CC"/>
        <rFont val="Arial"/>
        <family val="2"/>
        <charset val="204"/>
      </rPr>
      <t>https://uk.wikipedia.org/wiki/%D0%9C%D0%B5%D1%80%D0%B5%D1%84%27%D1%8F%D0%BD%D1%81%D1%8C%D0%BA%D0%B0_%D0%BC%D1%96%D1%81%D1%8C%D0%BA%D0%B0_%D0%B3%D1%80%D0%BE%D0%BC%D0%B0%D0%B4%D0%B0</t>
    </r>
    <r>
      <rPr>
        <u/>
        <sz val="10"/>
        <color rgb="FF000000"/>
        <rFont val="Arial"/>
        <family val="2"/>
        <charset val="204"/>
      </rPr>
      <t xml:space="preserve">, </t>
    </r>
    <r>
      <rPr>
        <u/>
        <sz val="10"/>
        <color rgb="FF1155CC"/>
        <rFont val="Arial"/>
        <family val="2"/>
        <charset val="204"/>
      </rPr>
      <t>https://gromada.info/gromada/merefyanska/</t>
    </r>
  </si>
  <si>
    <t>Оскільська тереторіальна громада</t>
  </si>
  <si>
    <t>853,191 км²</t>
  </si>
  <si>
    <t>9 239</t>
  </si>
  <si>
    <t xml:space="preserve"> Капитолівська, Комарівська, Оскільська та Студенокська , Бражківська, Вірнопільська, Довгеньківська, Заводська та Малокомишуваська сільські ради</t>
  </si>
  <si>
    <r>
      <rPr>
        <sz val="11"/>
        <color rgb="FF202122"/>
        <rFont val="Arial"/>
        <family val="2"/>
        <charset val="204"/>
      </rPr>
      <t>Капитолівськ</t>
    </r>
    <r>
      <rPr>
        <sz val="11"/>
        <color rgb="FF202122"/>
        <rFont val="Arial"/>
        <family val="2"/>
        <charset val="204"/>
      </rPr>
      <t xml:space="preserve">а, </t>
    </r>
    <r>
      <rPr>
        <sz val="11"/>
        <color rgb="FF202122"/>
        <rFont val="Arial"/>
        <family val="2"/>
        <charset val="204"/>
      </rPr>
      <t>Комарівськ</t>
    </r>
    <r>
      <rPr>
        <sz val="11"/>
        <color rgb="FF202122"/>
        <rFont val="Arial"/>
        <family val="2"/>
        <charset val="204"/>
      </rPr>
      <t xml:space="preserve">а, </t>
    </r>
    <r>
      <rPr>
        <sz val="11"/>
        <color rgb="FF202122"/>
        <rFont val="Arial"/>
        <family val="2"/>
        <charset val="204"/>
      </rPr>
      <t>Оскільсь</t>
    </r>
    <r>
      <rPr>
        <sz val="11"/>
        <color rgb="FF202122"/>
        <rFont val="Arial"/>
        <family val="2"/>
        <charset val="204"/>
      </rPr>
      <t xml:space="preserve">ка та </t>
    </r>
    <r>
      <rPr>
        <sz val="11"/>
        <color rgb="FF202122"/>
        <rFont val="Arial"/>
        <family val="2"/>
        <charset val="204"/>
      </rPr>
      <t>Студеноксь</t>
    </r>
    <r>
      <rPr>
        <sz val="11"/>
        <color rgb="FF202122"/>
        <rFont val="Arial"/>
        <family val="2"/>
        <charset val="204"/>
      </rPr>
      <t>ка сільські ради</t>
    </r>
  </si>
  <si>
    <t xml:space="preserve"> 5 926</t>
  </si>
  <si>
    <t xml:space="preserve"> Бражківська, Вірнопільська, Довгеньківська, Заводська та Малокомишуваська сільські ради</t>
  </si>
  <si>
    <t>12 червня 2020</t>
  </si>
  <si>
    <t>https://uk.wikipedia.org/wiki/%D0%9E%D1%81%D0%BA%D1%96%D0%BB%D1%8C%D1%81%D1%8C%D0%BA%D0%B0_%D1%81%D1%96%D0%BB%D1%8C%D1%81%D1%8C%D0%BA%D0%B0_%D0%B3%D1%80%D0%BE%D0%BC%D0%B0%D0%B4%D0%B0</t>
  </si>
  <si>
    <t xml:space="preserve">Пісочинська об'єднана територіальна громада </t>
  </si>
  <si>
    <t>Харківському районі</t>
  </si>
  <si>
    <t xml:space="preserve">селищна </t>
  </si>
  <si>
    <t>Березівської та Пісочинської селищних рада,  Коротичанська селищна рада.</t>
  </si>
  <si>
    <t>Березівської та Пісочинської селищні ради</t>
  </si>
  <si>
    <t>22 050</t>
  </si>
  <si>
    <t>Коротичанська селищна рада.</t>
  </si>
  <si>
    <r>
      <rPr>
        <u/>
        <sz val="10"/>
        <color rgb="FF1155CC"/>
        <rFont val="Arial"/>
        <family val="2"/>
        <charset val="204"/>
      </rPr>
      <t>https://uk.wikipedia.org/wiki/%D0%9F%D1%96%D1%81%D0%BE%D1%87%D0%B8%D0%BD%D1%81%D1%8C%D0%BA%D0%B0_%D1%81%D0%B5%D0%BB%D0%B8%D1%89%D0%BD%D0%B0_%D0%B3%D1%80%D0%BE%D0%BC%D0%B0%D0%B4%D0%B0</t>
    </r>
    <r>
      <rPr>
        <u/>
        <sz val="10"/>
        <color rgb="FF000000"/>
        <rFont val="Arial"/>
        <family val="2"/>
        <charset val="204"/>
      </rPr>
      <t>,https://gromada.info/gromada/pisochinska/</t>
    </r>
  </si>
  <si>
    <t>Великобурлуцька об'єднана територіальна громада</t>
  </si>
  <si>
    <t xml:space="preserve"> Великобурлуцькомий район</t>
  </si>
  <si>
    <t xml:space="preserve"> 839,5 км2</t>
  </si>
  <si>
    <t>15 048</t>
  </si>
  <si>
    <r>
      <rPr>
        <sz val="10"/>
        <color rgb="FF202122"/>
        <rFont val="Arial"/>
        <family val="2"/>
        <charset val="204"/>
      </rPr>
      <t>Великобурлуцька селищна рад</t>
    </r>
    <r>
      <rPr>
        <sz val="10"/>
        <rFont val="Arial"/>
        <family val="2"/>
        <charset val="204"/>
      </rPr>
      <t xml:space="preserve">а та </t>
    </r>
    <r>
      <rPr>
        <sz val="10"/>
        <color rgb="FF202122"/>
        <rFont val="Arial"/>
        <family val="2"/>
        <charset val="204"/>
      </rPr>
      <t>Гнилицька Перш</t>
    </r>
    <r>
      <rPr>
        <sz val="10"/>
        <rFont val="Arial"/>
        <family val="2"/>
        <charset val="204"/>
      </rPr>
      <t>а сільська рада , Андріївська, Гнилицька, Григорівська, Катеринівська, Малобурлуцька, Новоолександрівська, Підсереднянська, Хатнянська, Червонохвильська та Шипуватська сільські ради</t>
    </r>
  </si>
  <si>
    <t>Великобурлуцька селищна рада та Гнилицька Перша сільська рада</t>
  </si>
  <si>
    <t>Андріївську, Гнилицьку, Григорівську, Катеринівську, Малобурлуцьку, Новоолександрівську, Підсереднянську, Хатнянську, Червонохвильську та Шипуватську сільські ради</t>
  </si>
  <si>
    <t>https://uk.wikipedia.org/wiki/%D0%92%D0%B5%D0%BB%D0%B8%D0%BA%D0%BE%D0%B1%D1%83%D1%80%D0%BB%D1%83%D1%86%D1%8C%D0%BA%D0%B0_%D1%81%D0%B5%D0%BB%D0%B8%D1%89%D0%BD%D0%B0_%D0%B3%D1%80%D0%BE%D0%BC%D0%B0%D0%B4%D0%B0</t>
  </si>
  <si>
    <t>Ізюмська об'єднана територіальна громада</t>
  </si>
  <si>
    <t>Ізюмського район</t>
  </si>
  <si>
    <t xml:space="preserve">міська </t>
  </si>
  <si>
    <t xml:space="preserve"> Кам'янської сільська рада, Левківська Бригадирівська</t>
  </si>
  <si>
    <t>Ізюмської міська рада</t>
  </si>
  <si>
    <t>Ізюмська міська рада,Кам'янської сільська рада</t>
  </si>
  <si>
    <t xml:space="preserve"> Левківська Бригадирівська</t>
  </si>
  <si>
    <t>https://uk.wikipedia.org/wiki/%D0%86%D0%B7%D1%8E%D0%BC%D1%81%D1%8C%D0%BA%D0%B0_%D0%BC%D1%96%D1%81%D1%8C%D0%BA%D0%B0_%D0%B3%D1%80%D0%BE%D0%BC%D0%B0%D0%B4%D0%B0</t>
  </si>
  <si>
    <t xml:space="preserve">міська 
</t>
  </si>
  <si>
    <t>1424,9 кв.км</t>
  </si>
  <si>
    <t>Панютинської селищної та Домаської, Катеринівської, Кінненської, Миколаївської, Миролюбівської, Новоіванівської, Царедарівської, Чернігівської, Шатівської сільських рад,</t>
  </si>
  <si>
    <t>Панютинської селищної та Домаської, Катеринівської, Кінненської, Миколаївської, Миролюбівської, Новоіванівської, Царедарівської, Чернігівської, Шатівської сільських рад,                (+ Артільної, Бунаківської, Єлизаветівської, Павлівської Другої, Перемозької, Садівської, Тихопільської та Яковліської сільських рад. в 20.12.2018)</t>
  </si>
  <si>
    <t>Смирнівська сільська рада</t>
  </si>
  <si>
    <t>29.03.2019</t>
  </si>
  <si>
    <t>https://lozovarada.gov.ua/informatsiya-pro-misto/istoriya-mista.html</t>
  </si>
  <si>
    <t>Печенізької селищної ради та Артемівської, Борщівської, Мартівської і Новобурлуцької сільських рад</t>
  </si>
  <si>
    <t>Борщівська територіальна громада</t>
  </si>
  <si>
    <t>dovgota</t>
  </si>
  <si>
    <t>shyrota</t>
  </si>
  <si>
    <t>fb_site_url</t>
  </si>
  <si>
    <t>year</t>
  </si>
  <si>
    <t>settlement_name</t>
  </si>
  <si>
    <t>hromada_name</t>
  </si>
  <si>
    <t>youth_council_name</t>
  </si>
  <si>
    <t>hromada_row</t>
  </si>
  <si>
    <r>
      <rPr>
        <u/>
        <sz val="10"/>
        <color rgb="FF1155CC"/>
        <rFont val="Arial"/>
        <family val="2"/>
        <charset val="204"/>
        <scheme val="major"/>
      </rPr>
      <t>https://www.facebook.com/youthcenter.kyiv/</t>
    </r>
    <r>
      <rPr>
        <sz val="10"/>
        <color rgb="FF000000"/>
        <rFont val="Arial"/>
        <family val="2"/>
        <charset val="204"/>
        <scheme val="major"/>
      </rPr>
      <t xml:space="preserve">, </t>
    </r>
    <r>
      <rPr>
        <u/>
        <sz val="10"/>
        <color rgb="FF1155CC"/>
        <rFont val="Arial"/>
        <family val="2"/>
        <charset val="204"/>
        <scheme val="major"/>
      </rPr>
      <t>https://patriotua.org/mcgo/</t>
    </r>
  </si>
  <si>
    <r>
      <rPr>
        <u/>
        <sz val="10"/>
        <color rgb="FF1155CC"/>
        <rFont val="Arial"/>
        <family val="2"/>
        <charset val="204"/>
        <scheme val="major"/>
      </rPr>
      <t>https://www.plast.org.ua/vyshkilny-center/</t>
    </r>
    <r>
      <rPr>
        <sz val="10"/>
        <color rgb="FF000000"/>
        <rFont val="Arial"/>
        <family val="2"/>
        <charset val="204"/>
        <scheme val="major"/>
      </rPr>
      <t xml:space="preserve">, </t>
    </r>
    <r>
      <rPr>
        <u/>
        <sz val="10"/>
        <color rgb="FF1155CC"/>
        <rFont val="Arial"/>
        <family val="2"/>
        <charset val="204"/>
        <scheme val="major"/>
      </rPr>
      <t>https://www.plast.org.ua/vyshkilny-center/</t>
    </r>
  </si>
  <si>
    <r>
      <rPr>
        <sz val="10"/>
        <color theme="1"/>
        <rFont val="Arial"/>
        <family val="2"/>
        <charset val="204"/>
        <scheme val="major"/>
      </rPr>
      <t>Переяславська</t>
    </r>
    <r>
      <rPr>
        <sz val="10"/>
        <color rgb="FF111111"/>
        <rFont val="Arial"/>
        <family val="2"/>
        <charset val="204"/>
        <scheme val="major"/>
      </rPr>
      <t xml:space="preserve"> міська громада</t>
    </r>
  </si>
  <si>
    <r>
      <t>Толока-хаб</t>
    </r>
    <r>
      <rPr>
        <sz val="10"/>
        <color rgb="FFFF0000"/>
        <rFont val="Arial"/>
        <family val="2"/>
        <charset val="204"/>
        <scheme val="major"/>
      </rPr>
      <t xml:space="preserve"> ( проєкт Джеи толоки</t>
    </r>
    <r>
      <rPr>
        <sz val="10"/>
        <color theme="1"/>
        <rFont val="Arial"/>
        <family val="2"/>
        <charset val="204"/>
        <scheme val="major"/>
      </rPr>
      <t>)</t>
    </r>
  </si>
  <si>
    <r>
      <rPr>
        <u/>
        <sz val="10"/>
        <color rgb="FF1155CC"/>
        <rFont val="Arial"/>
        <family val="2"/>
        <charset val="204"/>
        <scheme val="major"/>
      </rPr>
      <t>https://vk.com/novocxid</t>
    </r>
    <r>
      <rPr>
        <sz val="10"/>
        <color rgb="FF000000"/>
        <rFont val="Arial"/>
        <family val="2"/>
        <charset val="204"/>
        <scheme val="major"/>
      </rPr>
      <t>(вибачте за вконтакті)</t>
    </r>
  </si>
  <si>
    <t>youth_center_name</t>
  </si>
  <si>
    <t>type</t>
  </si>
  <si>
    <t>Обухівська селищна територіальна громада</t>
  </si>
  <si>
    <t>Зимнівська сільська територіальна громада</t>
  </si>
  <si>
    <t>hromada_name_full</t>
  </si>
  <si>
    <t>hromada_name_short</t>
  </si>
  <si>
    <t>oblast_name_short</t>
  </si>
  <si>
    <t>rayon_name_short</t>
  </si>
  <si>
    <t>s</t>
  </si>
  <si>
    <t>місто</t>
  </si>
  <si>
    <t>Первомайськ</t>
  </si>
  <si>
    <t>село</t>
  </si>
  <si>
    <t>Жидичин</t>
  </si>
  <si>
    <t>Татарів</t>
  </si>
  <si>
    <t>settlement_type</t>
  </si>
  <si>
    <t>Вінницька</t>
  </si>
  <si>
    <t>Дніпропетровська</t>
  </si>
  <si>
    <t>Запорізька</t>
  </si>
  <si>
    <t>Івано-Франківська</t>
  </si>
  <si>
    <t>Полтавська</t>
  </si>
  <si>
    <t>Львівська</t>
  </si>
  <si>
    <t>Чернігівська</t>
  </si>
  <si>
    <t>Миколаївська</t>
  </si>
  <si>
    <t>Чернівецька</t>
  </si>
  <si>
    <t>Черкаська</t>
  </si>
  <si>
    <t>Сумська</t>
  </si>
  <si>
    <t>Донецька</t>
  </si>
  <si>
    <t>Чернігівський</t>
  </si>
  <si>
    <t>Луцька</t>
  </si>
  <si>
    <t>Луцький</t>
  </si>
  <si>
    <t>Волинська</t>
  </si>
  <si>
    <t>Зимнівська</t>
  </si>
  <si>
    <t>Кам'янець-Подільська</t>
  </si>
  <si>
    <t>Хмельницька</t>
  </si>
  <si>
    <t>Смідинська</t>
  </si>
  <si>
    <t>Ковельський</t>
  </si>
  <si>
    <t>Литовезька</t>
  </si>
  <si>
    <t>Устилузька</t>
  </si>
  <si>
    <t>Матеївецька</t>
  </si>
  <si>
    <t>Коломийський</t>
  </si>
  <si>
    <t>Печеніжинська</t>
  </si>
  <si>
    <t>Нижньовербізька</t>
  </si>
  <si>
    <t>Дніпровська</t>
  </si>
  <si>
    <t>Тернопільська</t>
  </si>
  <si>
    <t>Тернопільський</t>
  </si>
  <si>
    <t>Козівська</t>
  </si>
  <si>
    <t>Стрийський</t>
  </si>
  <si>
    <t>Ірпінська</t>
  </si>
  <si>
    <t>Київська</t>
  </si>
  <si>
    <t>Бурштинська</t>
  </si>
  <si>
    <t>Івано-Франківський</t>
  </si>
  <si>
    <t>Межівська</t>
  </si>
  <si>
    <t>Синельниківський</t>
  </si>
  <si>
    <t>Херсонська</t>
  </si>
  <si>
    <t>Херсонський</t>
  </si>
  <si>
    <t>Бучанська</t>
  </si>
  <si>
    <t>Бучанський</t>
  </si>
  <si>
    <t>Прибужанівська</t>
  </si>
  <si>
    <t>Вознесенський</t>
  </si>
  <si>
    <t>Доманівська</t>
  </si>
  <si>
    <t>Корюківська</t>
  </si>
  <si>
    <t>Чернівецький</t>
  </si>
  <si>
    <t>Львівський</t>
  </si>
  <si>
    <t>Фастівська</t>
  </si>
  <si>
    <t>Фастівський</t>
  </si>
  <si>
    <t>Теребовлянська</t>
  </si>
  <si>
    <t>Немішаївська</t>
  </si>
  <si>
    <t>Дунаєвецька</t>
  </si>
  <si>
    <t>Марківська</t>
  </si>
  <si>
    <t>Старобільський</t>
  </si>
  <si>
    <t>Луганська</t>
  </si>
  <si>
    <t>Томаківська</t>
  </si>
  <si>
    <t>Нікопольський</t>
  </si>
  <si>
    <t>Арбузинська</t>
  </si>
  <si>
    <t>Миколаївський</t>
  </si>
  <si>
    <t>Маловисківська</t>
  </si>
  <si>
    <t>Новоукраїнський</t>
  </si>
  <si>
    <t>Кіровоградська</t>
  </si>
  <si>
    <t>Шацька</t>
  </si>
  <si>
    <t>Кам’янська</t>
  </si>
  <si>
    <t>Черкаський</t>
  </si>
  <si>
    <t>Новодмитрівська</t>
  </si>
  <si>
    <t>Золотоніський</t>
  </si>
  <si>
    <t>Сосницька</t>
  </si>
  <si>
    <t>Корюківський</t>
  </si>
  <si>
    <t>Карпівська</t>
  </si>
  <si>
    <t>Криворізький</t>
  </si>
  <si>
    <t>Смизька</t>
  </si>
  <si>
    <t>Дубенський</t>
  </si>
  <si>
    <t>Запорізький</t>
  </si>
  <si>
    <t>Золотоніська</t>
  </si>
  <si>
    <t>Славутицька</t>
  </si>
  <si>
    <t>Вишгородський</t>
  </si>
  <si>
    <t>Мереф'янська</t>
  </si>
  <si>
    <t>Харківський</t>
  </si>
  <si>
    <t>Городницька</t>
  </si>
  <si>
    <t>Житомирська</t>
  </si>
  <si>
    <t>Одеська</t>
  </si>
  <si>
    <t>Одеський</t>
  </si>
  <si>
    <t>Бердянський</t>
  </si>
  <si>
    <t>Лубенська</t>
  </si>
  <si>
    <t>Лубенський</t>
  </si>
  <si>
    <t>Вінницький</t>
  </si>
  <si>
    <t>Дніпровський</t>
  </si>
  <si>
    <t>Житомирський</t>
  </si>
  <si>
    <t>Мостівська</t>
  </si>
  <si>
    <t>Девладівська</t>
  </si>
  <si>
    <t>Мелітопольська</t>
  </si>
  <si>
    <t>Мелітопольський</t>
  </si>
  <si>
    <t>Демидівська</t>
  </si>
  <si>
    <t>Чмирівська</t>
  </si>
  <si>
    <t>Варвинська</t>
  </si>
  <si>
    <t>Прилуцький</t>
  </si>
  <si>
    <t>Шполянська</t>
  </si>
  <si>
    <t>Звенигородський</t>
  </si>
  <si>
    <t>Лановецька</t>
  </si>
  <si>
    <t>Кременецький</t>
  </si>
  <si>
    <t>Люботинська</t>
  </si>
  <si>
    <t>Городнянська</t>
  </si>
  <si>
    <t>Микулинецька</t>
  </si>
  <si>
    <t>Березівська</t>
  </si>
  <si>
    <t>Вільховецька</t>
  </si>
  <si>
    <t>Тячівський</t>
  </si>
  <si>
    <t>Закарпатська</t>
  </si>
  <si>
    <t>Іршавська</t>
  </si>
  <si>
    <t>Ужгородський</t>
  </si>
  <si>
    <t>Слобожанська</t>
  </si>
  <si>
    <t>Перечинська</t>
  </si>
  <si>
    <t>Тячівська</t>
  </si>
  <si>
    <t>Краматорська</t>
  </si>
  <si>
    <t>Краматорський</t>
  </si>
  <si>
    <t>Приморська</t>
  </si>
  <si>
    <t>Старовижівська</t>
  </si>
  <si>
    <t>Острозька</t>
  </si>
  <si>
    <t>Рівненський</t>
  </si>
  <si>
    <t>Кушугумська</t>
  </si>
  <si>
    <t>Білоцерківська</t>
  </si>
  <si>
    <t>Славутська</t>
  </si>
  <si>
    <t>Шепетівський</t>
  </si>
  <si>
    <t>Коломийська</t>
  </si>
  <si>
    <t>Красноградська</t>
  </si>
  <si>
    <t>Красноградський</t>
  </si>
  <si>
    <t>Підволочиська</t>
  </si>
  <si>
    <t>Маріупольська</t>
  </si>
  <si>
    <t>Маріупольський</t>
  </si>
  <si>
    <t>Меденицька</t>
  </si>
  <si>
    <t>Дрогобицький</t>
  </si>
  <si>
    <t>Сокальська</t>
  </si>
  <si>
    <t>Червоноградський</t>
  </si>
  <si>
    <t>Здовбицька</t>
  </si>
  <si>
    <t>Коломацька</t>
  </si>
  <si>
    <t>Полтавський</t>
  </si>
  <si>
    <t>Новоград-Волинська</t>
  </si>
  <si>
    <t>Угринівська</t>
  </si>
  <si>
    <t>Васильківська</t>
  </si>
  <si>
    <t>Жовківська</t>
  </si>
  <si>
    <t>Жмеринська</t>
  </si>
  <si>
    <t>Жмеринський</t>
  </si>
  <si>
    <t>Охтирська</t>
  </si>
  <si>
    <t>Охтирський</t>
  </si>
  <si>
    <t>Горностаївська</t>
  </si>
  <si>
    <t>Каховський</t>
  </si>
  <si>
    <t>Сумський</t>
  </si>
  <si>
    <t>Стрілківська</t>
  </si>
  <si>
    <t>Самбірський</t>
  </si>
  <si>
    <t>Ужгородська</t>
  </si>
  <si>
    <t>Батівська</t>
  </si>
  <si>
    <t>Кропивницька</t>
  </si>
  <si>
    <t>Миропільська</t>
  </si>
  <si>
    <t>Ківерцівська</t>
  </si>
  <si>
    <t>Великобичківська</t>
  </si>
  <si>
    <t>Рахівський</t>
  </si>
  <si>
    <t>Рожищенська</t>
  </si>
  <si>
    <t>Романівська</t>
  </si>
  <si>
    <t>Чортківська</t>
  </si>
  <si>
    <t>Чортківський</t>
  </si>
  <si>
    <t>Мирноградська</t>
  </si>
  <si>
    <t>Покровський</t>
  </si>
  <si>
    <t>Добросинсько-Магерівська</t>
  </si>
  <si>
    <t>Балаклійська</t>
  </si>
  <si>
    <t>Ізюмський</t>
  </si>
  <si>
    <t>Варковицька</t>
  </si>
  <si>
    <t>Торчинська</t>
  </si>
  <si>
    <t>Чернеччинська</t>
  </si>
  <si>
    <t>Новомосковський</t>
  </si>
  <si>
    <t>Кіптівська</t>
  </si>
  <si>
    <t>Зміївська</t>
  </si>
  <si>
    <t>Чугуївський</t>
  </si>
  <si>
    <t>Підгайцівська</t>
  </si>
  <si>
    <t>Верхньодніпровська</t>
  </si>
  <si>
    <t>Кам’янський</t>
  </si>
  <si>
    <t>Білоцерківська міська територіальна громада</t>
  </si>
  <si>
    <t>Білоцерківський</t>
  </si>
  <si>
    <t>Переяславська міська громада</t>
  </si>
  <si>
    <t>Переяславська</t>
  </si>
  <si>
    <t>Медвинська</t>
  </si>
  <si>
    <t>Вишгородська</t>
  </si>
  <si>
    <t>Боярська</t>
  </si>
  <si>
    <t>Війтівецька</t>
  </si>
  <si>
    <t>Хмільницький</t>
  </si>
  <si>
    <t>Ковельська</t>
  </si>
  <si>
    <t>Нововолинська</t>
  </si>
  <si>
    <t>Копачівська</t>
  </si>
  <si>
    <t>Поромівська</t>
  </si>
  <si>
    <t>Криворізька</t>
  </si>
  <si>
    <t>Кам'янська</t>
  </si>
  <si>
    <t>Павлоградська</t>
  </si>
  <si>
    <t>Павлоградський</t>
  </si>
  <si>
    <t>Новомосковська</t>
  </si>
  <si>
    <t>Тернівська</t>
  </si>
  <si>
    <t>Покровська</t>
  </si>
  <si>
    <t>Обухівська</t>
  </si>
  <si>
    <t>Софіївська</t>
  </si>
  <si>
    <t>Підгородненська</t>
  </si>
  <si>
    <t>Гречаноподівська</t>
  </si>
  <si>
    <t>Петропавлівська</t>
  </si>
  <si>
    <t>Царичанська</t>
  </si>
  <si>
    <t>Сурсько-Литовська</t>
  </si>
  <si>
    <t>Бахмутська</t>
  </si>
  <si>
    <t>Бахмутський</t>
  </si>
  <si>
    <t>Добропільська</t>
  </si>
  <si>
    <t>Святогірська</t>
  </si>
  <si>
    <t>Костянтинівська</t>
  </si>
  <si>
    <t>Слов'янська</t>
  </si>
  <si>
    <t>Авдіївська</t>
  </si>
  <si>
    <t>Олександрівська</t>
  </si>
  <si>
    <t>Великоновосілківська</t>
  </si>
  <si>
    <t>Волноваський</t>
  </si>
  <si>
    <t>Комарська</t>
  </si>
  <si>
    <t>Хлібодарівська</t>
  </si>
  <si>
    <t>Вугледарська</t>
  </si>
  <si>
    <t>Дружківська</t>
  </si>
  <si>
    <t>Мар'їнська</t>
  </si>
  <si>
    <t>Лиманська</t>
  </si>
  <si>
    <t>Мангушська</t>
  </si>
  <si>
    <t>Сартанська</t>
  </si>
  <si>
    <t>Нікольська</t>
  </si>
  <si>
    <t>Новогродівська</t>
  </si>
  <si>
    <t>Селидівська</t>
  </si>
  <si>
    <t>Райгородоцька</t>
  </si>
  <si>
    <t>Очеретинська</t>
  </si>
  <si>
    <t>Білозерська</t>
  </si>
  <si>
    <t>Гродівська</t>
  </si>
  <si>
    <t>Шахівська</t>
  </si>
  <si>
    <t>Торецька</t>
  </si>
  <si>
    <t>Світлодарська</t>
  </si>
  <si>
    <t>Старомлинівська</t>
  </si>
  <si>
    <t>Новодонецька</t>
  </si>
  <si>
    <t>Званівська</t>
  </si>
  <si>
    <t>Іллінівська</t>
  </si>
  <si>
    <t>Заліщицька</t>
  </si>
  <si>
    <t>Кальчицька</t>
  </si>
  <si>
    <t>Курахівська</t>
  </si>
  <si>
    <t>Хлібодарівської</t>
  </si>
  <si>
    <t>Бердичівська</t>
  </si>
  <si>
    <t>Бердичівський</t>
  </si>
  <si>
    <t>Коростенська</t>
  </si>
  <si>
    <t>Коростенський</t>
  </si>
  <si>
    <t>Малинська</t>
  </si>
  <si>
    <t>Станишівська</t>
  </si>
  <si>
    <t>Мукачівська</t>
  </si>
  <si>
    <t>Мукачівський</t>
  </si>
  <si>
    <t>Виноградівська</t>
  </si>
  <si>
    <t>Берегівський</t>
  </si>
  <si>
    <t>Хустський</t>
  </si>
  <si>
    <t>Ясінянська</t>
  </si>
  <si>
    <t>Довжанська</t>
  </si>
  <si>
    <t>Енергодарська</t>
  </si>
  <si>
    <t>Василівський</t>
  </si>
  <si>
    <t>Приморської</t>
  </si>
  <si>
    <t>Бердянської</t>
  </si>
  <si>
    <t>Комиш-Зорянська</t>
  </si>
  <si>
    <t>Пологівський</t>
  </si>
  <si>
    <t>Якимівська</t>
  </si>
  <si>
    <t>Рогатинської</t>
  </si>
  <si>
    <t>Калуська</t>
  </si>
  <si>
    <t>Калуський</t>
  </si>
  <si>
    <t>Верховинська</t>
  </si>
  <si>
    <t>Верховинський</t>
  </si>
  <si>
    <t>Витвицька</t>
  </si>
  <si>
    <t>Тлумацької</t>
  </si>
  <si>
    <t>Старобогородчанська</t>
  </si>
  <si>
    <t>Дзвиняцька</t>
  </si>
  <si>
    <t>Печеніжинської</t>
  </si>
  <si>
    <t>Надвірнянська</t>
  </si>
  <si>
    <t>Надвірнянський</t>
  </si>
  <si>
    <t>Дмитрівська</t>
  </si>
  <si>
    <t>Новопразька</t>
  </si>
  <si>
    <t>Олександрійський</t>
  </si>
  <si>
    <t>Сєвєродонецька</t>
  </si>
  <si>
    <t>Сєвєродонецький</t>
  </si>
  <si>
    <t>Лисичанська</t>
  </si>
  <si>
    <t>Новопсковської</t>
  </si>
  <si>
    <t>Станично-Луганська</t>
  </si>
  <si>
    <t>Щастинський</t>
  </si>
  <si>
    <t>Сватівська</t>
  </si>
  <si>
    <t>Сватівський</t>
  </si>
  <si>
    <t>Рубіжанської</t>
  </si>
  <si>
    <t>Старобільська</t>
  </si>
  <si>
    <t>Сєвєродонецької</t>
  </si>
  <si>
    <t>Комишуваська</t>
  </si>
  <si>
    <t>Пустомитівська</t>
  </si>
  <si>
    <t>Червоноградської</t>
  </si>
  <si>
    <t>Жовтанецька</t>
  </si>
  <si>
    <t>Дрогобицької</t>
  </si>
  <si>
    <t>Червоноградська</t>
  </si>
  <si>
    <t>Новокалинівська</t>
  </si>
  <si>
    <t>Бродівська</t>
  </si>
  <si>
    <t>Золочівський</t>
  </si>
  <si>
    <t>Буська</t>
  </si>
  <si>
    <t>Ралівська</t>
  </si>
  <si>
    <t>Давидівська</t>
  </si>
  <si>
    <t>Стрийської</t>
  </si>
  <si>
    <t>Тростянецька</t>
  </si>
  <si>
    <t>Новороздільська</t>
  </si>
  <si>
    <t>Самбірської</t>
  </si>
  <si>
    <t>Новояворівська</t>
  </si>
  <si>
    <t>Яворівський</t>
  </si>
  <si>
    <t>Стрийська</t>
  </si>
  <si>
    <t>Вознесенська</t>
  </si>
  <si>
    <t>Доброславська</t>
  </si>
  <si>
    <t>Савранська</t>
  </si>
  <si>
    <t>Подільський</t>
  </si>
  <si>
    <t>Кременчуцька</t>
  </si>
  <si>
    <t>Кременчуцький</t>
  </si>
  <si>
    <t>Омельницька</t>
  </si>
  <si>
    <t>Новосанжарська</t>
  </si>
  <si>
    <t>Дубровицька</t>
  </si>
  <si>
    <t>Сарненський</t>
  </si>
  <si>
    <t>Привільненська</t>
  </si>
  <si>
    <t>Вараської</t>
  </si>
  <si>
    <t>Вараський</t>
  </si>
  <si>
    <t>Здолбунівська</t>
  </si>
  <si>
    <t>Великогаївська</t>
  </si>
  <si>
    <t>Бережанська</t>
  </si>
  <si>
    <t>Товстенська</t>
  </si>
  <si>
    <t>Бучацька</t>
  </si>
  <si>
    <t>Заводська</t>
  </si>
  <si>
    <t>Первомайська</t>
  </si>
  <si>
    <t>Лозівський</t>
  </si>
  <si>
    <t>Лозівська</t>
  </si>
  <si>
    <t>Ізюмська</t>
  </si>
  <si>
    <t>Чугуївська</t>
  </si>
  <si>
    <t>Куп'янська</t>
  </si>
  <si>
    <t>Куп’янський</t>
  </si>
  <si>
    <t>Нововодолазька</t>
  </si>
  <si>
    <t>Валківська</t>
  </si>
  <si>
    <t>Богодухівський</t>
  </si>
  <si>
    <t>Золочівська</t>
  </si>
  <si>
    <t>Роганська</t>
  </si>
  <si>
    <t>Малинівська</t>
  </si>
  <si>
    <t>Липецька</t>
  </si>
  <si>
    <t>Новорайська</t>
  </si>
  <si>
    <t>Бериславський</t>
  </si>
  <si>
    <t>Високопільська</t>
  </si>
  <si>
    <t>Скадовська</t>
  </si>
  <si>
    <t>Скадовський</t>
  </si>
  <si>
    <t>Гуляйпільська</t>
  </si>
  <si>
    <t>Смілянська</t>
  </si>
  <si>
    <t>Драбівська</t>
  </si>
  <si>
    <t>Степанецька</t>
  </si>
  <si>
    <t>Уманська</t>
  </si>
  <si>
    <t>Уманський</t>
  </si>
  <si>
    <t>Чигиринська</t>
  </si>
  <si>
    <t>Кам'янецька</t>
  </si>
  <si>
    <t>Прилуцька</t>
  </si>
  <si>
    <t>Ніжинська</t>
  </si>
  <si>
    <t>Ніжинський</t>
  </si>
  <si>
    <t>Корюківської</t>
  </si>
  <si>
    <t>Добрянська</t>
  </si>
  <si>
    <t>м.Київ</t>
  </si>
  <si>
    <t>Володимир-Волинська</t>
  </si>
  <si>
    <t>Бориспільський</t>
  </si>
  <si>
    <t>Токмацька</t>
  </si>
  <si>
    <t>Токмацька громада</t>
  </si>
  <si>
    <t>Старосамбірська міська громада</t>
  </si>
  <si>
    <t>Старосамбірська</t>
  </si>
  <si>
    <t>Борщівська</t>
  </si>
  <si>
    <t>Кам’яномостівська</t>
  </si>
  <si>
    <t>Кам’янець-Подільська</t>
  </si>
  <si>
    <t>Мереф’янська</t>
  </si>
  <si>
    <t>селище міського типу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</si>
</sst>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0">
    <font>
      <sz val="10"/>
      <color rgb="FF000000"/>
      <name val="Arial"/>
      <scheme val="minor"/>
    </font>
    <font>
      <b/>
      <sz val="12"/>
      <color theme="1"/>
      <name val="Arial"/>
      <family val="2"/>
      <charset val="204"/>
      <scheme val="minor"/>
    </font>
    <font>
      <sz val="10"/>
      <color theme="1"/>
      <name val="Arial"/>
      <family val="2"/>
      <charset val="204"/>
      <scheme val="minor"/>
    </font>
    <font>
      <sz val="11"/>
      <color rgb="FFF7981D"/>
      <name val="Arial"/>
      <family val="2"/>
      <charset val="204"/>
      <scheme val="minor"/>
    </font>
    <font>
      <u/>
      <sz val="11"/>
      <color rgb="FF25669C"/>
      <name val="Roboto"/>
    </font>
    <font>
      <u/>
      <sz val="10"/>
      <color rgb="FF1155CC"/>
      <name val="Arial"/>
      <family val="2"/>
      <charset val="204"/>
    </font>
    <font>
      <u/>
      <sz val="10"/>
      <color rgb="FF0000FF"/>
      <name val="Arial"/>
      <family val="2"/>
      <charset val="204"/>
    </font>
    <font>
      <sz val="10"/>
      <color rgb="FF000000"/>
      <name val="Arial"/>
      <family val="2"/>
      <charset val="204"/>
    </font>
    <font>
      <sz val="10"/>
      <color theme="1"/>
      <name val="Arial"/>
      <family val="2"/>
      <charset val="204"/>
    </font>
    <font>
      <u/>
      <sz val="10"/>
      <color rgb="FF1155CC"/>
      <name val="Arial"/>
      <family val="2"/>
      <charset val="204"/>
    </font>
    <font>
      <u/>
      <sz val="10"/>
      <color rgb="FF0000FF"/>
      <name val="Arial"/>
      <family val="2"/>
      <charset val="204"/>
    </font>
    <font>
      <sz val="10"/>
      <color rgb="FF111111"/>
      <name val="Arial"/>
      <family val="2"/>
      <charset val="204"/>
    </font>
    <font>
      <u/>
      <sz val="10"/>
      <color rgb="FF1155CC"/>
      <name val="Arial"/>
      <family val="2"/>
      <charset val="204"/>
    </font>
    <font>
      <u/>
      <sz val="10"/>
      <color rgb="FF0000FF"/>
      <name val="Arial"/>
      <family val="2"/>
      <charset val="204"/>
    </font>
    <font>
      <u/>
      <sz val="10"/>
      <color rgb="FF1155CC"/>
      <name val="Arial"/>
      <family val="2"/>
      <charset val="204"/>
    </font>
    <font>
      <b/>
      <sz val="10"/>
      <color theme="1"/>
      <name val="Arial"/>
      <family val="2"/>
      <charset val="204"/>
    </font>
    <font>
      <u/>
      <sz val="10"/>
      <color rgb="FF0000FF"/>
      <name val="Arial"/>
      <family val="2"/>
      <charset val="204"/>
    </font>
    <font>
      <u/>
      <sz val="10"/>
      <color rgb="FF0000FF"/>
      <name val="Arial"/>
      <family val="2"/>
      <charset val="204"/>
    </font>
    <font>
      <u/>
      <sz val="10"/>
      <color rgb="FF000000"/>
      <name val="Arial"/>
      <family val="2"/>
      <charset val="204"/>
    </font>
    <font>
      <u/>
      <sz val="10"/>
      <color rgb="FF0000FF"/>
      <name val="Arial"/>
      <family val="2"/>
      <charset val="204"/>
    </font>
    <font>
      <u/>
      <sz val="10"/>
      <color rgb="FF0000FF"/>
      <name val="Arial"/>
      <family val="2"/>
      <charset val="204"/>
    </font>
    <font>
      <sz val="8"/>
      <color theme="1"/>
      <name val="&quot;Liberation Sans&quot;"/>
    </font>
    <font>
      <sz val="8"/>
      <color theme="1"/>
      <name val="Arial"/>
      <family val="2"/>
      <charset val="204"/>
    </font>
    <font>
      <sz val="10"/>
      <color rgb="FF000000"/>
      <name val="Arial"/>
      <family val="2"/>
      <charset val="204"/>
    </font>
    <font>
      <u/>
      <sz val="10"/>
      <color rgb="FF1155CC"/>
      <name val="Arial"/>
      <family val="2"/>
      <charset val="204"/>
    </font>
    <font>
      <sz val="11"/>
      <color rgb="FF202122"/>
      <name val="Arial"/>
      <family val="2"/>
      <charset val="204"/>
    </font>
    <font>
      <u/>
      <sz val="10"/>
      <color rgb="FF1155CC"/>
      <name val="Arial"/>
      <family val="2"/>
      <charset val="204"/>
    </font>
    <font>
      <b/>
      <sz val="10"/>
      <color theme="1"/>
      <name val="Arial"/>
      <family val="2"/>
      <charset val="204"/>
      <scheme val="minor"/>
    </font>
    <font>
      <sz val="11"/>
      <color rgb="FF202122"/>
      <name val="Sans-serif"/>
    </font>
    <font>
      <sz val="8"/>
      <color theme="1"/>
      <name val="FreeSans"/>
    </font>
    <font>
      <u/>
      <sz val="10"/>
      <color rgb="FF0000FF"/>
      <name val="Arial"/>
      <family val="2"/>
      <charset val="204"/>
    </font>
    <font>
      <sz val="10"/>
      <color rgb="FF000000"/>
      <name val="Arial"/>
      <family val="2"/>
      <charset val="204"/>
      <scheme val="minor"/>
    </font>
    <font>
      <sz val="10"/>
      <color rgb="FF2E2F30"/>
      <name val="&quot;Open Sans&quot;"/>
    </font>
    <font>
      <u/>
      <sz val="12"/>
      <color rgb="FF0000FF"/>
      <name val="Arial"/>
      <family val="2"/>
      <charset val="204"/>
    </font>
    <font>
      <u/>
      <sz val="10"/>
      <color rgb="FF0000FF"/>
      <name val="Open Sans"/>
    </font>
    <font>
      <u/>
      <sz val="10"/>
      <color rgb="FF000000"/>
      <name val="Arial"/>
      <family val="2"/>
      <charset val="204"/>
    </font>
    <font>
      <sz val="10"/>
      <color rgb="FF000000"/>
      <name val="Open Sans"/>
    </font>
    <font>
      <sz val="10"/>
      <color rgb="FF000000"/>
      <name val="&quot;docs-Open Sans&quot;"/>
    </font>
    <font>
      <u/>
      <sz val="10"/>
      <color rgb="FF127CBA"/>
      <name val="&quot;Open Sans&quot;"/>
    </font>
    <font>
      <u/>
      <sz val="10"/>
      <color rgb="FF2E2F30"/>
      <name val="&quot;Open Sans&quot;"/>
    </font>
    <font>
      <sz val="10"/>
      <color rgb="FF2E2F30"/>
      <name val="Open Sans"/>
    </font>
    <font>
      <sz val="10"/>
      <color rgb="FF333333"/>
      <name val="&quot;Open Sans&quot;"/>
    </font>
    <font>
      <sz val="11"/>
      <color rgb="FF444444"/>
      <name val="&quot;Open Sans&quot;"/>
    </font>
    <font>
      <u/>
      <sz val="10"/>
      <color rgb="FF0000FF"/>
      <name val="Arial"/>
      <family val="2"/>
      <charset val="204"/>
    </font>
    <font>
      <u/>
      <sz val="11"/>
      <color rgb="FF0645AD"/>
      <name val="Arial"/>
      <family val="2"/>
      <charset val="204"/>
    </font>
    <font>
      <u/>
      <sz val="11"/>
      <color rgb="FF202122"/>
      <name val="Sans-serif"/>
    </font>
    <font>
      <u/>
      <sz val="11"/>
      <color rgb="FF202122"/>
      <name val="Sans-serif"/>
    </font>
    <font>
      <sz val="12"/>
      <color rgb="FF333333"/>
      <name val="&quot;Roboto Condensed&quot;"/>
    </font>
    <font>
      <sz val="11"/>
      <color rgb="FF333333"/>
      <name val="Arial"/>
      <family val="2"/>
      <charset val="204"/>
    </font>
    <font>
      <sz val="11"/>
      <color rgb="FF333333"/>
      <name val="PTSans-Regular"/>
    </font>
    <font>
      <sz val="11"/>
      <color rgb="FF333333"/>
      <name val="&quot;Open Sans&quot;"/>
    </font>
    <font>
      <sz val="10"/>
      <color theme="1"/>
      <name val="Arial"/>
      <family val="2"/>
      <charset val="204"/>
    </font>
    <font>
      <b/>
      <u/>
      <sz val="10"/>
      <color theme="1"/>
      <name val="Arial"/>
      <family val="2"/>
      <charset val="204"/>
    </font>
    <font>
      <sz val="10"/>
      <name val="Arial"/>
      <family val="2"/>
      <charset val="204"/>
    </font>
    <font>
      <sz val="10"/>
      <color rgb="FF202122"/>
      <name val="Arial"/>
      <family val="2"/>
      <charset val="204"/>
    </font>
    <font>
      <sz val="10"/>
      <color theme="1"/>
      <name val="Arial"/>
      <family val="2"/>
      <charset val="204"/>
      <scheme val="major"/>
    </font>
    <font>
      <sz val="10"/>
      <color rgb="FF000000"/>
      <name val="Arial"/>
      <family val="2"/>
      <charset val="204"/>
      <scheme val="major"/>
    </font>
    <font>
      <u/>
      <sz val="10"/>
      <color rgb="FF0000FF"/>
      <name val="Arial"/>
      <family val="2"/>
      <charset val="204"/>
      <scheme val="major"/>
    </font>
    <font>
      <u/>
      <sz val="10"/>
      <color rgb="FF1155CC"/>
      <name val="Arial"/>
      <family val="2"/>
      <charset val="204"/>
      <scheme val="major"/>
    </font>
    <font>
      <sz val="10"/>
      <color rgb="FF1F1F1F"/>
      <name val="Arial"/>
      <family val="2"/>
      <charset val="204"/>
      <scheme val="major"/>
    </font>
    <font>
      <sz val="10"/>
      <color rgb="FF212529"/>
      <name val="Arial"/>
      <family val="2"/>
      <charset val="204"/>
      <scheme val="major"/>
    </font>
    <font>
      <sz val="10"/>
      <color rgb="FF1A0DAB"/>
      <name val="Arial"/>
      <family val="2"/>
      <charset val="204"/>
      <scheme val="major"/>
    </font>
    <font>
      <sz val="10"/>
      <color rgb="FF111111"/>
      <name val="Arial"/>
      <family val="2"/>
      <charset val="204"/>
      <scheme val="major"/>
    </font>
    <font>
      <sz val="10"/>
      <color rgb="FFFF0000"/>
      <name val="Arial"/>
      <family val="2"/>
      <charset val="204"/>
      <scheme val="major"/>
    </font>
    <font>
      <sz val="10"/>
      <color rgb="FF4D5156"/>
      <name val="Arial"/>
      <family val="2"/>
      <charset val="204"/>
      <scheme val="major"/>
    </font>
    <font>
      <sz val="10"/>
      <color rgb="FF202124"/>
      <name val="Arial"/>
      <family val="2"/>
      <charset val="204"/>
      <scheme val="major"/>
    </font>
    <font>
      <sz val="10"/>
      <color rgb="FF444444"/>
      <name val="Arial"/>
      <family val="2"/>
      <charset val="204"/>
      <scheme val="major"/>
    </font>
    <font>
      <sz val="10"/>
      <color rgb="FF565656"/>
      <name val="Arial"/>
      <family val="2"/>
      <charset val="204"/>
      <scheme val="major"/>
    </font>
    <font>
      <sz val="10"/>
      <color rgb="FF202122"/>
      <name val="Arial"/>
      <family val="2"/>
      <charset val="204"/>
      <scheme val="major"/>
    </font>
    <font>
      <u/>
      <sz val="10"/>
      <color rgb="FF000000"/>
      <name val="Arial"/>
      <family val="2"/>
      <charset val="204"/>
      <scheme val="major"/>
    </font>
    <font>
      <sz val="10"/>
      <color rgb="FF486DAA"/>
      <name val="Arial"/>
      <family val="2"/>
      <charset val="204"/>
      <scheme val="major"/>
    </font>
    <font>
      <sz val="10"/>
      <color rgb="FF5F6368"/>
      <name val="Arial"/>
      <family val="2"/>
      <charset val="204"/>
      <scheme val="major"/>
    </font>
    <font>
      <sz val="10"/>
      <color rgb="FF050505"/>
      <name val="Arial"/>
      <family val="2"/>
      <charset val="204"/>
      <scheme val="major"/>
    </font>
    <font>
      <u/>
      <sz val="10"/>
      <color rgb="FF1C1E21"/>
      <name val="Arial"/>
      <family val="2"/>
      <charset val="204"/>
      <scheme val="major"/>
    </font>
    <font>
      <u/>
      <sz val="10"/>
      <color rgb="FF65676B"/>
      <name val="Arial"/>
      <family val="2"/>
      <charset val="204"/>
      <scheme val="major"/>
    </font>
    <font>
      <sz val="10"/>
      <color rgb="FF4B4F58"/>
      <name val="Arial"/>
      <family val="2"/>
      <charset val="204"/>
      <scheme val="major"/>
    </font>
    <font>
      <sz val="10"/>
      <color rgb="FF333333"/>
      <name val="Arial"/>
      <family val="2"/>
      <charset val="204"/>
      <scheme val="major"/>
    </font>
    <font>
      <sz val="10"/>
      <color rgb="FF30373E"/>
      <name val="Arial"/>
      <family val="2"/>
      <charset val="204"/>
      <scheme val="major"/>
    </font>
    <font>
      <sz val="10"/>
      <color rgb="FF323232"/>
      <name val="Arial"/>
      <family val="2"/>
      <charset val="204"/>
      <scheme val="major"/>
    </font>
    <font>
      <sz val="10"/>
      <color rgb="FF222222"/>
      <name val="Arial"/>
      <family val="2"/>
      <charset val="204"/>
      <scheme val="major"/>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9F9F9"/>
        <bgColor rgb="FFF9F9F9"/>
      </patternFill>
    </fill>
    <fill>
      <patternFill patternType="solid">
        <fgColor rgb="FFEBEBEB"/>
        <bgColor rgb="FFEBEBEB"/>
      </patternFill>
    </fill>
    <fill>
      <patternFill patternType="solid">
        <fgColor rgb="FFF9CB9C"/>
        <bgColor rgb="FFF9CB9C"/>
      </patternFill>
    </fill>
    <fill>
      <patternFill patternType="solid">
        <fgColor rgb="FFF4CCCC"/>
        <bgColor rgb="FFF4CCCC"/>
      </patternFill>
    </fill>
  </fills>
  <borders count="1">
    <border>
      <left/>
      <right/>
      <top/>
      <bottom/>
      <diagonal/>
    </border>
  </borders>
  <cellStyleXfs count="1">
    <xf numFmtId="0" fontId="0" fillId="0" borderId="0"/>
  </cellStyleXfs>
  <cellXfs count="114">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xf numFmtId="0" fontId="4" fillId="2" borderId="0" xfId="0" applyFont="1" applyFill="1"/>
    <xf numFmtId="0" fontId="5" fillId="0" borderId="0" xfId="0" applyFont="1" applyAlignment="1">
      <alignment wrapText="1"/>
    </xf>
    <xf numFmtId="0" fontId="6" fillId="0" borderId="0" xfId="0" applyFont="1" applyAlignment="1">
      <alignment wrapText="1"/>
    </xf>
    <xf numFmtId="0" fontId="8" fillId="0" borderId="0" xfId="0" applyFont="1" applyAlignment="1">
      <alignment wrapText="1"/>
    </xf>
    <xf numFmtId="0" fontId="8" fillId="0" borderId="0" xfId="0" applyFont="1" applyAlignment="1">
      <alignment horizontal="left" wrapText="1"/>
    </xf>
    <xf numFmtId="0" fontId="9" fillId="0" borderId="0" xfId="0" applyFont="1" applyAlignment="1">
      <alignment vertical="top"/>
    </xf>
    <xf numFmtId="0" fontId="8" fillId="0" borderId="0" xfId="0" applyFont="1" applyAlignment="1">
      <alignment horizontal="right" wrapText="1"/>
    </xf>
    <xf numFmtId="0" fontId="8" fillId="0" borderId="0" xfId="0" applyFont="1"/>
    <xf numFmtId="0" fontId="10" fillId="0" borderId="0" xfId="0" applyFont="1" applyAlignment="1">
      <alignment horizontal="left" wrapText="1"/>
    </xf>
    <xf numFmtId="0" fontId="11" fillId="2" borderId="0" xfId="0" applyFont="1" applyFill="1" applyAlignment="1">
      <alignment wrapText="1"/>
    </xf>
    <xf numFmtId="0" fontId="12" fillId="0" borderId="0" xfId="0" applyFont="1" applyAlignment="1">
      <alignment horizontal="left" wrapText="1"/>
    </xf>
    <xf numFmtId="0" fontId="8" fillId="0" borderId="0" xfId="0" applyFont="1" applyAlignment="1">
      <alignment vertical="top"/>
    </xf>
    <xf numFmtId="0" fontId="13" fillId="0" borderId="0" xfId="0" applyFont="1" applyAlignment="1">
      <alignment vertical="top"/>
    </xf>
    <xf numFmtId="0" fontId="14" fillId="0" borderId="0" xfId="0" applyFont="1"/>
    <xf numFmtId="0" fontId="16" fillId="0" borderId="0" xfId="0" applyFont="1"/>
    <xf numFmtId="0" fontId="15" fillId="0" borderId="0" xfId="0" applyFont="1" applyAlignment="1">
      <alignment wrapText="1"/>
    </xf>
    <xf numFmtId="0" fontId="7" fillId="0" borderId="0" xfId="0" applyFont="1"/>
    <xf numFmtId="0" fontId="8" fillId="3" borderId="0" xfId="0" applyFont="1" applyFill="1" applyAlignment="1">
      <alignment wrapText="1"/>
    </xf>
    <xf numFmtId="0" fontId="8" fillId="3" borderId="0" xfId="0" applyFont="1" applyFill="1" applyAlignment="1">
      <alignment horizontal="left" wrapText="1"/>
    </xf>
    <xf numFmtId="0" fontId="17" fillId="3" borderId="0" xfId="0" applyFont="1" applyFill="1"/>
    <xf numFmtId="0" fontId="8" fillId="3" borderId="0" xfId="0" applyFont="1" applyFill="1" applyAlignment="1">
      <alignment horizontal="right" wrapText="1"/>
    </xf>
    <xf numFmtId="0" fontId="19" fillId="0" borderId="0" xfId="0" applyFont="1" applyAlignment="1">
      <alignment wrapText="1"/>
    </xf>
    <xf numFmtId="0" fontId="20" fillId="0" borderId="0" xfId="0" applyFont="1"/>
    <xf numFmtId="0" fontId="21" fillId="0" borderId="0" xfId="0" applyFont="1" applyAlignment="1">
      <alignment horizontal="left"/>
    </xf>
    <xf numFmtId="0" fontId="22" fillId="0" borderId="0" xfId="0" applyFont="1" applyAlignment="1">
      <alignment horizontal="left"/>
    </xf>
    <xf numFmtId="0" fontId="23" fillId="2" borderId="0" xfId="0" applyFont="1" applyFill="1" applyAlignment="1">
      <alignment horizontal="left"/>
    </xf>
    <xf numFmtId="0" fontId="24" fillId="0" borderId="0" xfId="0" applyFont="1" applyAlignment="1">
      <alignment horizontal="left"/>
    </xf>
    <xf numFmtId="0" fontId="25" fillId="2" borderId="0" xfId="0" applyFont="1" applyFill="1"/>
    <xf numFmtId="0" fontId="26" fillId="0" borderId="0" xfId="0" applyFont="1"/>
    <xf numFmtId="0" fontId="27" fillId="0" borderId="0" xfId="0" applyFont="1" applyAlignment="1">
      <alignment wrapText="1"/>
    </xf>
    <xf numFmtId="0" fontId="28" fillId="2" borderId="0" xfId="0" applyFont="1" applyFill="1"/>
    <xf numFmtId="0" fontId="21" fillId="0" borderId="0" xfId="0" applyFont="1" applyAlignment="1">
      <alignment horizontal="left" wrapText="1"/>
    </xf>
    <xf numFmtId="0" fontId="2" fillId="6" borderId="0" xfId="0" applyFont="1" applyFill="1" applyAlignment="1">
      <alignment wrapText="1"/>
    </xf>
    <xf numFmtId="0" fontId="29" fillId="0" borderId="0" xfId="0" applyFont="1" applyAlignment="1">
      <alignment horizontal="left" wrapText="1"/>
    </xf>
    <xf numFmtId="0" fontId="2" fillId="7" borderId="0" xfId="0" applyFont="1" applyFill="1" applyAlignment="1">
      <alignment wrapText="1"/>
    </xf>
    <xf numFmtId="0" fontId="2" fillId="6" borderId="0" xfId="0" applyFont="1" applyFill="1"/>
    <xf numFmtId="0" fontId="2" fillId="7" borderId="0" xfId="0" applyFont="1" applyFill="1"/>
    <xf numFmtId="0" fontId="30" fillId="2" borderId="0" xfId="0" applyFont="1" applyFill="1" applyAlignment="1">
      <alignment horizontal="left"/>
    </xf>
    <xf numFmtId="0" fontId="31" fillId="0" borderId="0" xfId="0" applyFont="1" applyAlignment="1">
      <alignment wrapText="1"/>
    </xf>
    <xf numFmtId="0" fontId="32" fillId="2" borderId="0" xfId="0" applyFont="1" applyFill="1"/>
    <xf numFmtId="0" fontId="33" fillId="2" borderId="0" xfId="0" applyFont="1" applyFill="1" applyAlignment="1">
      <alignment horizontal="left"/>
    </xf>
    <xf numFmtId="0" fontId="34" fillId="2" borderId="0" xfId="0" applyFont="1" applyFill="1" applyAlignment="1">
      <alignment horizontal="left"/>
    </xf>
    <xf numFmtId="0" fontId="35" fillId="2" borderId="0" xfId="0" applyFont="1" applyFill="1" applyAlignment="1">
      <alignment horizontal="left"/>
    </xf>
    <xf numFmtId="0" fontId="36" fillId="2" borderId="0" xfId="0" applyFont="1" applyFill="1" applyAlignment="1">
      <alignment horizontal="left"/>
    </xf>
    <xf numFmtId="0" fontId="37" fillId="2" borderId="0" xfId="0" applyFont="1" applyFill="1" applyAlignment="1">
      <alignment horizontal="left"/>
    </xf>
    <xf numFmtId="0" fontId="38" fillId="2" borderId="0" xfId="0" applyFont="1" applyFill="1"/>
    <xf numFmtId="0" fontId="39" fillId="2" borderId="0" xfId="0" applyFont="1" applyFill="1"/>
    <xf numFmtId="0" fontId="40" fillId="0" borderId="0" xfId="0" applyFont="1" applyAlignment="1">
      <alignment horizontal="left"/>
    </xf>
    <xf numFmtId="0" fontId="27" fillId="0" borderId="0" xfId="0" applyFont="1"/>
    <xf numFmtId="0" fontId="41" fillId="2" borderId="0" xfId="0" applyFont="1" applyFill="1" applyAlignment="1">
      <alignment horizontal="center"/>
    </xf>
    <xf numFmtId="0" fontId="42" fillId="2" borderId="0" xfId="0" applyFont="1" applyFill="1"/>
    <xf numFmtId="164" fontId="2" fillId="0" borderId="0" xfId="0" applyNumberFormat="1" applyFont="1"/>
    <xf numFmtId="0" fontId="43" fillId="0" borderId="0" xfId="0" applyFont="1" applyAlignment="1">
      <alignment wrapText="1"/>
    </xf>
    <xf numFmtId="0" fontId="44" fillId="0" borderId="0" xfId="0" applyFont="1"/>
    <xf numFmtId="0" fontId="45" fillId="2" borderId="0" xfId="0" applyFont="1" applyFill="1"/>
    <xf numFmtId="0" fontId="28" fillId="2" borderId="0" xfId="0" applyFont="1" applyFill="1" applyAlignment="1">
      <alignment wrapText="1"/>
    </xf>
    <xf numFmtId="0" fontId="46" fillId="2" borderId="0" xfId="0" applyFont="1" applyFill="1" applyAlignment="1">
      <alignment wrapText="1"/>
    </xf>
    <xf numFmtId="0" fontId="47" fillId="2" borderId="0" xfId="0" applyFont="1" applyFill="1"/>
    <xf numFmtId="0" fontId="48" fillId="2" borderId="0" xfId="0" applyFont="1" applyFill="1"/>
    <xf numFmtId="0" fontId="48" fillId="2" borderId="0" xfId="0" applyFont="1" applyFill="1" applyAlignment="1">
      <alignment wrapText="1"/>
    </xf>
    <xf numFmtId="0" fontId="49" fillId="2" borderId="0" xfId="0" applyFont="1" applyFill="1"/>
    <xf numFmtId="0" fontId="50" fillId="2" borderId="0" xfId="0" applyFont="1" applyFill="1"/>
    <xf numFmtId="0" fontId="51" fillId="0" borderId="0" xfId="0" applyFont="1"/>
    <xf numFmtId="0" fontId="8" fillId="0" borderId="0" xfId="0" applyFont="1" applyAlignment="1">
      <alignment horizontal="left"/>
    </xf>
    <xf numFmtId="0" fontId="8" fillId="0" borderId="0" xfId="0" applyFont="1" applyAlignment="1">
      <alignment horizontal="right"/>
    </xf>
    <xf numFmtId="0" fontId="22" fillId="0" borderId="0" xfId="0" applyFont="1" applyAlignment="1">
      <alignment horizontal="right"/>
    </xf>
    <xf numFmtId="0" fontId="31" fillId="0" borderId="0" xfId="0" applyFont="1"/>
    <xf numFmtId="0" fontId="55" fillId="0" borderId="0" xfId="0" applyFont="1" applyAlignment="1">
      <alignment wrapText="1"/>
    </xf>
    <xf numFmtId="0" fontId="56" fillId="0" borderId="0" xfId="0" applyFont="1"/>
    <xf numFmtId="0" fontId="55" fillId="0" borderId="0" xfId="0" applyFont="1" applyAlignment="1">
      <alignment horizontal="left"/>
    </xf>
    <xf numFmtId="0" fontId="56" fillId="4" borderId="0" xfId="0" applyFont="1" applyFill="1"/>
    <xf numFmtId="0" fontId="56" fillId="2" borderId="0" xfId="0" applyFont="1" applyFill="1"/>
    <xf numFmtId="0" fontId="57" fillId="0" borderId="0" xfId="0" applyFont="1" applyAlignment="1">
      <alignment wrapText="1"/>
    </xf>
    <xf numFmtId="0" fontId="57" fillId="0" borderId="0" xfId="0" applyFont="1" applyAlignment="1">
      <alignment horizontal="left"/>
    </xf>
    <xf numFmtId="0" fontId="59" fillId="2" borderId="0" xfId="0" applyFont="1" applyFill="1"/>
    <xf numFmtId="0" fontId="57" fillId="0" borderId="0" xfId="0" applyFont="1"/>
    <xf numFmtId="0" fontId="55" fillId="0" borderId="0" xfId="0" applyFont="1"/>
    <xf numFmtId="0" fontId="56" fillId="2" borderId="0" xfId="0" applyFont="1" applyFill="1" applyAlignment="1">
      <alignment horizontal="left"/>
    </xf>
    <xf numFmtId="0" fontId="56" fillId="4" borderId="0" xfId="0" applyFont="1" applyFill="1" applyAlignment="1">
      <alignment wrapText="1"/>
    </xf>
    <xf numFmtId="0" fontId="60" fillId="2" borderId="0" xfId="0" applyFont="1" applyFill="1"/>
    <xf numFmtId="0" fontId="61" fillId="2" borderId="0" xfId="0" applyFont="1" applyFill="1" applyAlignment="1">
      <alignment horizontal="left" wrapText="1"/>
    </xf>
    <xf numFmtId="0" fontId="58" fillId="0" borderId="0" xfId="0" applyFont="1" applyAlignment="1">
      <alignment horizontal="left"/>
    </xf>
    <xf numFmtId="0" fontId="64" fillId="2" borderId="0" xfId="0" applyFont="1" applyFill="1" applyAlignment="1">
      <alignment horizontal="left"/>
    </xf>
    <xf numFmtId="0" fontId="65" fillId="2" borderId="0" xfId="0" applyFont="1" applyFill="1" applyAlignment="1">
      <alignment horizontal="left"/>
    </xf>
    <xf numFmtId="0" fontId="66" fillId="2" borderId="0" xfId="0" applyFont="1" applyFill="1"/>
    <xf numFmtId="0" fontId="56" fillId="4" borderId="0" xfId="0" applyFont="1" applyFill="1" applyAlignment="1">
      <alignment horizontal="left"/>
    </xf>
    <xf numFmtId="0" fontId="67" fillId="2" borderId="0" xfId="0" applyFont="1" applyFill="1"/>
    <xf numFmtId="0" fontId="68" fillId="2" borderId="0" xfId="0" applyFont="1" applyFill="1"/>
    <xf numFmtId="0" fontId="55" fillId="0" borderId="0" xfId="0" applyFont="1" applyAlignment="1">
      <alignment horizontal="left" wrapText="1"/>
    </xf>
    <xf numFmtId="0" fontId="69" fillId="2" borderId="0" xfId="0" applyFont="1" applyFill="1"/>
    <xf numFmtId="0" fontId="59" fillId="2" borderId="0" xfId="0" applyFont="1" applyFill="1" applyAlignment="1">
      <alignment horizontal="left"/>
    </xf>
    <xf numFmtId="0" fontId="58" fillId="0" borderId="0" xfId="0" applyFont="1"/>
    <xf numFmtId="0" fontId="70" fillId="0" borderId="0" xfId="0" applyFont="1"/>
    <xf numFmtId="0" fontId="71" fillId="2" borderId="0" xfId="0" applyFont="1" applyFill="1" applyAlignment="1">
      <alignment horizontal="left"/>
    </xf>
    <xf numFmtId="0" fontId="72" fillId="2" borderId="0" xfId="0" applyFont="1" applyFill="1"/>
    <xf numFmtId="0" fontId="73" fillId="0" borderId="0" xfId="0" applyFont="1"/>
    <xf numFmtId="0" fontId="74" fillId="2" borderId="0" xfId="0" applyFont="1" applyFill="1" applyAlignment="1">
      <alignment horizontal="left"/>
    </xf>
    <xf numFmtId="0" fontId="57" fillId="2" borderId="0" xfId="0" applyFont="1" applyFill="1" applyAlignment="1">
      <alignment horizontal="left"/>
    </xf>
    <xf numFmtId="0" fontId="75" fillId="2" borderId="0" xfId="0" applyFont="1" applyFill="1"/>
    <xf numFmtId="0" fontId="76" fillId="2" borderId="0" xfId="0" applyFont="1" applyFill="1"/>
    <xf numFmtId="0" fontId="72" fillId="2" borderId="0" xfId="0" applyFont="1" applyFill="1" applyAlignment="1">
      <alignment horizontal="left"/>
    </xf>
    <xf numFmtId="0" fontId="76" fillId="2" borderId="0" xfId="0" applyFont="1" applyFill="1" applyAlignment="1">
      <alignment horizontal="center"/>
    </xf>
    <xf numFmtId="0" fontId="77" fillId="5" borderId="0" xfId="0" applyFont="1" applyFill="1"/>
    <xf numFmtId="0" fontId="78" fillId="2" borderId="0" xfId="0" applyFont="1" applyFill="1" applyAlignment="1">
      <alignment horizontal="left"/>
    </xf>
    <xf numFmtId="0" fontId="79" fillId="2" borderId="0" xfId="0" applyFont="1" applyFill="1"/>
    <xf numFmtId="0" fontId="61" fillId="2" borderId="0" xfId="0" applyFont="1" applyFill="1" applyAlignment="1">
      <alignment horizontal="left"/>
    </xf>
    <xf numFmtId="0" fontId="55" fillId="2" borderId="0" xfId="0" applyFont="1" applyFill="1" applyAlignment="1">
      <alignment horizontal="left"/>
    </xf>
    <xf numFmtId="0" fontId="69" fillId="2" borderId="0" xfId="0" applyFont="1" applyFill="1" applyAlignment="1">
      <alignment horizontal="left"/>
    </xf>
    <xf numFmtId="0" fontId="56" fillId="0" borderId="0" xfId="0" applyFont="1" applyAlignment="1">
      <alignment horizontal="left" vertical="top"/>
    </xf>
  </cellXfs>
  <cellStyles count="1">
    <cellStyle name="Звичайний" xfId="0" builtinId="0"/>
  </cellStyles>
  <dxfs count="2">
    <dxf>
      <fill>
        <patternFill patternType="solid">
          <fgColor rgb="FFB7E1CD"/>
          <bgColor rgb="FFB7E1CD"/>
        </patternFill>
      </fill>
    </dxf>
    <dxf>
      <font>
        <color rgb="FFFF6D01"/>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me/bershad_sos" TargetMode="External"/><Relationship Id="rId2" Type="http://schemas.openxmlformats.org/officeDocument/2006/relationships/hyperlink" Target="https://t.me/vmroficial" TargetMode="External"/><Relationship Id="rId1" Type="http://schemas.openxmlformats.org/officeDocument/2006/relationships/hyperlink" Target="https://t.me/gromadaorgua_bot?start=select_gromada_103138" TargetMode="External"/><Relationship Id="rId6" Type="http://schemas.openxmlformats.org/officeDocument/2006/relationships/hyperlink" Target="https://t.me/cherkasy_rada" TargetMode="External"/><Relationship Id="rId5" Type="http://schemas.openxmlformats.org/officeDocument/2006/relationships/hyperlink" Target="https://t.me/yampmr" TargetMode="External"/><Relationship Id="rId4" Type="http://schemas.openxmlformats.org/officeDocument/2006/relationships/hyperlink" Target="https://t.me/potrebybarskamiskarada"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facebook.com/molod.rada.fastiv/" TargetMode="External"/><Relationship Id="rId117" Type="http://schemas.openxmlformats.org/officeDocument/2006/relationships/hyperlink" Target="https://www.facebook.com/molod.zhmr/" TargetMode="External"/><Relationship Id="rId21" Type="http://schemas.openxmlformats.org/officeDocument/2006/relationships/hyperlink" Target="https://www.facebook.com/bucha.m.rada/" TargetMode="External"/><Relationship Id="rId42" Type="http://schemas.openxmlformats.org/officeDocument/2006/relationships/hyperlink" Target="https://www.facebook.com/zpoblstud/" TargetMode="External"/><Relationship Id="rId47" Type="http://schemas.openxmlformats.org/officeDocument/2006/relationships/hyperlink" Target="https://www.facebook.com/NYCULVIV/" TargetMode="External"/><Relationship Id="rId63" Type="http://schemas.openxmlformats.org/officeDocument/2006/relationships/hyperlink" Target="https://www.facebook.com/kulbaba.molodrada/" TargetMode="External"/><Relationship Id="rId68" Type="http://schemas.openxmlformats.org/officeDocument/2006/relationships/hyperlink" Target="https://www.facebook.com/profile.php?id=100037350963367" TargetMode="External"/><Relationship Id="rId84" Type="http://schemas.openxmlformats.org/officeDocument/2006/relationships/hyperlink" Target="https://gromada.org.ua/gromada/vilhovecka/" TargetMode="External"/><Relationship Id="rId89" Type="http://schemas.openxmlformats.org/officeDocument/2006/relationships/hyperlink" Target="https://tyachiv-city.gov.ua/feedback/" TargetMode="External"/><Relationship Id="rId112" Type="http://schemas.openxmlformats.org/officeDocument/2006/relationships/hyperlink" Target="https://www.facebook.com/%D0%9C%D0%BE%D0%BB%D0%BE%D0%B4%D1%96%D0%B6%D0%BD%D0%B0-%D0%A0%D0%B0%D0%B4%D0%B0-%D0%9D%D0%BE%D0%B2%D0%BE%D0%B3%D1%80%D0%B0%D0%B4%D0%B0-%D0%92%D0%BE%D0%BB%D0%B8%D0%BD%D1%81%D1%8C%D0%BA%D0%BE%D0%B3%D0%BE-105533141053295/" TargetMode="External"/><Relationship Id="rId133" Type="http://schemas.openxmlformats.org/officeDocument/2006/relationships/hyperlink" Target="https://www.facebook.com/YCKvts/" TargetMode="External"/><Relationship Id="rId138" Type="http://schemas.openxmlformats.org/officeDocument/2006/relationships/hyperlink" Target="https://www.facebook.com/groups/304576727873325/?ref=share" TargetMode="External"/><Relationship Id="rId154" Type="http://schemas.openxmlformats.org/officeDocument/2006/relationships/hyperlink" Target="https://www.facebook.com/profile.php?id=100073631853570" TargetMode="External"/><Relationship Id="rId16" Type="http://schemas.openxmlformats.org/officeDocument/2006/relationships/hyperlink" Target="https://www.facebook.com/berizkapeeps/" TargetMode="External"/><Relationship Id="rId107" Type="http://schemas.openxmlformats.org/officeDocument/2006/relationships/hyperlink" Target="https://www.facebook.com/groups/755150098737871" TargetMode="External"/><Relationship Id="rId11" Type="http://schemas.openxmlformats.org/officeDocument/2006/relationships/hyperlink" Target="https://www.facebook.com/nvhromadamolodizhna/" TargetMode="External"/><Relationship Id="rId32" Type="http://schemas.openxmlformats.org/officeDocument/2006/relationships/hyperlink" Target="https://www.facebook.com/groups/276331782906662/" TargetMode="External"/><Relationship Id="rId37" Type="http://schemas.openxmlformats.org/officeDocument/2006/relationships/hyperlink" Target="https://www.facebook.com/molodizhna.rada.shatska/" TargetMode="External"/><Relationship Id="rId53" Type="http://schemas.openxmlformats.org/officeDocument/2006/relationships/hyperlink" Target="https://moemisto.ua/te/molodizhna-miska-rada-ternopil-organization" TargetMode="External"/><Relationship Id="rId58" Type="http://schemas.openxmlformats.org/officeDocument/2006/relationships/hyperlink" Target="https://www.facebook.com/molodradamk/" TargetMode="External"/><Relationship Id="rId74" Type="http://schemas.openxmlformats.org/officeDocument/2006/relationships/hyperlink" Target="https://www.facebook.com/VARVAMR/" TargetMode="External"/><Relationship Id="rId79" Type="http://schemas.openxmlformats.org/officeDocument/2006/relationships/hyperlink" Target="https://www.facebook.com/LubYouthCouncil/" TargetMode="External"/><Relationship Id="rId102" Type="http://schemas.openxmlformats.org/officeDocument/2006/relationships/hyperlink" Target="https://sites.google.com/view/youthparlament/" TargetMode="External"/><Relationship Id="rId123" Type="http://schemas.openxmlformats.org/officeDocument/2006/relationships/hyperlink" Target="https://strilky-gromada.gov.ua/wp-content/uploads/2021/06/1-rish-%E2%84%96177-poryadok-dennyj.docx" TargetMode="External"/><Relationship Id="rId128" Type="http://schemas.openxmlformats.org/officeDocument/2006/relationships/hyperlink" Target="https://www.facebook.com/krmolrada/" TargetMode="External"/><Relationship Id="rId144" Type="http://schemas.openxmlformats.org/officeDocument/2006/relationships/hyperlink" Target="https://www.facebook.com/balmolrad/" TargetMode="External"/><Relationship Id="rId149" Type="http://schemas.openxmlformats.org/officeDocument/2006/relationships/hyperlink" Target="https://www.facebook.com/molodtorchinskoiotg/" TargetMode="External"/><Relationship Id="rId5" Type="http://schemas.openxmlformats.org/officeDocument/2006/relationships/hyperlink" Target="https://www.facebook.com/%D0%9C%D0%BE%D0%BB%D0%BE%D0%B4%D1%96%D0%B6%D0%BD%D0%B0-%D1%80%D0%B0%D0%B4%D0%B0-%D0%BC%D0%9A%D0%B0%D0%BC%D1%8F%D0%BD%D1%86%D1%8F-%D0%9F%D0%BE%D0%B4%D1%96%D0%BB%D1%8C%D1%81%D1%8C%D0%BA%D0%BE%D0%B3%D0%BE-2023248937886599/" TargetMode="External"/><Relationship Id="rId90" Type="http://schemas.openxmlformats.org/officeDocument/2006/relationships/hyperlink" Target="https://www.facebook.com/%D0%9A%D1%80%D0%B0%D0%BC%D0%B0%D1%82%D0%BE%D1%80%D1%81%D1%8C%D0%BA%D0%B0-%D0%9C%D0%BE%D0%BB%D0%BE%D0%B4%D1%96%D0%B6%D0%BD%D0%B0-%D0%A0%D0%B0%D0%B4%D0%B0-Kramatorsk-Youth-Council-104683114881034/?ref=page_internal" TargetMode="External"/><Relationship Id="rId95" Type="http://schemas.openxmlformats.org/officeDocument/2006/relationships/hyperlink" Target="https://www.instagram.com/mr_kushugum" TargetMode="External"/><Relationship Id="rId22" Type="http://schemas.openxmlformats.org/officeDocument/2006/relationships/hyperlink" Target="https://www.facebook.com/groups/285982301875580/" TargetMode="External"/><Relationship Id="rId27" Type="http://schemas.openxmlformats.org/officeDocument/2006/relationships/hyperlink" Target="https://terebotg.in.ua/partneru/molodizhna-miska-rada/" TargetMode="External"/><Relationship Id="rId43" Type="http://schemas.openxmlformats.org/officeDocument/2006/relationships/hyperlink" Target="https://www.facebook.com/mrslavutych/" TargetMode="External"/><Relationship Id="rId48" Type="http://schemas.openxmlformats.org/officeDocument/2006/relationships/hyperlink" Target="http://zapytivsad.lvivedu.com/" TargetMode="External"/><Relationship Id="rId64" Type="http://schemas.openxmlformats.org/officeDocument/2006/relationships/hyperlink" Target="https://www.facebook.com/groups/agentzmin/" TargetMode="External"/><Relationship Id="rId69" Type="http://schemas.openxmlformats.org/officeDocument/2006/relationships/hyperlink" Target="http://mlt.gov.ua/index.php?option=com_content&amp;task=blogcategory&amp;id=218&amp;Itemid=529" TargetMode="External"/><Relationship Id="rId113" Type="http://schemas.openxmlformats.org/officeDocument/2006/relationships/hyperlink" Target="https://www.facebook.com/molodiznaradauhryniv/" TargetMode="External"/><Relationship Id="rId118" Type="http://schemas.openxmlformats.org/officeDocument/2006/relationships/hyperlink" Target="https://okhtyrkamr.gov.ua/%D0%B4%D0%BE%D1%80%D0%B0%D0%B4%D1%87%D0%B0-%D1%80%D0%B0%D0%B4%D0%B0/" TargetMode="External"/><Relationship Id="rId134" Type="http://schemas.openxmlformats.org/officeDocument/2006/relationships/hyperlink" Target="https://www.facebook.com/YCKvts/?ref=pages_you_manage" TargetMode="External"/><Relationship Id="rId139" Type="http://schemas.openxmlformats.org/officeDocument/2006/relationships/hyperlink" Target="https://www.facebook.com/chortkivflow/?ref=page_internal" TargetMode="External"/><Relationship Id="rId80" Type="http://schemas.openxmlformats.org/officeDocument/2006/relationships/hyperlink" Target="http://lubotin-rada.gov.ua/info/page/3227" TargetMode="External"/><Relationship Id="rId85" Type="http://schemas.openxmlformats.org/officeDocument/2006/relationships/hyperlink" Target="https://www.facebook.com/%D0%9C%D0%BE%D0%BB%D0%BE%D0%B4%D1%96%D0%B6%D0%BD%D0%B0-%D1%80%D0%B0%D0%B4%D0%B0-%D0%86%D1%80%D1%88%D0%B0%D0%B2%D0%B8-592242971220152/" TargetMode="External"/><Relationship Id="rId150" Type="http://schemas.openxmlformats.org/officeDocument/2006/relationships/hyperlink" Target="https://chernet.otg.dp.gov.ua/" TargetMode="External"/><Relationship Id="rId155" Type="http://schemas.openxmlformats.org/officeDocument/2006/relationships/hyperlink" Target="https://www.volynpost.com/news/192807-u-pidgajcivskij-gromadi-ziavytsia-molodizhna-rada" TargetMode="External"/><Relationship Id="rId12" Type="http://schemas.openxmlformats.org/officeDocument/2006/relationships/hyperlink" Target="https://www.facebook.com/molradadnipra" TargetMode="External"/><Relationship Id="rId17" Type="http://schemas.openxmlformats.org/officeDocument/2006/relationships/hyperlink" Target="https://www.facebook.com/irpmgr" TargetMode="External"/><Relationship Id="rId33" Type="http://schemas.openxmlformats.org/officeDocument/2006/relationships/hyperlink" Target="https://www.facebook.com/groups/276331782906662/" TargetMode="External"/><Relationship Id="rId38" Type="http://schemas.openxmlformats.org/officeDocument/2006/relationships/hyperlink" Target="https://www.facebook.com/molodizhna.rada.shatska/" TargetMode="External"/><Relationship Id="rId59" Type="http://schemas.openxmlformats.org/officeDocument/2006/relationships/hyperlink" Target="http://mkrada.gov.ua/" TargetMode="External"/><Relationship Id="rId103" Type="http://schemas.openxmlformats.org/officeDocument/2006/relationships/hyperlink" Target="https://www.facebook.com/youthcouncil.mrpl/" TargetMode="External"/><Relationship Id="rId108" Type="http://schemas.openxmlformats.org/officeDocument/2006/relationships/hyperlink" Target="https://www.facebook.com/groups/755150098737871" TargetMode="External"/><Relationship Id="rId124" Type="http://schemas.openxmlformats.org/officeDocument/2006/relationships/hyperlink" Target="https://www.facebook.com/ZakarpattiaYouthCouncil/" TargetMode="External"/><Relationship Id="rId129" Type="http://schemas.openxmlformats.org/officeDocument/2006/relationships/hyperlink" Target="https://www.facebook.com/youthcouncilofvolyn/" TargetMode="External"/><Relationship Id="rId20" Type="http://schemas.openxmlformats.org/officeDocument/2006/relationships/hyperlink" Target="https://ums.ks.ua/pro-upravlinnya/molodizhna-rada-pry-hersonskomu-miskomu-golovi/" TargetMode="External"/><Relationship Id="rId41" Type="http://schemas.openxmlformats.org/officeDocument/2006/relationships/hyperlink" Target="https://www.facebook.com/smyhayouthteam/" TargetMode="External"/><Relationship Id="rId54" Type="http://schemas.openxmlformats.org/officeDocument/2006/relationships/hyperlink" Target="https://www.facebook.com/groups/mmr.zp.ua/" TargetMode="External"/><Relationship Id="rId62" Type="http://schemas.openxmlformats.org/officeDocument/2006/relationships/hyperlink" Target="https://www.facebook.com/kulbaba.molodrada/" TargetMode="External"/><Relationship Id="rId70" Type="http://schemas.openxmlformats.org/officeDocument/2006/relationships/hyperlink" Target="https://www.facebook.com/groups/molod.rada" TargetMode="External"/><Relationship Id="rId75" Type="http://schemas.openxmlformats.org/officeDocument/2006/relationships/hyperlink" Target="https://www.facebook.com/molodradashpola" TargetMode="External"/><Relationship Id="rId83" Type="http://schemas.openxmlformats.org/officeDocument/2006/relationships/hyperlink" Target="http://vilhovecka.gromada.org.ua/news/1560961624/" TargetMode="External"/><Relationship Id="rId88" Type="http://schemas.openxmlformats.org/officeDocument/2006/relationships/hyperlink" Target="https://www.facebook.com/%D0%9C%D0%BE%D0%BB%D0%BE%D0%B4%D1%96%D0%B6%D0%BD%D0%B0-%D1%80%D0%B0%D0%B4%D0%B0-%D0%A2%D1%8F%D1%87%D1%96%D0%B2%D1%81%D1%8C%D0%BA%D0%BE%D1%97-%D0%A2%D0%93-109995663870061/" TargetMode="External"/><Relationship Id="rId91" Type="http://schemas.openxmlformats.org/officeDocument/2006/relationships/hyperlink" Target="https://www.facebook.com/groups/molod.kram.rada/" TargetMode="External"/><Relationship Id="rId96" Type="http://schemas.openxmlformats.org/officeDocument/2006/relationships/hyperlink" Target="https://www.facebook.com/radamolodi.bc/" TargetMode="External"/><Relationship Id="rId111" Type="http://schemas.openxmlformats.org/officeDocument/2006/relationships/hyperlink" Target="http://www.molodijna-rada.narod.ru/statut.htm" TargetMode="External"/><Relationship Id="rId132" Type="http://schemas.openxmlformats.org/officeDocument/2006/relationships/hyperlink" Target="https://www.instagram.com/molodizhna_rada_myropil/" TargetMode="External"/><Relationship Id="rId140" Type="http://schemas.openxmlformats.org/officeDocument/2006/relationships/hyperlink" Target="https://www.facebook.com/groups/776539039914666/" TargetMode="External"/><Relationship Id="rId145" Type="http://schemas.openxmlformats.org/officeDocument/2006/relationships/hyperlink" Target="https://www.instagram.com/invites/contact/?i=1x6jq8quguwpg&amp;utm_content=n9x0cnb" TargetMode="External"/><Relationship Id="rId153" Type="http://schemas.openxmlformats.org/officeDocument/2006/relationships/hyperlink" Target="http://www.zmiivmisto.gov.ua/molodizhna-rada.html" TargetMode="External"/><Relationship Id="rId1" Type="http://schemas.openxmlformats.org/officeDocument/2006/relationships/hyperlink" Target="https://www.facebook.com/youthcounciloflutsk" TargetMode="External"/><Relationship Id="rId6" Type="http://schemas.openxmlformats.org/officeDocument/2006/relationships/hyperlink" Target="https://www.facebook.com/profile.php?id=100068543004037" TargetMode="External"/><Relationship Id="rId15" Type="http://schemas.openxmlformats.org/officeDocument/2006/relationships/hyperlink" Target="https://www.facebook.com/molodizna.rada.te/" TargetMode="External"/><Relationship Id="rId23" Type="http://schemas.openxmlformats.org/officeDocument/2006/relationships/hyperlink" Target="https://www.facebook.com/groups/285982301875580/" TargetMode="External"/><Relationship Id="rId28" Type="http://schemas.openxmlformats.org/officeDocument/2006/relationships/hyperlink" Target="https://www.facebook.com/groups/1420639201335012/about" TargetMode="External"/><Relationship Id="rId36" Type="http://schemas.openxmlformats.org/officeDocument/2006/relationships/hyperlink" Target="https://www.facebook.com/molodizhna.rada.shatska/" TargetMode="External"/><Relationship Id="rId49" Type="http://schemas.openxmlformats.org/officeDocument/2006/relationships/hyperlink" Target="http://chernigiv-rada.gov.ua/" TargetMode="External"/><Relationship Id="rId57" Type="http://schemas.openxmlformats.org/officeDocument/2006/relationships/hyperlink" Target="http://vmr.gov.ua/" TargetMode="External"/><Relationship Id="rId106" Type="http://schemas.openxmlformats.org/officeDocument/2006/relationships/hyperlink" Target="https://www.facebook.com/youngcouncilsokal/" TargetMode="External"/><Relationship Id="rId114" Type="http://schemas.openxmlformats.org/officeDocument/2006/relationships/hyperlink" Target="https://www.facebook.com/molodradavasylkiv/" TargetMode="External"/><Relationship Id="rId119" Type="http://schemas.openxmlformats.org/officeDocument/2006/relationships/hyperlink" Target="https://www.facebook.com/molodizhnarada.okht" TargetMode="External"/><Relationship Id="rId127" Type="http://schemas.openxmlformats.org/officeDocument/2006/relationships/hyperlink" Target="https://www.facebook.com/%D0%9C%D0%BE%D0%BB%D0%BE%D0%B4%D1%96%D0%B6%D0%BD%D0%B0-%D1%80%D0%B0%D0%B4%D0%B0-%D0%BF%D1%80%D0%B8-%D0%91%D0%BE%D1%80%D1%89%D1%96%D0%B2%D1%81%D1%8C%D0%BA%D1%96%D0%B9-%D0%BC%D1%96%D1%81%D1%8C%D0%BA%D1%96%D0%B9-%D1%80%D0%B0%D0%B4%D1%96-110417270760356/" TargetMode="External"/><Relationship Id="rId10" Type="http://schemas.openxmlformats.org/officeDocument/2006/relationships/hyperlink" Target="http://pnotg.if.ua/ukr/2017-11-10-13-35-04" TargetMode="External"/><Relationship Id="rId31" Type="http://schemas.openxmlformats.org/officeDocument/2006/relationships/hyperlink" Target="https://www.facebook.com/dunaivtsi.mr/" TargetMode="External"/><Relationship Id="rId44" Type="http://schemas.openxmlformats.org/officeDocument/2006/relationships/hyperlink" Target="https://www.facebook.com/motionteammerefa/" TargetMode="External"/><Relationship Id="rId52" Type="http://schemas.openxmlformats.org/officeDocument/2006/relationships/hyperlink" Target="https://www.facebook.com/molodizna.rada.te/?ref=page_internal" TargetMode="External"/><Relationship Id="rId60" Type="http://schemas.openxmlformats.org/officeDocument/2006/relationships/hyperlink" Target="https://www.facebook.com/mgrzt/" TargetMode="External"/><Relationship Id="rId65" Type="http://schemas.openxmlformats.org/officeDocument/2006/relationships/hyperlink" Target="https://www.facebook.com/groups/agentzmin/" TargetMode="External"/><Relationship Id="rId73" Type="http://schemas.openxmlformats.org/officeDocument/2006/relationships/hyperlink" Target="https://www.facebook.com/%D0%9C%D0%BE%D0%BB%D0%BE%D0%B4%D1%96%D0%B6%D0%BD%D0%B0-%D1%80%D0%B0%D0%B4%D0%B0-%D0%A7%D0%BC%D0%B8%D1%80%D1%96%D0%B2%D1%81%D1%8C%D0%BA%D0%BE%D1%97-%D0%9E%D0%A2%D0%93-2312561742094192/" TargetMode="External"/><Relationship Id="rId78" Type="http://schemas.openxmlformats.org/officeDocument/2006/relationships/hyperlink" Target="http://lanmisto.gov.ua/" TargetMode="External"/><Relationship Id="rId81" Type="http://schemas.openxmlformats.org/officeDocument/2006/relationships/hyperlink" Target="https://www.facebook.com/gorodnyanskamr" TargetMode="External"/><Relationship Id="rId86" Type="http://schemas.openxmlformats.org/officeDocument/2006/relationships/hyperlink" Target="https://www.facebook.com/Molodizhnarada1/" TargetMode="External"/><Relationship Id="rId94" Type="http://schemas.openxmlformats.org/officeDocument/2006/relationships/hyperlink" Target="https://www.facebook.com/kush.mr/?ref=page_internal" TargetMode="External"/><Relationship Id="rId99" Type="http://schemas.openxmlformats.org/officeDocument/2006/relationships/hyperlink" Target="https://www.facebook.com/molodiznaradakolo/" TargetMode="External"/><Relationship Id="rId101" Type="http://schemas.openxmlformats.org/officeDocument/2006/relationships/hyperlink" Target="https://www.facebook.com/youthparlament.po/" TargetMode="External"/><Relationship Id="rId122" Type="http://schemas.openxmlformats.org/officeDocument/2006/relationships/hyperlink" Target="https://www.facebook.com/sumy.somr" TargetMode="External"/><Relationship Id="rId130" Type="http://schemas.openxmlformats.org/officeDocument/2006/relationships/hyperlink" Target="https://voladm.gov.ua/category/molodizhna-rada/1/" TargetMode="External"/><Relationship Id="rId135" Type="http://schemas.openxmlformats.org/officeDocument/2006/relationships/hyperlink" Target="https://www.facebook.com/bychkiv.rada" TargetMode="External"/><Relationship Id="rId143" Type="http://schemas.openxmlformats.org/officeDocument/2006/relationships/hyperlink" Target="https://dmg.gov.ua/molodizhna-rada-09-36-54-08-07-2021/" TargetMode="External"/><Relationship Id="rId148" Type="http://schemas.openxmlformats.org/officeDocument/2006/relationships/hyperlink" Target="https://www.facebook.com/molodtorchinskoiotg/" TargetMode="External"/><Relationship Id="rId151" Type="http://schemas.openxmlformats.org/officeDocument/2006/relationships/hyperlink" Target="https://www.cg.gov.ua/index.php?id=452133&amp;tp=page" TargetMode="External"/><Relationship Id="rId156" Type="http://schemas.openxmlformats.org/officeDocument/2006/relationships/hyperlink" Target="https://pidgayci-gromada.gov.ua/molodizhna-rada-pri-pidgajcivskij-silskij-radi-14-25-23-09-11-2021/" TargetMode="External"/><Relationship Id="rId4" Type="http://schemas.openxmlformats.org/officeDocument/2006/relationships/hyperlink" Target="https://www.facebook.com/molodradakp/" TargetMode="External"/><Relationship Id="rId9" Type="http://schemas.openxmlformats.org/officeDocument/2006/relationships/hyperlink" Target="https://www.facebook.com/groups/312508300369291" TargetMode="External"/><Relationship Id="rId13" Type="http://schemas.openxmlformats.org/officeDocument/2006/relationships/hyperlink" Target="https://www.facebook.com/molradadnipra/" TargetMode="External"/><Relationship Id="rId18" Type="http://schemas.openxmlformats.org/officeDocument/2006/relationships/hyperlink" Target="https://www.facebook.com/irpmgr/" TargetMode="External"/><Relationship Id="rId39" Type="http://schemas.openxmlformats.org/officeDocument/2006/relationships/hyperlink" Target="https://www.facebook.com/groups/1647664491965678/" TargetMode="External"/><Relationship Id="rId109" Type="http://schemas.openxmlformats.org/officeDocument/2006/relationships/hyperlink" Target="http://kolomak-rada.gov.ua/2019/10/23/ogoloshennya-pro-provedennya-ustanovchyh-zboriv-dlya-formuvannya-skladu-molodizhnoyi-rady-pry-kolomatskij-selyshhnij-radi/" TargetMode="External"/><Relationship Id="rId34" Type="http://schemas.openxmlformats.org/officeDocument/2006/relationships/hyperlink" Target="https://rivne.pb.org.ua/projects/archive/85/show/445" TargetMode="External"/><Relationship Id="rId50" Type="http://schemas.openxmlformats.org/officeDocument/2006/relationships/hyperlink" Target="http://chernigiv-rada.gov.ua/" TargetMode="External"/><Relationship Id="rId55" Type="http://schemas.openxmlformats.org/officeDocument/2006/relationships/hyperlink" Target="https://zp.gov.ua/uk/page/zaporizka-molodizhna-miska-rada" TargetMode="External"/><Relationship Id="rId76" Type="http://schemas.openxmlformats.org/officeDocument/2006/relationships/hyperlink" Target="http://shpola-otg.gov.ua/molodizhna-rada/" TargetMode="External"/><Relationship Id="rId97" Type="http://schemas.openxmlformats.org/officeDocument/2006/relationships/hyperlink" Target="https://www.facebook.com/molodizhna.rada.slavuty/" TargetMode="External"/><Relationship Id="rId104" Type="http://schemas.openxmlformats.org/officeDocument/2006/relationships/hyperlink" Target="https://rada.info/upload/users_files/04374743/c442f83195763dc2504f86b3af7d05af.pdf" TargetMode="External"/><Relationship Id="rId120" Type="http://schemas.openxmlformats.org/officeDocument/2006/relationships/hyperlink" Target="https://www.facebook.com/groups/222728875168647/" TargetMode="External"/><Relationship Id="rId125" Type="http://schemas.openxmlformats.org/officeDocument/2006/relationships/hyperlink" Target="https://www.facebook.com/profile.php?id=100069908079433&amp;sk=about_profile_transparency" TargetMode="External"/><Relationship Id="rId141" Type="http://schemas.openxmlformats.org/officeDocument/2006/relationships/hyperlink" Target="https://www.instagram.com/m.r.myrnograda/" TargetMode="External"/><Relationship Id="rId146" Type="http://schemas.openxmlformats.org/officeDocument/2006/relationships/hyperlink" Target="https://www.facebook.com/groups/dyadkovychi.molod/" TargetMode="External"/><Relationship Id="rId7" Type="http://schemas.openxmlformats.org/officeDocument/2006/relationships/hyperlink" Target="http://lotg.gov.ua/molodizhna-rada/" TargetMode="External"/><Relationship Id="rId71" Type="http://schemas.openxmlformats.org/officeDocument/2006/relationships/hyperlink" Target="https://demydivska-gromada.gov.ua/molodizhna-rada-22-34-38-22-06-2018/" TargetMode="External"/><Relationship Id="rId92" Type="http://schemas.openxmlformats.org/officeDocument/2006/relationships/hyperlink" Target="https://www.facebook.com/youthcouncilofostroh" TargetMode="External"/><Relationship Id="rId2" Type="http://schemas.openxmlformats.org/officeDocument/2006/relationships/hyperlink" Target="https://www.facebook.com/groups/502447066925845" TargetMode="External"/><Relationship Id="rId29" Type="http://schemas.openxmlformats.org/officeDocument/2006/relationships/hyperlink" Target="http://nem-rada.gov.ua/category/molodizhnyy-parlament/" TargetMode="External"/><Relationship Id="rId24" Type="http://schemas.openxmlformats.org/officeDocument/2006/relationships/hyperlink" Target="https://kodymskamolod.blogspot.com/" TargetMode="External"/><Relationship Id="rId40" Type="http://schemas.openxmlformats.org/officeDocument/2006/relationships/hyperlink" Target="https://www.facebook.com/groups/427093111044658/" TargetMode="External"/><Relationship Id="rId45" Type="http://schemas.openxmlformats.org/officeDocument/2006/relationships/hyperlink" Target="http://nycukraine.org/" TargetMode="External"/><Relationship Id="rId66" Type="http://schemas.openxmlformats.org/officeDocument/2006/relationships/hyperlink" Target="https://www.facebook.com/mrchernihiv/?epa=SEARCH_BOX" TargetMode="External"/><Relationship Id="rId87" Type="http://schemas.openxmlformats.org/officeDocument/2006/relationships/hyperlink" Target="https://www.facebook.com/%D0%9C%D0%BE%D0%BB%D0%BE%D0%B4%D1%96%D0%B6%D0%BD%D0%B0-%D1%80%D0%B0%D0%B4%D0%B0-%D0%9F%D0%B5%D1%80%D0%B5%D1%87%D0%B8%D0%BD%D1%81%D1%8C%D0%BA%D0%BE%D1%97-%D0%9E%D0%A2%D0%93-1278003385691879/?epa=SEARCH_BOX" TargetMode="External"/><Relationship Id="rId110" Type="http://schemas.openxmlformats.org/officeDocument/2006/relationships/hyperlink" Target="https://www.facebook.com/profile.php?id=100057804232575" TargetMode="External"/><Relationship Id="rId115" Type="http://schemas.openxmlformats.org/officeDocument/2006/relationships/hyperlink" Target="https://www.facebook.com/youthcouncilzhovkva/" TargetMode="External"/><Relationship Id="rId131" Type="http://schemas.openxmlformats.org/officeDocument/2006/relationships/hyperlink" Target="https://myropilska-gromada.gov.ua/news/1633531514/" TargetMode="External"/><Relationship Id="rId136" Type="http://schemas.openxmlformats.org/officeDocument/2006/relationships/hyperlink" Target="https://www.facebook.com/groups/1188096574692150" TargetMode="External"/><Relationship Id="rId157" Type="http://schemas.openxmlformats.org/officeDocument/2006/relationships/hyperlink" Target="https://www.facebook.com/groups/222728875168647" TargetMode="External"/><Relationship Id="rId61" Type="http://schemas.openxmlformats.org/officeDocument/2006/relationships/hyperlink" Target="http://molod.zt.ua/" TargetMode="External"/><Relationship Id="rId82" Type="http://schemas.openxmlformats.org/officeDocument/2006/relationships/hyperlink" Target="https://gormr.gov.ua/molodizhna-rada/" TargetMode="External"/><Relationship Id="rId152" Type="http://schemas.openxmlformats.org/officeDocument/2006/relationships/hyperlink" Target="https://www.facebook.com/groups/4492444994210231/?ref=share" TargetMode="External"/><Relationship Id="rId19" Type="http://schemas.openxmlformats.org/officeDocument/2006/relationships/hyperlink" Target="https://www.facebook.com/groups/251616878703310/" TargetMode="External"/><Relationship Id="rId14" Type="http://schemas.openxmlformats.org/officeDocument/2006/relationships/hyperlink" Target="https://www.facebook.com/molodizna.rada.te" TargetMode="External"/><Relationship Id="rId30" Type="http://schemas.openxmlformats.org/officeDocument/2006/relationships/hyperlink" Target="https://www.facebook.com/dunaivtsi.mr/" TargetMode="External"/><Relationship Id="rId35" Type="http://schemas.openxmlformats.org/officeDocument/2006/relationships/hyperlink" Target="https://www.facebook.com/%D0%9C%D0%BE%D0%BB%D0%BE%D0%B4%D1%96%D0%B6%D0%BD%D0%B0-%D1%80%D0%B0%D0%B4%D0%B0-%D0%BF%D1%80%D0%B8-%D0%90%D1%80%D0%B1%D1%83%D0%B7%D0%B8%D0%BD%D1%81%D1%8C%D0%BA%D1%96%D0%B9-%D0%9E%D0%A2%D0%93-115871766468340/" TargetMode="External"/><Relationship Id="rId56" Type="http://schemas.openxmlformats.org/officeDocument/2006/relationships/hyperlink" Target="https://www.facebook.com/groups/1243189575754763" TargetMode="External"/><Relationship Id="rId77" Type="http://schemas.openxmlformats.org/officeDocument/2006/relationships/hyperlink" Target="http://shpola-otg.gov.ua/molodizhna-rada/" TargetMode="External"/><Relationship Id="rId100" Type="http://schemas.openxmlformats.org/officeDocument/2006/relationships/hyperlink" Target="https://www.facebook.com/molodrada.krd/" TargetMode="External"/><Relationship Id="rId105" Type="http://schemas.openxmlformats.org/officeDocument/2006/relationships/hyperlink" Target="https://kbmr.gov.ua/news/1535964847/" TargetMode="External"/><Relationship Id="rId126" Type="http://schemas.openxmlformats.org/officeDocument/2006/relationships/hyperlink" Target="https://batyovo-rada.gov.ua/" TargetMode="External"/><Relationship Id="rId147" Type="http://schemas.openxmlformats.org/officeDocument/2006/relationships/hyperlink" Target="https://www.facebook.com/groups/dyadkovychi.molod/?ref=share" TargetMode="External"/><Relationship Id="rId8" Type="http://schemas.openxmlformats.org/officeDocument/2006/relationships/hyperlink" Target="https://mateivetska-gromada.gov.ua/poryadok-dennij-sesij-20-39-17-10-06-2017/" TargetMode="External"/><Relationship Id="rId51" Type="http://schemas.openxmlformats.org/officeDocument/2006/relationships/hyperlink" Target="http://m-lubnyrada.com.ua/" TargetMode="External"/><Relationship Id="rId72" Type="http://schemas.openxmlformats.org/officeDocument/2006/relationships/hyperlink" Target="https://www.facebook.com/%D0%9C%D0%BE%D0%BB%D0%BE%D0%B4%D1%96%D0%B6%D0%BD%D0%B0-%D1%80%D0%B0%D0%B4%D0%B0-%D0%A7%D0%BC%D0%B8%D1%80%D1%96%D0%B2%D1%81%D1%8C%D0%BA%D0%BE%D1%97-%D0%A1%D0%A2%D0%93-2312561742094192/" TargetMode="External"/><Relationship Id="rId93" Type="http://schemas.openxmlformats.org/officeDocument/2006/relationships/hyperlink" Target="https://www.ostroh.rv.ua/" TargetMode="External"/><Relationship Id="rId98" Type="http://schemas.openxmlformats.org/officeDocument/2006/relationships/hyperlink" Target="https://www.facebook.com/molodizhna.rada.slavuty/" TargetMode="External"/><Relationship Id="rId121" Type="http://schemas.openxmlformats.org/officeDocument/2006/relationships/hyperlink" Target="https://www.facebook.com/sumy.somr/" TargetMode="External"/><Relationship Id="rId142" Type="http://schemas.openxmlformats.org/officeDocument/2006/relationships/hyperlink" Target="https://dmg.gov.ua/news/1617820688/" TargetMode="External"/><Relationship Id="rId3" Type="http://schemas.openxmlformats.org/officeDocument/2006/relationships/hyperlink" Target="https://www.facebook.com/%D0%97%D0%B8%D0%BC%D0%BD%D1%96%D0%B2%D1%81%D1%8C%D0%BA%D0%B0-%D0%BC%D0%BE%D0%BB%D0%BE%D0%B4%D1%96%D0%B6%D0%BD%D0%B0-%D1%80%D0%B0%D0%B4%D0%B0-352919425514965/?ref=bookmarks" TargetMode="External"/><Relationship Id="rId25" Type="http://schemas.openxmlformats.org/officeDocument/2006/relationships/hyperlink" Target="http://vynnyky-rada.gov.ua/" TargetMode="External"/><Relationship Id="rId46" Type="http://schemas.openxmlformats.org/officeDocument/2006/relationships/hyperlink" Target="http://nycukraine.org/" TargetMode="External"/><Relationship Id="rId67" Type="http://schemas.openxmlformats.org/officeDocument/2006/relationships/hyperlink" Target="https://www.facebook.com/mrchernihiv/?epa=SEARCH_BOX" TargetMode="External"/><Relationship Id="rId116" Type="http://schemas.openxmlformats.org/officeDocument/2006/relationships/hyperlink" Target="https://www.facebook.com/youthcouncilzhovkva" TargetMode="External"/><Relationship Id="rId137" Type="http://schemas.openxmlformats.org/officeDocument/2006/relationships/hyperlink" Target="https://romanivska-gromada.gov.ua/molodizhna-rada-pri-romanivskij-selischnij-radi-14-55-17-13-08-202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youthcenters.net.ua/molodigniy-tsentr-unreal/" TargetMode="External"/><Relationship Id="rId299" Type="http://schemas.openxmlformats.org/officeDocument/2006/relationships/hyperlink" Target="https://youthcenters.net.ua/tsentr-rozvitku-molodi-sever-hub/" TargetMode="External"/><Relationship Id="rId21" Type="http://schemas.openxmlformats.org/officeDocument/2006/relationships/hyperlink" Target="https://m.facebook.com/mczustrich/" TargetMode="External"/><Relationship Id="rId63" Type="http://schemas.openxmlformats.org/officeDocument/2006/relationships/hyperlink" Target="https://youthcenters.net.ua/molodigniy-prostir-city-life/" TargetMode="External"/><Relationship Id="rId159" Type="http://schemas.openxmlformats.org/officeDocument/2006/relationships/hyperlink" Target="https://youthcenters.net.ua/junior-trackers/" TargetMode="External"/><Relationship Id="rId324" Type="http://schemas.openxmlformats.org/officeDocument/2006/relationships/hyperlink" Target="https://youthcenters.net.ua/molodigniy-tsentr-idea-govtanetskoi-otg/" TargetMode="External"/><Relationship Id="rId366" Type="http://schemas.openxmlformats.org/officeDocument/2006/relationships/hyperlink" Target="https://youthcenters.net.ua/sumskiy-miskiy-tsentr-dozvillya-molodi-sumskoi-miskoi-radi/" TargetMode="External"/><Relationship Id="rId170" Type="http://schemas.openxmlformats.org/officeDocument/2006/relationships/hyperlink" Target="https://www.facebook.com/Ocheret-102630343614313/" TargetMode="External"/><Relationship Id="rId226" Type="http://schemas.openxmlformats.org/officeDocument/2006/relationships/hyperlink" Target="https://youthcenters.net.ua/molodigniy-tsentr-sens/" TargetMode="External"/><Relationship Id="rId268" Type="http://schemas.openxmlformats.org/officeDocument/2006/relationships/hyperlink" Target="https://youthcenters.net.ua/molodigniy-hab-talkhub/" TargetMode="External"/><Relationship Id="rId32" Type="http://schemas.openxmlformats.org/officeDocument/2006/relationships/hyperlink" Target="https://youthcenters.net.ua/tsentr-pidlitkovih-klubiv-za-mistsem-progivannya-univer/" TargetMode="External"/><Relationship Id="rId74" Type="http://schemas.openxmlformats.org/officeDocument/2006/relationships/hyperlink" Target="https://www.facebook.com/molcentrdnipra/" TargetMode="External"/><Relationship Id="rId128" Type="http://schemas.openxmlformats.org/officeDocument/2006/relationships/hyperlink" Target="https://www.facebook.com/artpuzzlemrpl/" TargetMode="External"/><Relationship Id="rId335" Type="http://schemas.openxmlformats.org/officeDocument/2006/relationships/hyperlink" Target="https://youthcenters.net.ua/kovorking-na-seli/" TargetMode="External"/><Relationship Id="rId377" Type="http://schemas.openxmlformats.org/officeDocument/2006/relationships/hyperlink" Target="https://youthcenters.net.ua/vulik/" TargetMode="External"/><Relationship Id="rId5" Type="http://schemas.openxmlformats.org/officeDocument/2006/relationships/hyperlink" Target="https://auyc.org.ua/" TargetMode="External"/><Relationship Id="rId181" Type="http://schemas.openxmlformats.org/officeDocument/2006/relationships/hyperlink" Target="https://youthcenters.net.ua/molodigna-alternativa/" TargetMode="External"/><Relationship Id="rId237" Type="http://schemas.openxmlformats.org/officeDocument/2006/relationships/hyperlink" Target="https://youthcenters.net.ua/zorya/" TargetMode="External"/><Relationship Id="rId402" Type="http://schemas.openxmlformats.org/officeDocument/2006/relationships/hyperlink" Target="https://youthcenters.net.ua/Terytoriia_Molodi/" TargetMode="External"/><Relationship Id="rId279" Type="http://schemas.openxmlformats.org/officeDocument/2006/relationships/hyperlink" Target="https://youthcenters.net.ua/tsentr-gromadskih-initsiativ-vilniy-prostir/" TargetMode="External"/><Relationship Id="rId43" Type="http://schemas.openxmlformats.org/officeDocument/2006/relationships/hyperlink" Target="https://www.facebook.com/youth.center.volyn/" TargetMode="External"/><Relationship Id="rId139" Type="http://schemas.openxmlformats.org/officeDocument/2006/relationships/hyperlink" Target="https://youthcenters.net.ua/donetskiy-oblasniy-dityacho-molodigniy-tsentr/" TargetMode="External"/><Relationship Id="rId290" Type="http://schemas.openxmlformats.org/officeDocument/2006/relationships/hyperlink" Target="https://youthcenters.net.ua/molodigniy-prostir-dievo/" TargetMode="External"/><Relationship Id="rId304" Type="http://schemas.openxmlformats.org/officeDocument/2006/relationships/hyperlink" Target="https://youthcenters.net.ua/molodigniy-tsentr-druzi-hub/" TargetMode="External"/><Relationship Id="rId346" Type="http://schemas.openxmlformats.org/officeDocument/2006/relationships/hyperlink" Target="https://youthcenters.net.ua/odeska-oblasna-universalna-naukova-biblioteka-im-m-s-grushevskogo/" TargetMode="External"/><Relationship Id="rId388" Type="http://schemas.openxmlformats.org/officeDocument/2006/relationships/hyperlink" Target="https://youthcenters.net.ua/hub_city/" TargetMode="External"/><Relationship Id="rId85" Type="http://schemas.openxmlformats.org/officeDocument/2006/relationships/hyperlink" Target="https://youthcenters.net.ua/inklyuzivniy-molodigniy-tsentr-daruemo-radist-na-bazi-blagodiynoi-organizatsii-blagodiyniy-fond-daruemo-radist/" TargetMode="External"/><Relationship Id="rId150" Type="http://schemas.openxmlformats.org/officeDocument/2006/relationships/hyperlink" Target="https://youthcenters.net.ua/dobro-lab/" TargetMode="External"/><Relationship Id="rId171" Type="http://schemas.openxmlformats.org/officeDocument/2006/relationships/hyperlink" Target="https://youthcenters.net.ua/ocheret/" TargetMode="External"/><Relationship Id="rId192" Type="http://schemas.openxmlformats.org/officeDocument/2006/relationships/hyperlink" Target="https://www.instagram.com/molodizhne_suzirya/" TargetMode="External"/><Relationship Id="rId206" Type="http://schemas.openxmlformats.org/officeDocument/2006/relationships/hyperlink" Target="https://youthcenters.net.ua/molodigniy-tsentr-molod/" TargetMode="External"/><Relationship Id="rId227" Type="http://schemas.openxmlformats.org/officeDocument/2006/relationships/hyperlink" Target="https://youthcenters.net.ua/molodigniy-tsentr-altair/" TargetMode="External"/><Relationship Id="rId413" Type="http://schemas.openxmlformats.org/officeDocument/2006/relationships/hyperlink" Target="https://youthcenters.net.ua/gromadskiy-prostir/" TargetMode="External"/><Relationship Id="rId248" Type="http://schemas.openxmlformats.org/officeDocument/2006/relationships/hyperlink" Target="https://youthcenters.net.ua/miskiy-molodigniy-tsentr/" TargetMode="External"/><Relationship Id="rId269" Type="http://schemas.openxmlformats.org/officeDocument/2006/relationships/hyperlink" Target="https://www.facebook.com/prostirMelitopoll/" TargetMode="External"/><Relationship Id="rId12" Type="http://schemas.openxmlformats.org/officeDocument/2006/relationships/hyperlink" Target="https://youthcenters.net.ua/studentskiy-prostir-krila/" TargetMode="External"/><Relationship Id="rId33" Type="http://schemas.openxmlformats.org/officeDocument/2006/relationships/hyperlink" Target="https://www.instagram.com/level80_vinn/" TargetMode="External"/><Relationship Id="rId108" Type="http://schemas.openxmlformats.org/officeDocument/2006/relationships/hyperlink" Target="https://www.facebook.com/smart.ssr" TargetMode="External"/><Relationship Id="rId129" Type="http://schemas.openxmlformats.org/officeDocument/2006/relationships/hyperlink" Target="https://youthcenters.net.ua/art-pazl/" TargetMode="External"/><Relationship Id="rId280" Type="http://schemas.openxmlformats.org/officeDocument/2006/relationships/hyperlink" Target="https://youthcenters.net.ua/dumka/" TargetMode="External"/><Relationship Id="rId315" Type="http://schemas.openxmlformats.org/officeDocument/2006/relationships/hyperlink" Target="https://youthcenters.net.ua/lvivskiy-oblasniy-molodigniy-tsentr/" TargetMode="External"/><Relationship Id="rId336" Type="http://schemas.openxmlformats.org/officeDocument/2006/relationships/hyperlink" Target="https://youthcenters.net.ua/molodigno-hristiyanskiy-tsentr-sinay/" TargetMode="External"/><Relationship Id="rId357" Type="http://schemas.openxmlformats.org/officeDocument/2006/relationships/hyperlink" Target="https://youthcenters.net.ua/molodigniy-tsentr-drukarnya/" TargetMode="External"/><Relationship Id="rId54" Type="http://schemas.openxmlformats.org/officeDocument/2006/relationships/hyperlink" Target="https://www.facebook.com/groups/NOVIKRYLA/" TargetMode="External"/><Relationship Id="rId75" Type="http://schemas.openxmlformats.org/officeDocument/2006/relationships/hyperlink" Target="https://youthcenters.net.ua/molodigniy-tsentr-dnipra/" TargetMode="External"/><Relationship Id="rId96" Type="http://schemas.openxmlformats.org/officeDocument/2006/relationships/hyperlink" Target="https://youthcenters.net.ua/bibliohab/" TargetMode="External"/><Relationship Id="rId140" Type="http://schemas.openxmlformats.org/officeDocument/2006/relationships/hyperlink" Target="https://www.facebook.com/groups/837381130309956/permalink/904683933579675/" TargetMode="External"/><Relationship Id="rId161" Type="http://schemas.openxmlformats.org/officeDocument/2006/relationships/hyperlink" Target="https://youthcenters.net.ua/molodigniy-tsentr-molodigniy-tsentr-pokrovska/" TargetMode="External"/><Relationship Id="rId182" Type="http://schemas.openxmlformats.org/officeDocument/2006/relationships/hyperlink" Target="https://youthcenters.net.ua/sool-drive/" TargetMode="External"/><Relationship Id="rId217" Type="http://schemas.openxmlformats.org/officeDocument/2006/relationships/hyperlink" Target="https://youthcenters.net.ua/enerdgayzer/" TargetMode="External"/><Relationship Id="rId378" Type="http://schemas.openxmlformats.org/officeDocument/2006/relationships/hyperlink" Target="https://youthcenters.net.ua/go-molodigna-plastova-stanitsya-buchach/" TargetMode="External"/><Relationship Id="rId399" Type="http://schemas.openxmlformats.org/officeDocument/2006/relationships/hyperlink" Target="https://youthcenters.net.ua/hub_energy/" TargetMode="External"/><Relationship Id="rId403" Type="http://schemas.openxmlformats.org/officeDocument/2006/relationships/hyperlink" Target="https://youthcenters.net.ua/molodigniy-tsentr-workspace/" TargetMode="External"/><Relationship Id="rId6" Type="http://schemas.openxmlformats.org/officeDocument/2006/relationships/hyperlink" Target="https://youthcenters.net.ua/vseukrainskiy-molodigniy-tsentr/" TargetMode="External"/><Relationship Id="rId238" Type="http://schemas.openxmlformats.org/officeDocument/2006/relationships/hyperlink" Target="https://youthcenters.net.ua/molodigniy-inovatsiyniy-tsentr-impuls-o/" TargetMode="External"/><Relationship Id="rId259" Type="http://schemas.openxmlformats.org/officeDocument/2006/relationships/hyperlink" Target="https://youthcenters.net.ua/spilno-hub/" TargetMode="External"/><Relationship Id="rId424" Type="http://schemas.openxmlformats.org/officeDocument/2006/relationships/hyperlink" Target="https://youthcenters.net.ua/niginskiy-miskiy-molodigniy-tsentr/" TargetMode="External"/><Relationship Id="rId23" Type="http://schemas.openxmlformats.org/officeDocument/2006/relationships/hyperlink" Target="https://www.facebook.com/Youth.Hub.Slavutych/" TargetMode="External"/><Relationship Id="rId119" Type="http://schemas.openxmlformats.org/officeDocument/2006/relationships/hyperlink" Target="https://m.facebook.com/%D0%9C%D0%BE%D0%BB%D0%BE%D0%B4%D1%96%D0%B6%D0%BD%D0%B8%D0%B9-%D1%86%D0%B5%D0%BD%D1%82%D1%80-Friends-108237084120408/" TargetMode="External"/><Relationship Id="rId270" Type="http://schemas.openxmlformats.org/officeDocument/2006/relationships/hyperlink" Target="https://youthcenters.net.ua/prostir-dlya-ditey-sim-i-ta-molodi/" TargetMode="External"/><Relationship Id="rId291" Type="http://schemas.openxmlformats.org/officeDocument/2006/relationships/hyperlink" Target="https://youthcenters.net.ua/tsentr-molodi-z-invalidnistyu-silni-duhom/" TargetMode="External"/><Relationship Id="rId305" Type="http://schemas.openxmlformats.org/officeDocument/2006/relationships/hyperlink" Target="https://youthcenters.net.ua/tsentr-urban-kultur-drugba/" TargetMode="External"/><Relationship Id="rId326" Type="http://schemas.openxmlformats.org/officeDocument/2006/relationships/hyperlink" Target="https://youthcenters.net.ua/molodigniy-prostir-girlyanda/" TargetMode="External"/><Relationship Id="rId347" Type="http://schemas.openxmlformats.org/officeDocument/2006/relationships/hyperlink" Target="https://youthcenters.net.ua/pma-odesa-hub/" TargetMode="External"/><Relationship Id="rId44" Type="http://schemas.openxmlformats.org/officeDocument/2006/relationships/hyperlink" Target="https://youthcenters.net.ua/molodigniy-tsentr-volini/" TargetMode="External"/><Relationship Id="rId65" Type="http://schemas.openxmlformats.org/officeDocument/2006/relationships/hyperlink" Target="https://youthcenters.net.ua/mts-diduhim/" TargetMode="External"/><Relationship Id="rId86" Type="http://schemas.openxmlformats.org/officeDocument/2006/relationships/hyperlink" Target="https://www.facebook.com/robitnychamolod/?modal=admin_todo_tour" TargetMode="External"/><Relationship Id="rId130" Type="http://schemas.openxmlformats.org/officeDocument/2006/relationships/hyperlink" Target="https://www.facebook.com/generationuamariupol/" TargetMode="External"/><Relationship Id="rId151" Type="http://schemas.openxmlformats.org/officeDocument/2006/relationships/hyperlink" Target="http://www.slavicheart.org/wp-content/themes/slavicheart/assests/svg-icons/facebook-outlines.svg" TargetMode="External"/><Relationship Id="rId368" Type="http://schemas.openxmlformats.org/officeDocument/2006/relationships/hyperlink" Target="https://youthcenters.net.ua/rozumniy-hab/" TargetMode="External"/><Relationship Id="rId389" Type="http://schemas.openxmlformats.org/officeDocument/2006/relationships/hyperlink" Target="https://youthcenters.net.ua/hub_cube/" TargetMode="External"/><Relationship Id="rId172" Type="http://schemas.openxmlformats.org/officeDocument/2006/relationships/hyperlink" Target="https://www.facebook.com/novigoruzontu/?ref=page_internal" TargetMode="External"/><Relationship Id="rId193" Type="http://schemas.openxmlformats.org/officeDocument/2006/relationships/hyperlink" Target="https://youthcenters.net.ua/molodigniy-tsentr-molodigne-suzir-ya/" TargetMode="External"/><Relationship Id="rId207" Type="http://schemas.openxmlformats.org/officeDocument/2006/relationships/hyperlink" Target="https://www.instagram.com/moloda_hvilya/" TargetMode="External"/><Relationship Id="rId228" Type="http://schemas.openxmlformats.org/officeDocument/2006/relationships/hyperlink" Target="https://youthcenters.net.ua/molodigniy-tsentr-fresh/" TargetMode="External"/><Relationship Id="rId249" Type="http://schemas.openxmlformats.org/officeDocument/2006/relationships/hyperlink" Target="https://youthcenters.net.ua/mignarodniy-kulturniy-tsentr-prostir/" TargetMode="External"/><Relationship Id="rId414" Type="http://schemas.openxmlformats.org/officeDocument/2006/relationships/hyperlink" Target="https://youthcenters.net.ua/molodigniy-prostir-atmosfera/" TargetMode="External"/><Relationship Id="rId13" Type="http://schemas.openxmlformats.org/officeDocument/2006/relationships/hyperlink" Target="https://www.facebook.com/bc.molodcenter" TargetMode="External"/><Relationship Id="rId109" Type="http://schemas.openxmlformats.org/officeDocument/2006/relationships/hyperlink" Target="https://youthcenters.net.ua/komunalniy-zaklad-molodigniy-tsentr-smart-sloboganskoi-selishchnoi-radi/" TargetMode="External"/><Relationship Id="rId260" Type="http://schemas.openxmlformats.org/officeDocument/2006/relationships/hyperlink" Target="https://youthcenters.net.ua/hub-uho/" TargetMode="External"/><Relationship Id="rId281" Type="http://schemas.openxmlformats.org/officeDocument/2006/relationships/hyperlink" Target="https://youthcenters.net.ua/sich-silni-ideyni-chesni/" TargetMode="External"/><Relationship Id="rId316" Type="http://schemas.openxmlformats.org/officeDocument/2006/relationships/hyperlink" Target="https://youthcenters.net.ua/kz-lor-lvivskiy-oblasniy-plastoviy-tsentr/" TargetMode="External"/><Relationship Id="rId337" Type="http://schemas.openxmlformats.org/officeDocument/2006/relationships/hyperlink" Target="https://youthcenters.net.ua/molodigniy-prostir-poradiy-1/" TargetMode="External"/><Relationship Id="rId34" Type="http://schemas.openxmlformats.org/officeDocument/2006/relationships/hyperlink" Target="https://youthcenters.net.ua/kreativniy-prostir-level-80/" TargetMode="External"/><Relationship Id="rId55" Type="http://schemas.openxmlformats.org/officeDocument/2006/relationships/hyperlink" Target="https://youthcenters.net.ua/novi-kryla/" TargetMode="External"/><Relationship Id="rId76" Type="http://schemas.openxmlformats.org/officeDocument/2006/relationships/hyperlink" Target="https://www.facebook.com/kzmdmcdmr" TargetMode="External"/><Relationship Id="rId97" Type="http://schemas.openxmlformats.org/officeDocument/2006/relationships/hyperlink" Target="https://www.facebook.com/yic.kam/?ref=bookmarks" TargetMode="External"/><Relationship Id="rId120" Type="http://schemas.openxmlformats.org/officeDocument/2006/relationships/hyperlink" Target="https://youthcenters.net.ua/molodigniy-tsentr-friends/" TargetMode="External"/><Relationship Id="rId141" Type="http://schemas.openxmlformats.org/officeDocument/2006/relationships/hyperlink" Target="https://youthcenters.net.ua/fakel/" TargetMode="External"/><Relationship Id="rId358" Type="http://schemas.openxmlformats.org/officeDocument/2006/relationships/hyperlink" Target="https://youthcenters.net.ua/rivnenskiy-oblasniy-molodigniy-plastoviy-vishkilniy-tsentr/" TargetMode="External"/><Relationship Id="rId379" Type="http://schemas.openxmlformats.org/officeDocument/2006/relationships/hyperlink" Target="https://youthcenters.net.ua/ugrik-tsentr/" TargetMode="External"/><Relationship Id="rId7" Type="http://schemas.openxmlformats.org/officeDocument/2006/relationships/hyperlink" Target="https://sos-ukraine.org/" TargetMode="External"/><Relationship Id="rId162" Type="http://schemas.openxmlformats.org/officeDocument/2006/relationships/hyperlink" Target="https://www.facebook.com/teplitsia/" TargetMode="External"/><Relationship Id="rId183" Type="http://schemas.openxmlformats.org/officeDocument/2006/relationships/hyperlink" Target="https://youthcenters.net.ua/nove-pokolinnya-1/" TargetMode="External"/><Relationship Id="rId218" Type="http://schemas.openxmlformats.org/officeDocument/2006/relationships/hyperlink" Target="https://youthcenters.net.ua/fresh/" TargetMode="External"/><Relationship Id="rId239" Type="http://schemas.openxmlformats.org/officeDocument/2006/relationships/hyperlink" Target="https://youthcenters.net.ua/molodigniy-tsentr-rodinskiy-molodigniy-tsentr/" TargetMode="External"/><Relationship Id="rId390" Type="http://schemas.openxmlformats.org/officeDocument/2006/relationships/hyperlink" Target="https://youthcenters.net.ua/hub_orbita/" TargetMode="External"/><Relationship Id="rId404" Type="http://schemas.openxmlformats.org/officeDocument/2006/relationships/hyperlink" Target="https://youthcenters.net.ua/molodigniy-tsentr-shchastya-poruch/" TargetMode="External"/><Relationship Id="rId425" Type="http://schemas.openxmlformats.org/officeDocument/2006/relationships/hyperlink" Target="https://youthcenters.net.ua/koryukivskiy-molodigniy-tsentr-kub/" TargetMode="External"/><Relationship Id="rId250" Type="http://schemas.openxmlformats.org/officeDocument/2006/relationships/hyperlink" Target="https://youthcenters.net.ua/art-prostir/" TargetMode="External"/><Relationship Id="rId271" Type="http://schemas.openxmlformats.org/officeDocument/2006/relationships/hyperlink" Target="https://youthcenters.net.ua/molodigniy-tsentr-people-ua/" TargetMode="External"/><Relationship Id="rId292" Type="http://schemas.openxmlformats.org/officeDocument/2006/relationships/hyperlink" Target="https://youthcenters.net.ua/molodigniy-prostir-youth-space/" TargetMode="External"/><Relationship Id="rId306" Type="http://schemas.openxmlformats.org/officeDocument/2006/relationships/hyperlink" Target="https://youthcenters.net.ua/molodigniy-tsentr-vektor-novopskovskoi-tsentralnoi-rayonnoi-biblioteki/" TargetMode="External"/><Relationship Id="rId24" Type="http://schemas.openxmlformats.org/officeDocument/2006/relationships/hyperlink" Target="https://youthcenters.net.ua/slavutitskiy-molodigniy-prostir/" TargetMode="External"/><Relationship Id="rId45" Type="http://schemas.openxmlformats.org/officeDocument/2006/relationships/hyperlink" Target="https://youcontrol.com.ua/search/?q=%D0%9B%D1%83%D1%86%D1%8C%D0%BA%D0%B8%D0%B9+%D0%BC%D1%96%D1%81%D1%8C%D0%BA%D0%B8%D0%B9+%D0%BC%D0%BE%D0%BB%D0%BE%D0%B4%D1%96%D0%B6%D0%BD%D0%B8%D0%B9+%D1%86%D0%B5%D0%BD%D1%82%D1%80" TargetMode="External"/><Relationship Id="rId66" Type="http://schemas.openxmlformats.org/officeDocument/2006/relationships/hyperlink" Target="https://www.facebook.com/molodizhnyy.prostir.poradiy/" TargetMode="External"/><Relationship Id="rId87" Type="http://schemas.openxmlformats.org/officeDocument/2006/relationships/hyperlink" Target="https://youthcenters.net.ua/moldigniy-tsentr-advanced-worker/" TargetMode="External"/><Relationship Id="rId110" Type="http://schemas.openxmlformats.org/officeDocument/2006/relationships/hyperlink" Target="https://www.facebook.com/molodpokrovske/posts/pfbid0F4TN7YXzX8Dv944h9JsECt5cBLUouGhC5Cjyn6eTEwMYurt8F2qN9TCqWKwXBznRl?__cft__%5B0%5D=AZV1sQjWIKfiN_VWJoRwCttSW9hkLfL5VSRYKMJh57gPHP8seMaaqdxQzSSyetZKA0QrswAyRoWv0Tw0m-rflR32e0Dokfx784U-eB6Q30yUHAC2MUDL9jBL-HzTHpJLTacfkTpyI3bOpHvsgycmn4I1&amp;__tn__=%2CO%2CP-R" TargetMode="External"/><Relationship Id="rId131" Type="http://schemas.openxmlformats.org/officeDocument/2006/relationships/hyperlink" Target="https://youthcenters.net.ua/tsentr-rozvitku-ditey-molodi-ta-vchiteliv-generatsiya-ua-mariupol/" TargetMode="External"/><Relationship Id="rId327" Type="http://schemas.openxmlformats.org/officeDocument/2006/relationships/hyperlink" Target="https://youthcenters.net.ua/molodigniy-gromadskiy-prostir-vulik/" TargetMode="External"/><Relationship Id="rId348" Type="http://schemas.openxmlformats.org/officeDocument/2006/relationships/hyperlink" Target="https://youthcenters.net.ua/dobro-hub/" TargetMode="External"/><Relationship Id="rId369" Type="http://schemas.openxmlformats.org/officeDocument/2006/relationships/hyperlink" Target="https://youthcenters.net.ua/molodigna-platforma-vilno/" TargetMode="External"/><Relationship Id="rId152" Type="http://schemas.openxmlformats.org/officeDocument/2006/relationships/hyperlink" Target="https://youthcenters.net.ua/molodigniy-klub-slov-yanske-sertse/" TargetMode="External"/><Relationship Id="rId173" Type="http://schemas.openxmlformats.org/officeDocument/2006/relationships/hyperlink" Target="https://youthcenters.net.ua/novi-gorizonti/" TargetMode="External"/><Relationship Id="rId194" Type="http://schemas.openxmlformats.org/officeDocument/2006/relationships/hyperlink" Target="https://youthcenters.net.ua/cherdak/" TargetMode="External"/><Relationship Id="rId208" Type="http://schemas.openxmlformats.org/officeDocument/2006/relationships/hyperlink" Target="https://youthcenters.net.ua/vilniy-prostir-moloda-hvilya/" TargetMode="External"/><Relationship Id="rId229" Type="http://schemas.openxmlformats.org/officeDocument/2006/relationships/hyperlink" Target="https://youthcenters.net.ua/molodigniy-tsentr-freedom/" TargetMode="External"/><Relationship Id="rId380" Type="http://schemas.openxmlformats.org/officeDocument/2006/relationships/hyperlink" Target="https://youthcenters.net.ua/kharkivskiy-oblasniy-tsentr-molodi/" TargetMode="External"/><Relationship Id="rId415" Type="http://schemas.openxmlformats.org/officeDocument/2006/relationships/hyperlink" Target="https://youthcenters.net.ua/art-prostir-martinivskiy-skarb/" TargetMode="External"/><Relationship Id="rId240" Type="http://schemas.openxmlformats.org/officeDocument/2006/relationships/hyperlink" Target="https://youthcenters.net.ua/molodigniy-tsentr-vidrodgennya/" TargetMode="External"/><Relationship Id="rId261" Type="http://schemas.openxmlformats.org/officeDocument/2006/relationships/hyperlink" Target="https://youthcenters.net.ua/freedom/" TargetMode="External"/><Relationship Id="rId14" Type="http://schemas.openxmlformats.org/officeDocument/2006/relationships/hyperlink" Target="https://youthcenters.net.ua/molodigniy-tsentr-mista-bila-tserkva/" TargetMode="External"/><Relationship Id="rId35" Type="http://schemas.openxmlformats.org/officeDocument/2006/relationships/hyperlink" Target="https://mistozmistiv.vn.ua/" TargetMode="External"/><Relationship Id="rId56" Type="http://schemas.openxmlformats.org/officeDocument/2006/relationships/hyperlink" Target="https://www.facebook.com/vvcreativestudio" TargetMode="External"/><Relationship Id="rId77" Type="http://schemas.openxmlformats.org/officeDocument/2006/relationships/hyperlink" Target="https://youthcenters.net.ua/kz-miskiy-dityacho-molodigniy-tsentr-dniprovskoi-miskoi-radi/" TargetMode="External"/><Relationship Id="rId100" Type="http://schemas.openxmlformats.org/officeDocument/2006/relationships/hyperlink" Target="https://www.facebook.com/yic.kam/?ref=page_internal" TargetMode="External"/><Relationship Id="rId282" Type="http://schemas.openxmlformats.org/officeDocument/2006/relationships/hyperlink" Target="https://youthcenters.net.ua/gromadskiy-prostir-s-nadorogna/" TargetMode="External"/><Relationship Id="rId317" Type="http://schemas.openxmlformats.org/officeDocument/2006/relationships/hyperlink" Target="https://youthcenters.net.ua/suputnik/" TargetMode="External"/><Relationship Id="rId338" Type="http://schemas.openxmlformats.org/officeDocument/2006/relationships/hyperlink" Target="https://youthcenters.net.ua/molodigniy-prostir-mindhouse/" TargetMode="External"/><Relationship Id="rId359" Type="http://schemas.openxmlformats.org/officeDocument/2006/relationships/hyperlink" Target="https://youthcenters.net.ua/molodigniy-prostir-nota/" TargetMode="External"/><Relationship Id="rId8" Type="http://schemas.openxmlformats.org/officeDocument/2006/relationships/hyperlink" Target="https://youthcenters.net.ua/molodigniy-tsentr-sos-dityachi-mistechka-ukraina/" TargetMode="External"/><Relationship Id="rId98" Type="http://schemas.openxmlformats.org/officeDocument/2006/relationships/hyperlink" Target="https://youthcenters.net.ua/komunalna-ustanova-tsentr-molodignih-initsiativ-kam-yanskoi-miskoi-radi/" TargetMode="External"/><Relationship Id="rId121" Type="http://schemas.openxmlformats.org/officeDocument/2006/relationships/hyperlink" Target="https://m.facebook.com/pg/mku.youth.residence/posts/" TargetMode="External"/><Relationship Id="rId142" Type="http://schemas.openxmlformats.org/officeDocument/2006/relationships/hyperlink" Target="https://youthcenters.net.ua/molodigniy-tsentr-molodist/" TargetMode="External"/><Relationship Id="rId163" Type="http://schemas.openxmlformats.org/officeDocument/2006/relationships/hyperlink" Target="https://youthcenters.net.ua/molodigniy-tsentr-teplitsya/" TargetMode="External"/><Relationship Id="rId184" Type="http://schemas.openxmlformats.org/officeDocument/2006/relationships/hyperlink" Target="https://youthcenters.net.ua/innovatsiyniy-tsentr-rozvitku-molodi-ta-ditey-art-hub-kaleydoskop/" TargetMode="External"/><Relationship Id="rId219" Type="http://schemas.openxmlformats.org/officeDocument/2006/relationships/hyperlink" Target="https://youthcenters.net.ua/teendim/" TargetMode="External"/><Relationship Id="rId370" Type="http://schemas.openxmlformats.org/officeDocument/2006/relationships/hyperlink" Target="https://youthcenters.net.ua/ohtirskiy-molodigniy-tsentr/" TargetMode="External"/><Relationship Id="rId391" Type="http://schemas.openxmlformats.org/officeDocument/2006/relationships/hyperlink" Target="https://youthcenters.net.ua/dobrebus/" TargetMode="External"/><Relationship Id="rId405" Type="http://schemas.openxmlformats.org/officeDocument/2006/relationships/hyperlink" Target="https://youthcenters.net.ua/molodigniy-hab-visokopilskoi-gromadi/" TargetMode="External"/><Relationship Id="rId426" Type="http://schemas.openxmlformats.org/officeDocument/2006/relationships/hyperlink" Target="https://youthcenters.net.ua/molodigniy-tsentr/" TargetMode="External"/><Relationship Id="rId230" Type="http://schemas.openxmlformats.org/officeDocument/2006/relationships/hyperlink" Target="https://youthcenters.net.ua/lemko-lemkivskiy-ekologichniy-molodigniy-kulturno-osvitniy-tsentr/" TargetMode="External"/><Relationship Id="rId251" Type="http://schemas.openxmlformats.org/officeDocument/2006/relationships/hyperlink" Target="https://youthcenters.net.ua/navchalniy-tsentr-platform-9-3-4/" TargetMode="External"/><Relationship Id="rId25" Type="http://schemas.openxmlformats.org/officeDocument/2006/relationships/hyperlink" Target="https://youthcenters.net.ua/molodigniy-tsentr-medvinskoi-otg/" TargetMode="External"/><Relationship Id="rId46" Type="http://schemas.openxmlformats.org/officeDocument/2006/relationships/hyperlink" Target="https://www.facebook.com/LutskCYC/" TargetMode="External"/><Relationship Id="rId67" Type="http://schemas.openxmlformats.org/officeDocument/2006/relationships/hyperlink" Target="https://youthcenters.net.ua/molodigniy-prostir-poradiy/" TargetMode="External"/><Relationship Id="rId272" Type="http://schemas.openxmlformats.org/officeDocument/2006/relationships/hyperlink" Target="https://youthcenters.net.ua/molodigniy-hab-ostrikivskoi-otg/" TargetMode="External"/><Relationship Id="rId293" Type="http://schemas.openxmlformats.org/officeDocument/2006/relationships/hyperlink" Target="https://youthcenters.net.ua/molodigniy-art-tsentr/" TargetMode="External"/><Relationship Id="rId307" Type="http://schemas.openxmlformats.org/officeDocument/2006/relationships/hyperlink" Target="https://youthcenters.net.ua/moya-stanitsa-hub/" TargetMode="External"/><Relationship Id="rId328" Type="http://schemas.openxmlformats.org/officeDocument/2006/relationships/hyperlink" Target="https://youthcenters.net.ua/molodigniy-prostir-migshkilnogo-uchnivskogo-parlamentu/" TargetMode="External"/><Relationship Id="rId349" Type="http://schemas.openxmlformats.org/officeDocument/2006/relationships/hyperlink" Target="https://youthcenters.net.ua/nove-pokolinnya/" TargetMode="External"/><Relationship Id="rId88" Type="http://schemas.openxmlformats.org/officeDocument/2006/relationships/hyperlink" Target="https://www.facebook.com/libnmu/" TargetMode="External"/><Relationship Id="rId111" Type="http://schemas.openxmlformats.org/officeDocument/2006/relationships/hyperlink" Target="https://www.facebook.com/groups/mpPokrovske/about" TargetMode="External"/><Relationship Id="rId132" Type="http://schemas.openxmlformats.org/officeDocument/2006/relationships/hyperlink" Target="https://www.facebook.com/vezhacreativespace/" TargetMode="External"/><Relationship Id="rId153" Type="http://schemas.openxmlformats.org/officeDocument/2006/relationships/hyperlink" Target="https://www.facebook.com/druzifreespace/" TargetMode="External"/><Relationship Id="rId174" Type="http://schemas.openxmlformats.org/officeDocument/2006/relationships/hyperlink" Target="https://youthcenters.net.ua/perlina-maybutnogo/" TargetMode="External"/><Relationship Id="rId195" Type="http://schemas.openxmlformats.org/officeDocument/2006/relationships/hyperlink" Target="https://www.facebook.com/center.ruh/" TargetMode="External"/><Relationship Id="rId209" Type="http://schemas.openxmlformats.org/officeDocument/2006/relationships/hyperlink" Target="https://www.youtube.com/watch?v=hKOTEIi1Qm0" TargetMode="External"/><Relationship Id="rId360" Type="http://schemas.openxmlformats.org/officeDocument/2006/relationships/hyperlink" Target="https://youthcenters.net.ua/vilniy-prostir/" TargetMode="External"/><Relationship Id="rId381" Type="http://schemas.openxmlformats.org/officeDocument/2006/relationships/hyperlink" Target="https://youthcenters.net.ua/tsentr-rozvitku-liderstva-ukrainskoi-akademii-liderstva-v-m-harkiv/" TargetMode="External"/><Relationship Id="rId416" Type="http://schemas.openxmlformats.org/officeDocument/2006/relationships/hyperlink" Target="https://youthcenters.net.ua/tsentr-rozvitku-osobistosti-stephub/" TargetMode="External"/><Relationship Id="rId220" Type="http://schemas.openxmlformats.org/officeDocument/2006/relationships/hyperlink" Target="https://www.facebook.com/groups/439733513500074/" TargetMode="External"/><Relationship Id="rId241" Type="http://schemas.openxmlformats.org/officeDocument/2006/relationships/hyperlink" Target="https://youthcenters.net.ua/yelizavetcity/" TargetMode="External"/><Relationship Id="rId15" Type="http://schemas.openxmlformats.org/officeDocument/2006/relationships/hyperlink" Target="https://www.facebook.com/groups/360417634530988/" TargetMode="External"/><Relationship Id="rId36" Type="http://schemas.openxmlformats.org/officeDocument/2006/relationships/hyperlink" Target="https://youthcenters.net.ua/hub-misto-zmistiv/" TargetMode="External"/><Relationship Id="rId57" Type="http://schemas.openxmlformats.org/officeDocument/2006/relationships/hyperlink" Target="https://youthcenters.net.ua/hab-creative-studio/" TargetMode="External"/><Relationship Id="rId262" Type="http://schemas.openxmlformats.org/officeDocument/2006/relationships/hyperlink" Target="https://www.facebook.com/profile.php?id=100001241943408" TargetMode="External"/><Relationship Id="rId283" Type="http://schemas.openxmlformats.org/officeDocument/2006/relationships/hyperlink" Target="https://youthcenters.net.ua/tsentr-sotsialnogo-rozvitku-ta-pidtrimki-nignoverbizkoi-otg/" TargetMode="External"/><Relationship Id="rId318" Type="http://schemas.openxmlformats.org/officeDocument/2006/relationships/hyperlink" Target="https://youthcenters.net.ua/molodvig-tsentr-ku-lvivskiy-miskiy-molodigniy-tsentr/" TargetMode="External"/><Relationship Id="rId339" Type="http://schemas.openxmlformats.org/officeDocument/2006/relationships/hyperlink" Target="https://youthcenters.net.ua/tsentr-viyskovo-patriotichnogo-vihovannya-ditey-ta-molodi/" TargetMode="External"/><Relationship Id="rId78" Type="http://schemas.openxmlformats.org/officeDocument/2006/relationships/hyperlink" Target="https://www.facebook.com/molmediadnipra/" TargetMode="External"/><Relationship Id="rId99" Type="http://schemas.openxmlformats.org/officeDocument/2006/relationships/hyperlink" Target="https://www.facebook.com/mir.hub.dndz/photos/a.595579897575983/595579920909314/?__tn__=%2CO*F" TargetMode="External"/><Relationship Id="rId101" Type="http://schemas.openxmlformats.org/officeDocument/2006/relationships/hyperlink" Target="https://youthcenters.net.ua/kulturno-molodigniy-tsentr-m-i-r-hub/" TargetMode="External"/><Relationship Id="rId122" Type="http://schemas.openxmlformats.org/officeDocument/2006/relationships/hyperlink" Target="https://youthcenters.net.ua/molodigniy-media-tsentr-rezidentsiya-molodi/" TargetMode="External"/><Relationship Id="rId143" Type="http://schemas.openxmlformats.org/officeDocument/2006/relationships/hyperlink" Target="https://www.facebook.com/KramatorskPLAST" TargetMode="External"/><Relationship Id="rId164" Type="http://schemas.openxmlformats.org/officeDocument/2006/relationships/hyperlink" Target="https://www.facebook.com/artprostir2017/" TargetMode="External"/><Relationship Id="rId185" Type="http://schemas.openxmlformats.org/officeDocument/2006/relationships/hyperlink" Target="https://youthcenters.net.ua/nadsuchasniy-multimediyniy-tsentr-dlya-molodih-lyudey-z-invalidnistyu-modern-media/" TargetMode="External"/><Relationship Id="rId350" Type="http://schemas.openxmlformats.org/officeDocument/2006/relationships/hyperlink" Target="https://youthcenters.net.ua/filial-molodignogo-tsentru-nove-pokolinnya/" TargetMode="External"/><Relationship Id="rId371" Type="http://schemas.openxmlformats.org/officeDocument/2006/relationships/hyperlink" Target="https://youthcenters.net.ua/ternopilskiy-molodigniy-tsent/" TargetMode="External"/><Relationship Id="rId406" Type="http://schemas.openxmlformats.org/officeDocument/2006/relationships/hyperlink" Target="https://youthcenters.net.ua/light-house-dim-svitlih-idey-skadovskiy-molodigniy-tsentr/" TargetMode="External"/><Relationship Id="rId9" Type="http://schemas.openxmlformats.org/officeDocument/2006/relationships/hyperlink" Target="https://www.facebook.com/kzkorkomc" TargetMode="External"/><Relationship Id="rId210" Type="http://schemas.openxmlformats.org/officeDocument/2006/relationships/hyperlink" Target="https://youthcenters.net.ua/molodigniy-tsentr-smaylik/" TargetMode="External"/><Relationship Id="rId392" Type="http://schemas.openxmlformats.org/officeDocument/2006/relationships/hyperlink" Target="https://youthcenters.net.ua/hub_motion_space/" TargetMode="External"/><Relationship Id="rId427" Type="http://schemas.openxmlformats.org/officeDocument/2006/relationships/hyperlink" Target="https://youthcenters.net.ua/molodigniy-prostir/" TargetMode="External"/><Relationship Id="rId26" Type="http://schemas.openxmlformats.org/officeDocument/2006/relationships/hyperlink" Target="https://www.facebook.com/%D0%93%D0%B5%D0%BD%D0%B5%D1%80%D0%B0%D1%86%D1%96%D1%8F-UA-%D0%BA%D0%BB%D1%83%D0%B1-%D0%BF%D1%80%D0%BE%D1%84%D0%B5%D1%81%D1%96%D0%B9-102062968614219/" TargetMode="External"/><Relationship Id="rId231" Type="http://schemas.openxmlformats.org/officeDocument/2006/relationships/hyperlink" Target="https://youthcenters.net.ua/molodigniy-tsentr-prostir-bez-obmegen/" TargetMode="External"/><Relationship Id="rId252" Type="http://schemas.openxmlformats.org/officeDocument/2006/relationships/hyperlink" Target="https://youthcenters.net.ua/molodigniy-hab-maysternya-idey/" TargetMode="External"/><Relationship Id="rId273" Type="http://schemas.openxmlformats.org/officeDocument/2006/relationships/hyperlink" Target="https://youthcenters.net.ua/freedom-hub/" TargetMode="External"/><Relationship Id="rId294" Type="http://schemas.openxmlformats.org/officeDocument/2006/relationships/hyperlink" Target="https://youthcenters.net.ua/gromadskiy-maydanchik-hochubudu/" TargetMode="External"/><Relationship Id="rId308" Type="http://schemas.openxmlformats.org/officeDocument/2006/relationships/hyperlink" Target="https://youthcenters.net.ua/svativskiy-rayonniy-molodigniy-tsentr/" TargetMode="External"/><Relationship Id="rId329" Type="http://schemas.openxmlformats.org/officeDocument/2006/relationships/hyperlink" Target="https://youthcenters.net.ua/molodigniy-prostir-mup/" TargetMode="External"/><Relationship Id="rId47" Type="http://schemas.openxmlformats.org/officeDocument/2006/relationships/hyperlink" Target="https://youthcenters.net.ua/lutskiy-miskiy-molodigniy-tsentr/" TargetMode="External"/><Relationship Id="rId68" Type="http://schemas.openxmlformats.org/officeDocument/2006/relationships/hyperlink" Target="https://youthcenters.net.ua/molodigniy-tsentr-zimnivskoi-otg/" TargetMode="External"/><Relationship Id="rId89" Type="http://schemas.openxmlformats.org/officeDocument/2006/relationships/hyperlink" Target="https://youthcenters.net.ua/prostir-colibry/" TargetMode="External"/><Relationship Id="rId112" Type="http://schemas.openxmlformats.org/officeDocument/2006/relationships/hyperlink" Target="https://youthcenters.net.ua/molodigniy-prostir-pokrovske/" TargetMode="External"/><Relationship Id="rId133" Type="http://schemas.openxmlformats.org/officeDocument/2006/relationships/hyperlink" Target="https://youthcenters.net.ua/vilniy-prostir-vega/" TargetMode="External"/><Relationship Id="rId154" Type="http://schemas.openxmlformats.org/officeDocument/2006/relationships/hyperlink" Target="https://youthcenters.net.ua/molodigna-platforma-vilniy-prostir-d-r-u-z-i/" TargetMode="External"/><Relationship Id="rId175" Type="http://schemas.openxmlformats.org/officeDocument/2006/relationships/hyperlink" Target="https://youthcenters.net.ua/innovatsiyniy-tsentr-rozvitku-dlya-molodi-ta-ditey-oriana/" TargetMode="External"/><Relationship Id="rId340" Type="http://schemas.openxmlformats.org/officeDocument/2006/relationships/hyperlink" Target="https://youthcenters.net.ua/molodigniy-prostir-litniy-teatr/" TargetMode="External"/><Relationship Id="rId361" Type="http://schemas.openxmlformats.org/officeDocument/2006/relationships/hyperlink" Target="https://youthcenters.net.ua/molodigniy-tsentr-privilnenskoi-otg/" TargetMode="External"/><Relationship Id="rId196" Type="http://schemas.openxmlformats.org/officeDocument/2006/relationships/hyperlink" Target="https://youthcenters.net.ua/molodigniy-tsentr-ruh/" TargetMode="External"/><Relationship Id="rId200" Type="http://schemas.openxmlformats.org/officeDocument/2006/relationships/hyperlink" Target="https://youthcenters.net.ua/molodigna-platforma-initsiativ-novoshid/" TargetMode="External"/><Relationship Id="rId382" Type="http://schemas.openxmlformats.org/officeDocument/2006/relationships/hyperlink" Target="https://youthcenters.net.ua/hub_6-9/" TargetMode="External"/><Relationship Id="rId417" Type="http://schemas.openxmlformats.org/officeDocument/2006/relationships/hyperlink" Target="https://youthcenters.net.ua/molodigniy-tsentr-start/" TargetMode="External"/><Relationship Id="rId16" Type="http://schemas.openxmlformats.org/officeDocument/2006/relationships/hyperlink" Target="https://youthcenters.net.ua/fastivskiy-miskiy-molodignyi-tsentr/" TargetMode="External"/><Relationship Id="rId221" Type="http://schemas.openxmlformats.org/officeDocument/2006/relationships/hyperlink" Target="https://youthcenters.net.ua/molodigniy-tsentr-greenwich/" TargetMode="External"/><Relationship Id="rId242" Type="http://schemas.openxmlformats.org/officeDocument/2006/relationships/hyperlink" Target="https://youthcenters.net.ua/380-volt/" TargetMode="External"/><Relationship Id="rId263" Type="http://schemas.openxmlformats.org/officeDocument/2006/relationships/hyperlink" Target="https://youthcenters.net.ua/space/" TargetMode="External"/><Relationship Id="rId284" Type="http://schemas.openxmlformats.org/officeDocument/2006/relationships/hyperlink" Target="https://youthcenters.net.ua/stbogohub/" TargetMode="External"/><Relationship Id="rId319" Type="http://schemas.openxmlformats.org/officeDocument/2006/relationships/hyperlink" Target="https://youthcenters.net.ua/tsentr-ymca-mista-lvova/" TargetMode="External"/><Relationship Id="rId37" Type="http://schemas.openxmlformats.org/officeDocument/2006/relationships/hyperlink" Target="https://www.facebook.com/kvartirahub/?ref=page_internal" TargetMode="External"/><Relationship Id="rId58" Type="http://schemas.openxmlformats.org/officeDocument/2006/relationships/hyperlink" Target="https://www.facebook.com/%D0%93%D0%9E-%D0%A2%D0%B8%D0%B2%D0%B5%D1%80-1658046927642691/" TargetMode="External"/><Relationship Id="rId79" Type="http://schemas.openxmlformats.org/officeDocument/2006/relationships/hyperlink" Target="https://youthcenters.net.ua/molodigniy-mediatsentr-dnipra/" TargetMode="External"/><Relationship Id="rId102" Type="http://schemas.openxmlformats.org/officeDocument/2006/relationships/hyperlink" Target="https://www.facebook.com/groups/pozitivepavlograd" TargetMode="External"/><Relationship Id="rId123" Type="http://schemas.openxmlformats.org/officeDocument/2006/relationships/hyperlink" Target="https://youthcenters.net.ua/focus-hub/" TargetMode="External"/><Relationship Id="rId144" Type="http://schemas.openxmlformats.org/officeDocument/2006/relationships/hyperlink" Target="https://youthcenters.net.ua/molodigniy-plastoviy-tsentr-kramatorsk/" TargetMode="External"/><Relationship Id="rId330" Type="http://schemas.openxmlformats.org/officeDocument/2006/relationships/hyperlink" Target="https://youthcenters.net.ua/molodigniy-tsentr-idea/" TargetMode="External"/><Relationship Id="rId90" Type="http://schemas.openxmlformats.org/officeDocument/2006/relationships/hyperlink" Target="https://youthcenters.net.ua/molodigniy-tsentr-studhub/" TargetMode="External"/><Relationship Id="rId165" Type="http://schemas.openxmlformats.org/officeDocument/2006/relationships/hyperlink" Target="https://youthcenters.net.ua/molodigniy-tsentr-tvorchoi-aktivnosti-artprostir-happy-hub/" TargetMode="External"/><Relationship Id="rId186" Type="http://schemas.openxmlformats.org/officeDocument/2006/relationships/hyperlink" Target="https://youthcenters.net.ua/molodigniy-tsentr-modern-media/" TargetMode="External"/><Relationship Id="rId351" Type="http://schemas.openxmlformats.org/officeDocument/2006/relationships/hyperlink" Target="https://youthcenters.net.ua/oblasniy-molodigniy-tsentr/" TargetMode="External"/><Relationship Id="rId372" Type="http://schemas.openxmlformats.org/officeDocument/2006/relationships/hyperlink" Target="https://youthcenters.net.ua/ternopilskiy-oblasniy-plastoviy-vishkilniy-tsentr/" TargetMode="External"/><Relationship Id="rId393" Type="http://schemas.openxmlformats.org/officeDocument/2006/relationships/hyperlink" Target="https://youthcenters.net.ua/redhub/" TargetMode="External"/><Relationship Id="rId407" Type="http://schemas.openxmlformats.org/officeDocument/2006/relationships/hyperlink" Target="https://youthcenters.net.ua/hab-teritoriya-svobodi/" TargetMode="External"/><Relationship Id="rId428" Type="http://schemas.openxmlformats.org/officeDocument/2006/relationships/hyperlink" Target="https://youthcenters.net.ua/molodigniy-prostir-1/" TargetMode="External"/><Relationship Id="rId211" Type="http://schemas.openxmlformats.org/officeDocument/2006/relationships/hyperlink" Target="https://youthcenters.net.ua/spektr/" TargetMode="External"/><Relationship Id="rId232" Type="http://schemas.openxmlformats.org/officeDocument/2006/relationships/hyperlink" Target="https://youthcenters.net.ua/lider-land/" TargetMode="External"/><Relationship Id="rId253" Type="http://schemas.openxmlformats.org/officeDocument/2006/relationships/hyperlink" Target="https://youthcenters.net.ua/molodigniy-hab-pak-dis/" TargetMode="External"/><Relationship Id="rId274" Type="http://schemas.openxmlformats.org/officeDocument/2006/relationships/hyperlink" Target="https://youthcenters.net.ua/bibliohab-hab-l/" TargetMode="External"/><Relationship Id="rId295" Type="http://schemas.openxmlformats.org/officeDocument/2006/relationships/hyperlink" Target="https://youthcenters.net.ua/luganskiy-oblasniy-molodigniy-tsentr/" TargetMode="External"/><Relationship Id="rId309" Type="http://schemas.openxmlformats.org/officeDocument/2006/relationships/hyperlink" Target="https://youthcenters.net.ua/molodigniy-tsentr-lift/" TargetMode="External"/><Relationship Id="rId27" Type="http://schemas.openxmlformats.org/officeDocument/2006/relationships/hyperlink" Target="https://youthcenters.net.ua/klub-profesiy-generatsiya-ua/" TargetMode="External"/><Relationship Id="rId48" Type="http://schemas.openxmlformats.org/officeDocument/2006/relationships/hyperlink" Target="https://www.facebook.com/groups/226191012439631/about/" TargetMode="External"/><Relationship Id="rId69" Type="http://schemas.openxmlformats.org/officeDocument/2006/relationships/hyperlink" Target="https://www.facebook.com/smidyn.culture/" TargetMode="External"/><Relationship Id="rId113" Type="http://schemas.openxmlformats.org/officeDocument/2006/relationships/hyperlink" Target="https://www.facebook.com/pg/%D0%9C%D0%BE%D0%BB%D0%BE%D0%B4%D1%96%D0%B6%D0%BD%D0%B8%D0%B9-%D1%86%D0%B5%D0%BD%D1%82%D1%80-%D0%90%D0%A2%D0%9E%D0%9C-102225441260104/about/?ref=page_internal" TargetMode="External"/><Relationship Id="rId134" Type="http://schemas.openxmlformats.org/officeDocument/2006/relationships/hyperlink" Target="https://www.facebook.com/halabudavp/" TargetMode="External"/><Relationship Id="rId320" Type="http://schemas.openxmlformats.org/officeDocument/2006/relationships/hyperlink" Target="https://youthcenters.net.ua/lviv-open-lab/" TargetMode="External"/><Relationship Id="rId80" Type="http://schemas.openxmlformats.org/officeDocument/2006/relationships/hyperlink" Target="https://www.facebook.com/ukrintelligentsia/" TargetMode="External"/><Relationship Id="rId155" Type="http://schemas.openxmlformats.org/officeDocument/2006/relationships/hyperlink" Target="https://youcontrol.com.ua/catalog/company_details/41332888/" TargetMode="External"/><Relationship Id="rId176" Type="http://schemas.openxmlformats.org/officeDocument/2006/relationships/hyperlink" Target="https://www.facebook.com/miksvugledar" TargetMode="External"/><Relationship Id="rId197" Type="http://schemas.openxmlformats.org/officeDocument/2006/relationships/hyperlink" Target="https://m.facebook.com/profile.php?id=100038834295258&amp;__tn__=C-R" TargetMode="External"/><Relationship Id="rId341" Type="http://schemas.openxmlformats.org/officeDocument/2006/relationships/hyperlink" Target="https://youthcenters.net.ua/natsionalno-kulturniy-molodigniy-tsentr/" TargetMode="External"/><Relationship Id="rId362" Type="http://schemas.openxmlformats.org/officeDocument/2006/relationships/hyperlink" Target="https://youthcenters.net.ua/molodigniy-tsentr-s-berestya/" TargetMode="External"/><Relationship Id="rId383" Type="http://schemas.openxmlformats.org/officeDocument/2006/relationships/hyperlink" Target="https://youthcenters.net.ua/pidlitkoviy-tsentr-semietagka/" TargetMode="External"/><Relationship Id="rId418" Type="http://schemas.openxmlformats.org/officeDocument/2006/relationships/hyperlink" Target="https://youthcenters.net.ua/vilniy-prostir-hata-hab/" TargetMode="External"/><Relationship Id="rId201" Type="http://schemas.openxmlformats.org/officeDocument/2006/relationships/hyperlink" Target="https://www.facebook.com/move.novogrodivka/" TargetMode="External"/><Relationship Id="rId222" Type="http://schemas.openxmlformats.org/officeDocument/2006/relationships/hyperlink" Target="https://youthcenters.net.ua/innovatsiyniy-tsentr-rozvitku-molodi-impuls/" TargetMode="External"/><Relationship Id="rId243" Type="http://schemas.openxmlformats.org/officeDocument/2006/relationships/hyperlink" Target="https://youthcenters.net.ua/vilni/" TargetMode="External"/><Relationship Id="rId264" Type="http://schemas.openxmlformats.org/officeDocument/2006/relationships/hyperlink" Target="https://www.facebook.com/YCenterPortal/" TargetMode="External"/><Relationship Id="rId285" Type="http://schemas.openxmlformats.org/officeDocument/2006/relationships/hyperlink" Target="https://youthcenters.net.ua/komora/" TargetMode="External"/><Relationship Id="rId17" Type="http://schemas.openxmlformats.org/officeDocument/2006/relationships/hyperlink" Target="https://www.plast.org.ua/vyshkilny-center/" TargetMode="External"/><Relationship Id="rId38" Type="http://schemas.openxmlformats.org/officeDocument/2006/relationships/hyperlink" Target="https://youthcenters.net.ua/uchnivskiy-hab-kvartira/" TargetMode="External"/><Relationship Id="rId59" Type="http://schemas.openxmlformats.org/officeDocument/2006/relationships/hyperlink" Target="https://youthcenters.net.ua/molodigno-ryatuvalniy-tsent-tiver/" TargetMode="External"/><Relationship Id="rId103" Type="http://schemas.openxmlformats.org/officeDocument/2006/relationships/hyperlink" Target="https://youthcenters.net.ua/molodigniy-tsentr-spilkuvannya-pozitivniy-pavlograd/" TargetMode="External"/><Relationship Id="rId124" Type="http://schemas.openxmlformats.org/officeDocument/2006/relationships/hyperlink" Target="https://www.facebook.com/MOLOdbOfficall/" TargetMode="External"/><Relationship Id="rId310" Type="http://schemas.openxmlformats.org/officeDocument/2006/relationships/hyperlink" Target="https://youthcenters.net.ua/gromadskiy-dim/" TargetMode="External"/><Relationship Id="rId70" Type="http://schemas.openxmlformats.org/officeDocument/2006/relationships/hyperlink" Target="https://youthcenters.net.ua/smidyn-hub/" TargetMode="External"/><Relationship Id="rId91" Type="http://schemas.openxmlformats.org/officeDocument/2006/relationships/hyperlink" Target="https://www.facebook.com/shelterplus.ua/" TargetMode="External"/><Relationship Id="rId145" Type="http://schemas.openxmlformats.org/officeDocument/2006/relationships/hyperlink" Target="https://www.facebook.com/oasis.kram/" TargetMode="External"/><Relationship Id="rId166" Type="http://schemas.openxmlformats.org/officeDocument/2006/relationships/hyperlink" Target="https://www.facebook.com/groups/813072235841659/" TargetMode="External"/><Relationship Id="rId187" Type="http://schemas.openxmlformats.org/officeDocument/2006/relationships/hyperlink" Target="https://youthcenters.net.ua/molodigniy-tsentr-lesya-hub/" TargetMode="External"/><Relationship Id="rId331" Type="http://schemas.openxmlformats.org/officeDocument/2006/relationships/hyperlink" Target="https://youthcenters.net.ua/molodigniy-prostir-go-mi-tse-vilshanik/" TargetMode="External"/><Relationship Id="rId352" Type="http://schemas.openxmlformats.org/officeDocument/2006/relationships/hyperlink" Target="https://youthcenters.net.ua/molodigniy-tsentr-lighthouse-blagodiynoi-organizatsii-svitlo-nadii/" TargetMode="External"/><Relationship Id="rId373" Type="http://schemas.openxmlformats.org/officeDocument/2006/relationships/hyperlink" Target="https://youthcenters.net.ua/molodigniy-kovorking-tsentr-ravutyna/" TargetMode="External"/><Relationship Id="rId394" Type="http://schemas.openxmlformats.org/officeDocument/2006/relationships/hyperlink" Target="https://youthcenters.net.ua/kz-krasnogradskiy-molodigniy-tsentr/" TargetMode="External"/><Relationship Id="rId408" Type="http://schemas.openxmlformats.org/officeDocument/2006/relationships/hyperlink" Target="https://youthcenters.net.ua/komunalna-ustanova-molodigniy-tsentr/" TargetMode="External"/><Relationship Id="rId429" Type="http://schemas.openxmlformats.org/officeDocument/2006/relationships/hyperlink" Target="https://youcontrol.com.ua/search/?q=%D0%9B%D1%83%D1%86%D1%8C%D0%BA%D0%B8%D0%B9+%D0%BC%D1%96%D1%81%D1%8C%D0%BA%D0%B8%D0%B9+%D0%BC%D0%BE%D0%BB%D0%BE%D0%B4%D1%96%D0%B6%D0%BD%D0%B8%D0%B9+%D1%86%D0%B5%D0%BD%D1%82%D1%80" TargetMode="External"/><Relationship Id="rId1" Type="http://schemas.openxmlformats.org/officeDocument/2006/relationships/hyperlink" Target="https://www.facebook.com/youthcenter.kyiv/" TargetMode="External"/><Relationship Id="rId212" Type="http://schemas.openxmlformats.org/officeDocument/2006/relationships/hyperlink" Target="https://www.facebook.com/groups/264904790898086" TargetMode="External"/><Relationship Id="rId233" Type="http://schemas.openxmlformats.org/officeDocument/2006/relationships/hyperlink" Target="https://youthcenters.net.ua/molodigniy-tsentr-galaktika/" TargetMode="External"/><Relationship Id="rId254" Type="http://schemas.openxmlformats.org/officeDocument/2006/relationships/hyperlink" Target="https://youthcenters.net.ua/molodigniy-hab-bulb/" TargetMode="External"/><Relationship Id="rId28" Type="http://schemas.openxmlformats.org/officeDocument/2006/relationships/hyperlink" Target="https://www.facebook.com/bo.molodi" TargetMode="External"/><Relationship Id="rId49" Type="http://schemas.openxmlformats.org/officeDocument/2006/relationships/hyperlink" Target="https://youthcenters.net.ua/place-for-teens/" TargetMode="External"/><Relationship Id="rId114" Type="http://schemas.openxmlformats.org/officeDocument/2006/relationships/hyperlink" Target="https://youthcenters.net.ua/molodigniy-tsentr-a-t-o-m/" TargetMode="External"/><Relationship Id="rId275" Type="http://schemas.openxmlformats.org/officeDocument/2006/relationships/hyperlink" Target="https://youthcenters.net.ua/paragraph/" TargetMode="External"/><Relationship Id="rId296" Type="http://schemas.openxmlformats.org/officeDocument/2006/relationships/hyperlink" Target="https://youthcenters.net.ua/inklyuzivniy-molodigniy-hab-severodonetsk-bo-bf-karitas-severodonetsk/" TargetMode="External"/><Relationship Id="rId300" Type="http://schemas.openxmlformats.org/officeDocument/2006/relationships/hyperlink" Target="https://youthcenters.net.ua/foxhab/" TargetMode="External"/><Relationship Id="rId60" Type="http://schemas.openxmlformats.org/officeDocument/2006/relationships/hyperlink" Target="https://www.facebook.com/groups/art.citrus/" TargetMode="External"/><Relationship Id="rId81" Type="http://schemas.openxmlformats.org/officeDocument/2006/relationships/hyperlink" Target="https://youthcenters.net.ua/kuznya-ukrainskoi-inteligentsii/" TargetMode="External"/><Relationship Id="rId135" Type="http://schemas.openxmlformats.org/officeDocument/2006/relationships/hyperlink" Target="https://youthcenters.net.ua/osvitniy-hab-halabuda/" TargetMode="External"/><Relationship Id="rId156" Type="http://schemas.openxmlformats.org/officeDocument/2006/relationships/hyperlink" Target="https://youthcenters.net.ua/tsentr-dlya-molodi-ta-ditey-talantaun/" TargetMode="External"/><Relationship Id="rId177" Type="http://schemas.openxmlformats.org/officeDocument/2006/relationships/hyperlink" Target="https://youthcenters.net.ua/miks/" TargetMode="External"/><Relationship Id="rId198" Type="http://schemas.openxmlformats.org/officeDocument/2006/relationships/hyperlink" Target="https://youthcenters.net.ua/suzir-ya/" TargetMode="External"/><Relationship Id="rId321" Type="http://schemas.openxmlformats.org/officeDocument/2006/relationships/hyperlink" Target="https://youthcenters.net.ua/molodigniy-tsentr-ptah/" TargetMode="External"/><Relationship Id="rId342" Type="http://schemas.openxmlformats.org/officeDocument/2006/relationships/hyperlink" Target="https://youthcenters.net.ua/striyskiy-molodigniy-tsentr/" TargetMode="External"/><Relationship Id="rId363" Type="http://schemas.openxmlformats.org/officeDocument/2006/relationships/hyperlink" Target="https://youthcenters.net.ua/klub-yunatstva/" TargetMode="External"/><Relationship Id="rId384" Type="http://schemas.openxmlformats.org/officeDocument/2006/relationships/hyperlink" Target="https://youthcenters.net.ua/hub_komora/" TargetMode="External"/><Relationship Id="rId419" Type="http://schemas.openxmlformats.org/officeDocument/2006/relationships/hyperlink" Target="https://youthcenters.net.ua/molodigniy-prostir-same-chas/" TargetMode="External"/><Relationship Id="rId202" Type="http://schemas.openxmlformats.org/officeDocument/2006/relationships/hyperlink" Target="https://youthcenters.net.ua/platforma-initsiativ-move/" TargetMode="External"/><Relationship Id="rId223" Type="http://schemas.openxmlformats.org/officeDocument/2006/relationships/hyperlink" Target="https://www.facebook.com/groups/377856432992403" TargetMode="External"/><Relationship Id="rId244" Type="http://schemas.openxmlformats.org/officeDocument/2006/relationships/hyperlink" Target="https://youthcenters.net.ua/molodigniy-tsentr-fox/" TargetMode="External"/><Relationship Id="rId430" Type="http://schemas.openxmlformats.org/officeDocument/2006/relationships/printerSettings" Target="../printerSettings/printerSettings1.bin"/><Relationship Id="rId18" Type="http://schemas.openxmlformats.org/officeDocument/2006/relationships/hyperlink" Target="https://youthcenters.net.ua/natsionalniy-plastoviy-vishkilniy-tsentr/" TargetMode="External"/><Relationship Id="rId39" Type="http://schemas.openxmlformats.org/officeDocument/2006/relationships/hyperlink" Target="https://www.facebook.com/ZhdanspaceProject/" TargetMode="External"/><Relationship Id="rId265" Type="http://schemas.openxmlformats.org/officeDocument/2006/relationships/hyperlink" Target="https://youthcenters.net.ua/molodigniy-tsentr-portal/" TargetMode="External"/><Relationship Id="rId286" Type="http://schemas.openxmlformats.org/officeDocument/2006/relationships/hyperlink" Target="https://youthcenters.net.ua/gromadskiy-prostir-liberty-space/" TargetMode="External"/><Relationship Id="rId50" Type="http://schemas.openxmlformats.org/officeDocument/2006/relationships/hyperlink" Target="https://www.facebook.com/ideascitykovel/" TargetMode="External"/><Relationship Id="rId104" Type="http://schemas.openxmlformats.org/officeDocument/2006/relationships/hyperlink" Target="https://www.facebook.com/novomoskovskmolodcenter/" TargetMode="External"/><Relationship Id="rId125" Type="http://schemas.openxmlformats.org/officeDocument/2006/relationships/hyperlink" Target="https://youthcenters.net.ua/molodigniy-tsentr-chil-ut-place/" TargetMode="External"/><Relationship Id="rId146" Type="http://schemas.openxmlformats.org/officeDocument/2006/relationships/hyperlink" Target="https://youthcenters.net.ua/oasis-molodigno-simeyniy-tsentr/" TargetMode="External"/><Relationship Id="rId167" Type="http://schemas.openxmlformats.org/officeDocument/2006/relationships/hyperlink" Target="https://youthcenters.net.ua/tsentr-innovatsiynogo-rozvitku-ditey-ta-molodi-vulik/" TargetMode="External"/><Relationship Id="rId188" Type="http://schemas.openxmlformats.org/officeDocument/2006/relationships/hyperlink" Target="https://www.facebook.com/groups/245143416195564/" TargetMode="External"/><Relationship Id="rId311" Type="http://schemas.openxmlformats.org/officeDocument/2006/relationships/hyperlink" Target="https://youthcenters.net.ua/molodigniy-hab-inventors/" TargetMode="External"/><Relationship Id="rId332" Type="http://schemas.openxmlformats.org/officeDocument/2006/relationships/hyperlink" Target="https://youthcenters.net.ua/molodigniy-prostir-go-i-am/" TargetMode="External"/><Relationship Id="rId353" Type="http://schemas.openxmlformats.org/officeDocument/2006/relationships/hyperlink" Target="https://youthcenters.net.ua/molodigniy-komunikatsiyniy-prostir-speak-do/" TargetMode="External"/><Relationship Id="rId374" Type="http://schemas.openxmlformats.org/officeDocument/2006/relationships/hyperlink" Target="https://youthcenters.net.ua/ridne-misto/" TargetMode="External"/><Relationship Id="rId395" Type="http://schemas.openxmlformats.org/officeDocument/2006/relationships/hyperlink" Target="https://youthcenters.net.ua/hub_idey/" TargetMode="External"/><Relationship Id="rId409" Type="http://schemas.openxmlformats.org/officeDocument/2006/relationships/hyperlink" Target="https://youthcenters.net.ua/loveka/" TargetMode="External"/><Relationship Id="rId71" Type="http://schemas.openxmlformats.org/officeDocument/2006/relationships/hyperlink" Target="https://www.facebook.com/osvitorium/" TargetMode="External"/><Relationship Id="rId92" Type="http://schemas.openxmlformats.org/officeDocument/2006/relationships/hyperlink" Target="https://youthcenters.net.ua/kulturno-gromadskiy-tsentr-shelter/" TargetMode="External"/><Relationship Id="rId213" Type="http://schemas.openxmlformats.org/officeDocument/2006/relationships/hyperlink" Target="https://youthcenters.net.ua/intriga/" TargetMode="External"/><Relationship Id="rId234" Type="http://schemas.openxmlformats.org/officeDocument/2006/relationships/hyperlink" Target="https://youthcenters.net.ua/molodigniy-tsentr-nadiya/" TargetMode="External"/><Relationship Id="rId420" Type="http://schemas.openxmlformats.org/officeDocument/2006/relationships/hyperlink" Target="https://youthcenters.net.ua/ku-molodigniy-tsentr-chernivtsiv-rezidentsiya-molodi/" TargetMode="External"/><Relationship Id="rId2" Type="http://schemas.openxmlformats.org/officeDocument/2006/relationships/hyperlink" Target="https://youthcenters.net.ua/mtsgo-molodigniy-tsentr-gromadyanskoi-osviti/" TargetMode="External"/><Relationship Id="rId29" Type="http://schemas.openxmlformats.org/officeDocument/2006/relationships/hyperlink" Target="https://youthcenters.net.ua/molodigniy-tsentr-mista-boyarka/" TargetMode="External"/><Relationship Id="rId255" Type="http://schemas.openxmlformats.org/officeDocument/2006/relationships/hyperlink" Target="https://youthcenters.net.ua/kredents/" TargetMode="External"/><Relationship Id="rId276" Type="http://schemas.openxmlformats.org/officeDocument/2006/relationships/hyperlink" Target="https://youthcenters.net.ua/ivano-frankivskiy-oblasniy-plastoviy-tsentr/" TargetMode="External"/><Relationship Id="rId297" Type="http://schemas.openxmlformats.org/officeDocument/2006/relationships/hyperlink" Target="https://youthcenters.net.ua/dityachiy-tsentr-sotsialno-psihologichnoi-pidtrimki-generatsiya-ua/" TargetMode="External"/><Relationship Id="rId40" Type="http://schemas.openxmlformats.org/officeDocument/2006/relationships/hyperlink" Target="https://youthcenters.net.ua/zhdanspace/" TargetMode="External"/><Relationship Id="rId115" Type="http://schemas.openxmlformats.org/officeDocument/2006/relationships/hyperlink" Target="https://www.facebook.com/photo/?fbid=497847701064052&amp;set=a.119706625544830&amp;__tn__=%2CO*F" TargetMode="External"/><Relationship Id="rId136" Type="http://schemas.openxmlformats.org/officeDocument/2006/relationships/hyperlink" Target="https://www.facebook.com/vilha.ua/" TargetMode="External"/><Relationship Id="rId157" Type="http://schemas.openxmlformats.org/officeDocument/2006/relationships/hyperlink" Target="https://www.facebook.com/HviliaMC/" TargetMode="External"/><Relationship Id="rId178" Type="http://schemas.openxmlformats.org/officeDocument/2006/relationships/hyperlink" Target="https://youthcenters.net.ua/teritoriya-dozvillya/" TargetMode="External"/><Relationship Id="rId301" Type="http://schemas.openxmlformats.org/officeDocument/2006/relationships/hyperlink" Target="https://youthcenters.net.ua/biblio-hub/" TargetMode="External"/><Relationship Id="rId322" Type="http://schemas.openxmlformats.org/officeDocument/2006/relationships/hyperlink" Target="https://youthcenters.net.ua/molodigniy-prostir-bilka/" TargetMode="External"/><Relationship Id="rId343" Type="http://schemas.openxmlformats.org/officeDocument/2006/relationships/hyperlink" Target="https://youthcenters.net.ua/molodigniy-tsentr-inspire/" TargetMode="External"/><Relationship Id="rId364" Type="http://schemas.openxmlformats.org/officeDocument/2006/relationships/hyperlink" Target="https://youthcenters.net.ua/gurkit-varaskiy-molodigniy-tsentr/" TargetMode="External"/><Relationship Id="rId61" Type="http://schemas.openxmlformats.org/officeDocument/2006/relationships/hyperlink" Target="https://youthcenters.net.ua/vidkritiy-prostir-dlya-molodi-tsitrus/" TargetMode="External"/><Relationship Id="rId82" Type="http://schemas.openxmlformats.org/officeDocument/2006/relationships/hyperlink" Target="https://www.facebook.com/strum.centre/" TargetMode="External"/><Relationship Id="rId199" Type="http://schemas.openxmlformats.org/officeDocument/2006/relationships/hyperlink" Target="https://vk.com/novocxid" TargetMode="External"/><Relationship Id="rId203" Type="http://schemas.openxmlformats.org/officeDocument/2006/relationships/hyperlink" Target="https://www.facebook.com/start.up.52643" TargetMode="External"/><Relationship Id="rId385" Type="http://schemas.openxmlformats.org/officeDocument/2006/relationships/hyperlink" Target="https://youthcenters.net.ua/hub_pixel/" TargetMode="External"/><Relationship Id="rId19" Type="http://schemas.openxmlformats.org/officeDocument/2006/relationships/hyperlink" Target="https://www.facebook.com/dzhemtoloka/posts/3529115937315712" TargetMode="External"/><Relationship Id="rId224" Type="http://schemas.openxmlformats.org/officeDocument/2006/relationships/hyperlink" Target="https://youthcenters.net.ua/molodigniy-tsentr-viter-zmin/" TargetMode="External"/><Relationship Id="rId245" Type="http://schemas.openxmlformats.org/officeDocument/2006/relationships/hyperlink" Target="https://youthcenters.net.ua/miskiy-kulturno-sportivniy-tsentr-21-klub/" TargetMode="External"/><Relationship Id="rId266" Type="http://schemas.openxmlformats.org/officeDocument/2006/relationships/hyperlink" Target="https://youthcenters.net.ua/hab-mayak/" TargetMode="External"/><Relationship Id="rId287" Type="http://schemas.openxmlformats.org/officeDocument/2006/relationships/hyperlink" Target="https://youthcenters.net.ua/molodigniy-prostir-u-yunatskiy-bibliotetsi/" TargetMode="External"/><Relationship Id="rId410" Type="http://schemas.openxmlformats.org/officeDocument/2006/relationships/hyperlink" Target="https://youthcenters.net.ua/cherkaskiy-oblasniy-molodigniy-resursniy-tsentr/" TargetMode="External"/><Relationship Id="rId30" Type="http://schemas.openxmlformats.org/officeDocument/2006/relationships/hyperlink" Target="https://www.facebook.com/kvadrat.vn.ua/" TargetMode="External"/><Relationship Id="rId105" Type="http://schemas.openxmlformats.org/officeDocument/2006/relationships/hyperlink" Target="https://youthcenters.net.ua/novomoskovskiy-molodigniy-tsentr/" TargetMode="External"/><Relationship Id="rId126" Type="http://schemas.openxmlformats.org/officeDocument/2006/relationships/hyperlink" Target="https://www.facebook.com/groups/354329238627845" TargetMode="External"/><Relationship Id="rId147" Type="http://schemas.openxmlformats.org/officeDocument/2006/relationships/hyperlink" Target="https://www.facebook.com/groups/Bahmutperspektiva/" TargetMode="External"/><Relationship Id="rId168" Type="http://schemas.openxmlformats.org/officeDocument/2006/relationships/hyperlink" Target="https://www.facebook.com/groups/344877336036908/" TargetMode="External"/><Relationship Id="rId312" Type="http://schemas.openxmlformats.org/officeDocument/2006/relationships/hyperlink" Target="https://youthcenters.net.ua/molodigna-platforma-vilniy-prostir/" TargetMode="External"/><Relationship Id="rId333" Type="http://schemas.openxmlformats.org/officeDocument/2006/relationships/hyperlink" Target="https://youthcenters.net.ua/molodigniy-prostir-hata-chitalnya/" TargetMode="External"/><Relationship Id="rId354" Type="http://schemas.openxmlformats.org/officeDocument/2006/relationships/hyperlink" Target="https://youthcenters.net.ua/adapter/" TargetMode="External"/><Relationship Id="rId51" Type="http://schemas.openxmlformats.org/officeDocument/2006/relationships/hyperlink" Target="https://youthcenters.net.ua/kovelskiy-molodigniy-tsentr-misto-idey/" TargetMode="External"/><Relationship Id="rId72" Type="http://schemas.openxmlformats.org/officeDocument/2006/relationships/hyperlink" Target="https://youthcenters.net.ua/osvitorium/" TargetMode="External"/><Relationship Id="rId93" Type="http://schemas.openxmlformats.org/officeDocument/2006/relationships/hyperlink" Target="https://www.facebook.com/vatra.prostir/" TargetMode="External"/><Relationship Id="rId189" Type="http://schemas.openxmlformats.org/officeDocument/2006/relationships/hyperlink" Target="https://youthcenters.net.ua/molodigniy-tsentr-viktoriya/" TargetMode="External"/><Relationship Id="rId375" Type="http://schemas.openxmlformats.org/officeDocument/2006/relationships/hyperlink" Target="https://youthcenters.net.ua/kulturniy-tsentr-elovitskih/" TargetMode="External"/><Relationship Id="rId396" Type="http://schemas.openxmlformats.org/officeDocument/2006/relationships/hyperlink" Target="https://youthcenters.net.ua/hub_smart/" TargetMode="External"/><Relationship Id="rId3" Type="http://schemas.openxmlformats.org/officeDocument/2006/relationships/hyperlink" Target="https://kyc.org.ua/" TargetMode="External"/><Relationship Id="rId214" Type="http://schemas.openxmlformats.org/officeDocument/2006/relationships/hyperlink" Target="https://youthcenters.net.ua/shche-ne-vidkritiy/" TargetMode="External"/><Relationship Id="rId235" Type="http://schemas.openxmlformats.org/officeDocument/2006/relationships/hyperlink" Target="https://youthcenters.net.ua/molodigniy-tsentr-krok-do-mrii/" TargetMode="External"/><Relationship Id="rId256" Type="http://schemas.openxmlformats.org/officeDocument/2006/relationships/hyperlink" Target="https://youthcenters.net.ua/molodigniy-hab-higa/" TargetMode="External"/><Relationship Id="rId277" Type="http://schemas.openxmlformats.org/officeDocument/2006/relationships/hyperlink" Target="https://youthcenters.net.ua/rogatinskiy-molodigniy-plastoviy-tsentr/" TargetMode="External"/><Relationship Id="rId298" Type="http://schemas.openxmlformats.org/officeDocument/2006/relationships/hyperlink" Target="https://youthcenters.net.ua/studentskiy-prostir-yo-gurt/" TargetMode="External"/><Relationship Id="rId400" Type="http://schemas.openxmlformats.org/officeDocument/2006/relationships/hyperlink" Target="https://youthcenters.net.ua/hub_sels_club/" TargetMode="External"/><Relationship Id="rId421" Type="http://schemas.openxmlformats.org/officeDocument/2006/relationships/hyperlink" Target="https://youthcenters.net.ua/chernigivskiy-oblasniy-molodigniy-tsentr/" TargetMode="External"/><Relationship Id="rId116" Type="http://schemas.openxmlformats.org/officeDocument/2006/relationships/hyperlink" Target="https://www.facebook.com/profile.php?id=100025164801150&amp;sk=about" TargetMode="External"/><Relationship Id="rId137" Type="http://schemas.openxmlformats.org/officeDocument/2006/relationships/hyperlink" Target="https://youthcenters.net.ua/molodigna-platforma-vilna-hata/" TargetMode="External"/><Relationship Id="rId158" Type="http://schemas.openxmlformats.org/officeDocument/2006/relationships/hyperlink" Target="https://youthcenters.net.ua/hvilya-innovatsiyniy-tsentr-rozvitku-dlya-molodi-ta-ditey/" TargetMode="External"/><Relationship Id="rId302" Type="http://schemas.openxmlformats.org/officeDocument/2006/relationships/hyperlink" Target="https://youthcenters.net.ua/freedom-hub-1/" TargetMode="External"/><Relationship Id="rId323" Type="http://schemas.openxmlformats.org/officeDocument/2006/relationships/hyperlink" Target="https://youthcenters.net.ua/molodigniy-hab-kosmodrom/" TargetMode="External"/><Relationship Id="rId344" Type="http://schemas.openxmlformats.org/officeDocument/2006/relationships/hyperlink" Target="https://youthcenters.net.ua/tvorchiy-prostir-domanivki-poradiy/" TargetMode="External"/><Relationship Id="rId20" Type="http://schemas.openxmlformats.org/officeDocument/2006/relationships/hyperlink" Target="https://youthcenters.net.ua/toloka-hab/" TargetMode="External"/><Relationship Id="rId41" Type="http://schemas.openxmlformats.org/officeDocument/2006/relationships/hyperlink" Target="https://www.facebook.com/youthsfera/" TargetMode="External"/><Relationship Id="rId62" Type="http://schemas.openxmlformats.org/officeDocument/2006/relationships/hyperlink" Target="https://www.facebook.com/groups/1188096574692150" TargetMode="External"/><Relationship Id="rId83" Type="http://schemas.openxmlformats.org/officeDocument/2006/relationships/hyperlink" Target="https://youthcenters.net.ua/molodigniy-tsentr-strum/" TargetMode="External"/><Relationship Id="rId179" Type="http://schemas.openxmlformats.org/officeDocument/2006/relationships/hyperlink" Target="https://dobropol-rayon-rada.blogspot.com/2018/09/blog-post_563.html" TargetMode="External"/><Relationship Id="rId365" Type="http://schemas.openxmlformats.org/officeDocument/2006/relationships/hyperlink" Target="https://youthcenters.net.ua/molodigniy-prostir-home-yak/" TargetMode="External"/><Relationship Id="rId386" Type="http://schemas.openxmlformats.org/officeDocument/2006/relationships/hyperlink" Target="https://youthcenters.net.ua/hub_izyum/" TargetMode="External"/><Relationship Id="rId190" Type="http://schemas.openxmlformats.org/officeDocument/2006/relationships/hyperlink" Target="https://www.facebook.com/groups/goaltanka/" TargetMode="External"/><Relationship Id="rId204" Type="http://schemas.openxmlformats.org/officeDocument/2006/relationships/hyperlink" Target="https://youthcenters.net.ua/platforma-molodignih-ta-dityachih-initsiativ-start-up/" TargetMode="External"/><Relationship Id="rId225" Type="http://schemas.openxmlformats.org/officeDocument/2006/relationships/hyperlink" Target="https://youthcenters.net.ua/molodigniy-tsentr-orion/" TargetMode="External"/><Relationship Id="rId246" Type="http://schemas.openxmlformats.org/officeDocument/2006/relationships/hyperlink" Target="https://youthcenters.net.ua/m-formatsiya/" TargetMode="External"/><Relationship Id="rId267" Type="http://schemas.openxmlformats.org/officeDocument/2006/relationships/hyperlink" Target="https://www.facebook.com/talkhubkz/" TargetMode="External"/><Relationship Id="rId288" Type="http://schemas.openxmlformats.org/officeDocument/2006/relationships/hyperlink" Target="https://youthcenters.net.ua/kreativniy-prostir-kowo/" TargetMode="External"/><Relationship Id="rId411" Type="http://schemas.openxmlformats.org/officeDocument/2006/relationships/hyperlink" Target="https://youthcenters.net.ua/artprostir/" TargetMode="External"/><Relationship Id="rId106" Type="http://schemas.openxmlformats.org/officeDocument/2006/relationships/hyperlink" Target="https://www.facebook.com/YCinTern/" TargetMode="External"/><Relationship Id="rId127" Type="http://schemas.openxmlformats.org/officeDocument/2006/relationships/hyperlink" Target="https://youthcenters.net.ua/vilniy-prostir-flashbez-meg/" TargetMode="External"/><Relationship Id="rId313" Type="http://schemas.openxmlformats.org/officeDocument/2006/relationships/hyperlink" Target="https://youthcenters.net.ua/molodigniy-tsentr-tviy-vibir/" TargetMode="External"/><Relationship Id="rId10" Type="http://schemas.openxmlformats.org/officeDocument/2006/relationships/hyperlink" Target="https://youthcenters.net.ua/kiivskiy-oblasniy-molodigniy-tsentr/" TargetMode="External"/><Relationship Id="rId31" Type="http://schemas.openxmlformats.org/officeDocument/2006/relationships/hyperlink" Target="https://youthcenters.net.ua/kvadrat/" TargetMode="External"/><Relationship Id="rId52" Type="http://schemas.openxmlformats.org/officeDocument/2006/relationships/hyperlink" Target="https://www.facebook.com/vatra.rightspace/" TargetMode="External"/><Relationship Id="rId73" Type="http://schemas.openxmlformats.org/officeDocument/2006/relationships/hyperlink" Target="https://youthcenters.net.ua/kp-molodigniy-tsentr-dnipropetrovshchini-dnipropetrovskoi-oblradi/" TargetMode="External"/><Relationship Id="rId94" Type="http://schemas.openxmlformats.org/officeDocument/2006/relationships/hyperlink" Target="https://youthcenters.net.ua/vatra-prostir-shchirogo-spilkuvannya/" TargetMode="External"/><Relationship Id="rId148" Type="http://schemas.openxmlformats.org/officeDocument/2006/relationships/hyperlink" Target="https://youthcenters.net.ua/perspektiva/" TargetMode="External"/><Relationship Id="rId169" Type="http://schemas.openxmlformats.org/officeDocument/2006/relationships/hyperlink" Target="https://youthcenters.net.ua/m-ak/" TargetMode="External"/><Relationship Id="rId334" Type="http://schemas.openxmlformats.org/officeDocument/2006/relationships/hyperlink" Target="https://youthcenters.net.ua/molodigniy-prostir-za-gornyatkom/" TargetMode="External"/><Relationship Id="rId355" Type="http://schemas.openxmlformats.org/officeDocument/2006/relationships/hyperlink" Target="https://youthcenters.net.ua/prostir-idey/" TargetMode="External"/><Relationship Id="rId376" Type="http://schemas.openxmlformats.org/officeDocument/2006/relationships/hyperlink" Target="https://youthcenters.net.ua/alati-a-prostir-dlya-alternativnoi-osviti-ta-rozvitku-gromadi/" TargetMode="External"/><Relationship Id="rId397" Type="http://schemas.openxmlformats.org/officeDocument/2006/relationships/hyperlink" Target="https://youthcenters.net.ua/nebo/" TargetMode="External"/><Relationship Id="rId4" Type="http://schemas.openxmlformats.org/officeDocument/2006/relationships/hyperlink" Target="https://youthcenters.net.ua/kiivskiy-molodigniy-tsentr/" TargetMode="External"/><Relationship Id="rId180" Type="http://schemas.openxmlformats.org/officeDocument/2006/relationships/hyperlink" Target="https://youthcenters.net.ua/svyatogorivka-art/" TargetMode="External"/><Relationship Id="rId215" Type="http://schemas.openxmlformats.org/officeDocument/2006/relationships/hyperlink" Target="https://www.facebook.com/pages/category/Youth-Organization/%D0%93%D1%80%D0%BE%D0%B4%D1%96%D0%B2%D1%81%D1%8C%D0%BA%D0%B8%D0%B9-%D0%93%D1%83%D1%80%D1%82-135951987262875/" TargetMode="External"/><Relationship Id="rId236" Type="http://schemas.openxmlformats.org/officeDocument/2006/relationships/hyperlink" Target="https://youthcenters.net.ua/molodigniy-tsentr-meksika/" TargetMode="External"/><Relationship Id="rId257" Type="http://schemas.openxmlformats.org/officeDocument/2006/relationships/hyperlink" Target="https://youthcenters.net.ua/dovge-hab/" TargetMode="External"/><Relationship Id="rId278" Type="http://schemas.openxmlformats.org/officeDocument/2006/relationships/hyperlink" Target="https://youthcenters.net.ua/molodigniy-tsentr-gorodenkivshchini/" TargetMode="External"/><Relationship Id="rId401" Type="http://schemas.openxmlformats.org/officeDocument/2006/relationships/hyperlink" Target="https://youthcenters.net.ua/hub_malina/" TargetMode="External"/><Relationship Id="rId422" Type="http://schemas.openxmlformats.org/officeDocument/2006/relationships/hyperlink" Target="https://youthcenters.net.ua/tsentr-roboti-z-ditmi-ta-moloddyu-za-mistsem-progivannya-21-klub/" TargetMode="External"/><Relationship Id="rId303" Type="http://schemas.openxmlformats.org/officeDocument/2006/relationships/hyperlink" Target="https://youthcenters.net.ua/generation-center-hub/" TargetMode="External"/><Relationship Id="rId42" Type="http://schemas.openxmlformats.org/officeDocument/2006/relationships/hyperlink" Target="https://youthcenters.net.ua/youthsfera/" TargetMode="External"/><Relationship Id="rId84" Type="http://schemas.openxmlformats.org/officeDocument/2006/relationships/hyperlink" Target="https://uk-ua.facebook.com/groups/MCDarimRadost/" TargetMode="External"/><Relationship Id="rId138" Type="http://schemas.openxmlformats.org/officeDocument/2006/relationships/hyperlink" Target="https://www.facebook.com/KramatorskDODMC/" TargetMode="External"/><Relationship Id="rId345" Type="http://schemas.openxmlformats.org/officeDocument/2006/relationships/hyperlink" Target="https://youthcenters.net.ua/molodigniy-hub/" TargetMode="External"/><Relationship Id="rId387" Type="http://schemas.openxmlformats.org/officeDocument/2006/relationships/hyperlink" Target="https://youthcenters.net.ua/plastoviy-molodigniy-tsentr-izyumskoi-otg/" TargetMode="External"/><Relationship Id="rId191" Type="http://schemas.openxmlformats.org/officeDocument/2006/relationships/hyperlink" Target="https://youthcenters.net.ua/altanka/" TargetMode="External"/><Relationship Id="rId205" Type="http://schemas.openxmlformats.org/officeDocument/2006/relationships/hyperlink" Target="https://youthcenters.net.ua/molodigniy-tsentr-z-robochoyu-nazvoyu-suchasnik/" TargetMode="External"/><Relationship Id="rId247" Type="http://schemas.openxmlformats.org/officeDocument/2006/relationships/hyperlink" Target="https://youthcenters.net.ua/kora-hab/" TargetMode="External"/><Relationship Id="rId412" Type="http://schemas.openxmlformats.org/officeDocument/2006/relationships/hyperlink" Target="https://youthcenters.net.ua/molodigniy-prostir-chill-out-zolo/" TargetMode="External"/><Relationship Id="rId107" Type="http://schemas.openxmlformats.org/officeDocument/2006/relationships/hyperlink" Target="https://youthcenters.net.ua/komunalniy-zaklad-ternivskiy-miskiy-molodigniy-tsentr/" TargetMode="External"/><Relationship Id="rId289" Type="http://schemas.openxmlformats.org/officeDocument/2006/relationships/hyperlink" Target="https://youthcenters.net.ua/molodigniy-tsentr-kirovogradskoi-oblasti/" TargetMode="External"/><Relationship Id="rId11" Type="http://schemas.openxmlformats.org/officeDocument/2006/relationships/hyperlink" Target="https://l.facebook.com/l.php?u=https%3A%2F%2Flinktr.ee%2Fprostirkryla%3Ffbclid%3DIwAR21aOGefStSOLf7uIAdDI_uScxp87S_b_y1ZB7CJI6VMx5L0QxlZMbYjYA&amp;h=AT2MUU72T9FecJ2IE09p0a6B7NECqrURAEmByi197nNdfeYpIIkhDs3CO0GwfqVtBPCzTYStEWxes7XEFd_42fNVOXpb6GzYzTCWIj654AkO8XHGbEPqMGxJqFGMFbCWg0jTzPnmI3J3u-A1GRSG" TargetMode="External"/><Relationship Id="rId53" Type="http://schemas.openxmlformats.org/officeDocument/2006/relationships/hyperlink" Target="https://youthcenters.net.ua/vatra-pravilniy-prostir/" TargetMode="External"/><Relationship Id="rId149" Type="http://schemas.openxmlformats.org/officeDocument/2006/relationships/hyperlink" Target="https://www.facebook.com/DCMDobro/?%20fref=mentions&amp;pnref=story" TargetMode="External"/><Relationship Id="rId314" Type="http://schemas.openxmlformats.org/officeDocument/2006/relationships/hyperlink" Target="https://youthcenters.net.ua/new-generation/" TargetMode="External"/><Relationship Id="rId356" Type="http://schemas.openxmlformats.org/officeDocument/2006/relationships/hyperlink" Target="https://youthcenters.net.ua/molodigniy-hab/" TargetMode="External"/><Relationship Id="rId398" Type="http://schemas.openxmlformats.org/officeDocument/2006/relationships/hyperlink" Target="https://youthcenters.net.ua/hub_rozvitok/" TargetMode="External"/><Relationship Id="rId95" Type="http://schemas.openxmlformats.org/officeDocument/2006/relationships/hyperlink" Target="https://www.facebook.com/bibliohub.eu/" TargetMode="External"/><Relationship Id="rId160" Type="http://schemas.openxmlformats.org/officeDocument/2006/relationships/hyperlink" Target="https://www.facebook.com/pokrovsk.youth.hub/" TargetMode="External"/><Relationship Id="rId216" Type="http://schemas.openxmlformats.org/officeDocument/2006/relationships/hyperlink" Target="https://youthcenters.net.ua/innovatsiyniy-tsentr-rozvitku-molodi-ta-ditey-grodivskiy-gurt/" TargetMode="External"/><Relationship Id="rId423" Type="http://schemas.openxmlformats.org/officeDocument/2006/relationships/hyperlink" Target="https://youthcenters.net.ua/molodigniy-tsentr-u-m-priluki/" TargetMode="External"/><Relationship Id="rId258" Type="http://schemas.openxmlformats.org/officeDocument/2006/relationships/hyperlink" Target="https://youthcenters.net.ua/zaporizkiy-oblasniy-tsentr-molodi/" TargetMode="External"/><Relationship Id="rId22" Type="http://schemas.openxmlformats.org/officeDocument/2006/relationships/hyperlink" Target="https://youthcenters.net.ua/molodigniy-prostir-zustrich/" TargetMode="External"/><Relationship Id="rId64" Type="http://schemas.openxmlformats.org/officeDocument/2006/relationships/hyperlink" Target="https://www.facebook.com/MCdidUhim/" TargetMode="External"/><Relationship Id="rId118" Type="http://schemas.openxmlformats.org/officeDocument/2006/relationships/hyperlink" Target="https://youthcenters.net.ua/tsentr-rozvitku-gromadi-na-bazi-budinku-kulturi/" TargetMode="External"/><Relationship Id="rId325" Type="http://schemas.openxmlformats.org/officeDocument/2006/relationships/hyperlink" Target="https://youthcenters.net.ua/go-molodigniy-prostir-drogobicha/" TargetMode="External"/><Relationship Id="rId367" Type="http://schemas.openxmlformats.org/officeDocument/2006/relationships/hyperlink" Target="https://youthcenters.net.ua/sumskiy-oblasniy-tsentr-vidpochinku-ozdorovlennya-turizmu-ta-viyskovo-patriotichnogo-vihovannya/"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t.me/mykolaivskaODA" TargetMode="External"/><Relationship Id="rId21" Type="http://schemas.openxmlformats.org/officeDocument/2006/relationships/hyperlink" Target="https://t.me/volynskaODA/https:/t.me/koordynacijnyj_centr_Volyni" TargetMode="External"/><Relationship Id="rId42" Type="http://schemas.openxmlformats.org/officeDocument/2006/relationships/hyperlink" Target="https://t.me/pavlokyrylenko_donoda" TargetMode="External"/><Relationship Id="rId63" Type="http://schemas.openxmlformats.org/officeDocument/2006/relationships/hyperlink" Target="https://t.me/starukhofficial" TargetMode="External"/><Relationship Id="rId84" Type="http://schemas.openxmlformats.org/officeDocument/2006/relationships/hyperlink" Target="https://t.me/kyivoda" TargetMode="External"/><Relationship Id="rId138" Type="http://schemas.openxmlformats.org/officeDocument/2006/relationships/hyperlink" Target="https://t.me/gromada_best" TargetMode="External"/><Relationship Id="rId159" Type="http://schemas.openxmlformats.org/officeDocument/2006/relationships/hyperlink" Target="https://t.me/ternopilskaODA" TargetMode="External"/><Relationship Id="rId170" Type="http://schemas.openxmlformats.org/officeDocument/2006/relationships/hyperlink" Target="https://t.me/kharkivoda" TargetMode="External"/><Relationship Id="rId191" Type="http://schemas.openxmlformats.org/officeDocument/2006/relationships/hyperlink" Target="https://t.me/ternova_i" TargetMode="External"/><Relationship Id="rId196" Type="http://schemas.openxmlformats.org/officeDocument/2006/relationships/hyperlink" Target="https://t.me/chernivetskaODA" TargetMode="External"/><Relationship Id="rId200" Type="http://schemas.openxmlformats.org/officeDocument/2006/relationships/hyperlink" Target="https://t.me/chernigivskaODA" TargetMode="External"/><Relationship Id="rId16" Type="http://schemas.openxmlformats.org/officeDocument/2006/relationships/hyperlink" Target="https://t.me/berdrda" TargetMode="External"/><Relationship Id="rId107" Type="http://schemas.openxmlformats.org/officeDocument/2006/relationships/hyperlink" Target="https://t.me/kozytskyy_maksym_official" TargetMode="External"/><Relationship Id="rId11" Type="http://schemas.openxmlformats.org/officeDocument/2006/relationships/hyperlink" Target="https://t.me/zhytomyrskaoborona" TargetMode="External"/><Relationship Id="rId32" Type="http://schemas.openxmlformats.org/officeDocument/2006/relationships/hyperlink" Target="https://t.me/dnipropetrovskaODA" TargetMode="External"/><Relationship Id="rId37" Type="http://schemas.openxmlformats.org/officeDocument/2006/relationships/hyperlink" Target="https://t.me/pvl_oborona" TargetMode="External"/><Relationship Id="rId53" Type="http://schemas.openxmlformats.org/officeDocument/2006/relationships/hyperlink" Target="https://t.me/RakhivRWA" TargetMode="External"/><Relationship Id="rId58" Type="http://schemas.openxmlformats.org/officeDocument/2006/relationships/hyperlink" Target="https://t.me/zoda_inform" TargetMode="External"/><Relationship Id="rId74" Type="http://schemas.openxmlformats.org/officeDocument/2006/relationships/hyperlink" Target="https://t.me/onyshchuksvitlana" TargetMode="External"/><Relationship Id="rId79" Type="http://schemas.openxmlformats.org/officeDocument/2006/relationships/hyperlink" Target="https://t.me/nadVir" TargetMode="External"/><Relationship Id="rId102" Type="http://schemas.openxmlformats.org/officeDocument/2006/relationships/hyperlink" Target="https://t.me/serhiy_hayday" TargetMode="External"/><Relationship Id="rId123" Type="http://schemas.openxmlformats.org/officeDocument/2006/relationships/hyperlink" Target="https://t.me/sakovskiyserhii" TargetMode="External"/><Relationship Id="rId128" Type="http://schemas.openxmlformats.org/officeDocument/2006/relationships/hyperlink" Target="https://t.me/odeskaODA" TargetMode="External"/><Relationship Id="rId144" Type="http://schemas.openxmlformats.org/officeDocument/2006/relationships/hyperlink" Target="https://t.me/vitalykoval8" TargetMode="External"/><Relationship Id="rId149" Type="http://schemas.openxmlformats.org/officeDocument/2006/relationships/hyperlink" Target="https://t.me/vitalykoval8" TargetMode="External"/><Relationship Id="rId5" Type="http://schemas.openxmlformats.org/officeDocument/2006/relationships/hyperlink" Target="https://t.me/Mog_Pod_MR" TargetMode="External"/><Relationship Id="rId90" Type="http://schemas.openxmlformats.org/officeDocument/2006/relationships/hyperlink" Target="https://t.me/kyivoda" TargetMode="External"/><Relationship Id="rId95" Type="http://schemas.openxmlformats.org/officeDocument/2006/relationships/hyperlink" Target="https://t.me/krrada" TargetMode="External"/><Relationship Id="rId160" Type="http://schemas.openxmlformats.org/officeDocument/2006/relationships/hyperlink" Target="https://t.me/smahlukandrii" TargetMode="External"/><Relationship Id="rId165" Type="http://schemas.openxmlformats.org/officeDocument/2006/relationships/hyperlink" Target="https://t.me/bogodukhiv_rda" TargetMode="External"/><Relationship Id="rId181" Type="http://schemas.openxmlformats.org/officeDocument/2006/relationships/hyperlink" Target="https://t.me/khersonskaODA" TargetMode="External"/><Relationship Id="rId186" Type="http://schemas.openxmlformats.org/officeDocument/2006/relationships/hyperlink" Target="https://t.me/khmelnytskaODA" TargetMode="External"/><Relationship Id="rId22" Type="http://schemas.openxmlformats.org/officeDocument/2006/relationships/hyperlink" Target="https://t.me/volynskaODA/https:/t.me/koordynacijnyj_centr_Volyni" TargetMode="External"/><Relationship Id="rId27" Type="http://schemas.openxmlformats.org/officeDocument/2006/relationships/hyperlink" Target="https://t.me/dnipropetrovskaODA" TargetMode="External"/><Relationship Id="rId43" Type="http://schemas.openxmlformats.org/officeDocument/2006/relationships/hyperlink" Target="https://t.me/kramatorsk_rada" TargetMode="External"/><Relationship Id="rId48" Type="http://schemas.openxmlformats.org/officeDocument/2006/relationships/hyperlink" Target="https://t.me/zoda_inform" TargetMode="External"/><Relationship Id="rId64" Type="http://schemas.openxmlformats.org/officeDocument/2006/relationships/hyperlink" Target="https://t.me/zapocm" TargetMode="External"/><Relationship Id="rId69" Type="http://schemas.openxmlformats.org/officeDocument/2006/relationships/hyperlink" Target="https://t.me/onyshchuksvitlana" TargetMode="External"/><Relationship Id="rId113" Type="http://schemas.openxmlformats.org/officeDocument/2006/relationships/hyperlink" Target="https://t.me/kozytskyy_maksym_official" TargetMode="External"/><Relationship Id="rId118" Type="http://schemas.openxmlformats.org/officeDocument/2006/relationships/hyperlink" Target="https://t.me/bashtrda" TargetMode="External"/><Relationship Id="rId134" Type="http://schemas.openxmlformats.org/officeDocument/2006/relationships/hyperlink" Target="https://t.me/odeskaODA" TargetMode="External"/><Relationship Id="rId139" Type="http://schemas.openxmlformats.org/officeDocument/2006/relationships/hyperlink" Target="https://t.me/DMYTROLUNIN" TargetMode="External"/><Relationship Id="rId80" Type="http://schemas.openxmlformats.org/officeDocument/2006/relationships/hyperlink" Target="https://t.me/kyivoda" TargetMode="External"/><Relationship Id="rId85" Type="http://schemas.openxmlformats.org/officeDocument/2006/relationships/hyperlink" Target="https://t.me/BrovRVA" TargetMode="External"/><Relationship Id="rId150" Type="http://schemas.openxmlformats.org/officeDocument/2006/relationships/hyperlink" Target="https://t.me/Zhyvytskyy" TargetMode="External"/><Relationship Id="rId155" Type="http://schemas.openxmlformats.org/officeDocument/2006/relationships/hyperlink" Target="https://t.me/Zhyvytskyy" TargetMode="External"/><Relationship Id="rId171" Type="http://schemas.openxmlformats.org/officeDocument/2006/relationships/hyperlink" Target="https://t.me/Lozivska_RDA" TargetMode="External"/><Relationship Id="rId176" Type="http://schemas.openxmlformats.org/officeDocument/2006/relationships/hyperlink" Target="https://t.me/khersonskaODA" TargetMode="External"/><Relationship Id="rId192" Type="http://schemas.openxmlformats.org/officeDocument/2006/relationships/hyperlink" Target="https://t.me/AleksandrSkichko" TargetMode="External"/><Relationship Id="rId197" Type="http://schemas.openxmlformats.org/officeDocument/2006/relationships/hyperlink" Target="https://t.me/bdrda" TargetMode="External"/><Relationship Id="rId201" Type="http://schemas.openxmlformats.org/officeDocument/2006/relationships/hyperlink" Target="https://t.me/chernigivskaODA" TargetMode="External"/><Relationship Id="rId12" Type="http://schemas.openxmlformats.org/officeDocument/2006/relationships/hyperlink" Target="https://t.me/korostenskaoborona" TargetMode="External"/><Relationship Id="rId17" Type="http://schemas.openxmlformats.org/officeDocument/2006/relationships/hyperlink" Target="https://t.me/zhytomyrskaoborona" TargetMode="External"/><Relationship Id="rId33" Type="http://schemas.openxmlformats.org/officeDocument/2006/relationships/hyperlink" Target="https://t.me/Yevtushenko_E" TargetMode="External"/><Relationship Id="rId38" Type="http://schemas.openxmlformats.org/officeDocument/2006/relationships/hyperlink" Target="https://t.me/dnipropetrovskaODA" TargetMode="External"/><Relationship Id="rId59" Type="http://schemas.openxmlformats.org/officeDocument/2006/relationships/hyperlink" Target="https://t.me/khustrda" TargetMode="External"/><Relationship Id="rId103" Type="http://schemas.openxmlformats.org/officeDocument/2006/relationships/hyperlink" Target="https://t.me/starobilskrda" TargetMode="External"/><Relationship Id="rId108" Type="http://schemas.openxmlformats.org/officeDocument/2006/relationships/hyperlink" Target="https://t.me/kozytskyy_maksym_official" TargetMode="External"/><Relationship Id="rId124" Type="http://schemas.openxmlformats.org/officeDocument/2006/relationships/hyperlink" Target="https://t.me/odeskaODA" TargetMode="External"/><Relationship Id="rId129" Type="http://schemas.openxmlformats.org/officeDocument/2006/relationships/hyperlink" Target="https://t.me/Bolgradreal" TargetMode="External"/><Relationship Id="rId54" Type="http://schemas.openxmlformats.org/officeDocument/2006/relationships/hyperlink" Target="https://t.me/zoda_inform" TargetMode="External"/><Relationship Id="rId70" Type="http://schemas.openxmlformats.org/officeDocument/2006/relationships/hyperlink" Target="https://t.me/onyshchuksvitlana" TargetMode="External"/><Relationship Id="rId75" Type="http://schemas.openxmlformats.org/officeDocument/2006/relationships/hyperlink" Target="https://t.me/kolomyiagov" TargetMode="External"/><Relationship Id="rId91" Type="http://schemas.openxmlformats.org/officeDocument/2006/relationships/hyperlink" Target="https://t.me/kyivoda" TargetMode="External"/><Relationship Id="rId96" Type="http://schemas.openxmlformats.org/officeDocument/2006/relationships/hyperlink" Target="https://t.me/kirovogradskaODA" TargetMode="External"/><Relationship Id="rId140" Type="http://schemas.openxmlformats.org/officeDocument/2006/relationships/hyperlink" Target="https://t.me/DMYTROLUNIN" TargetMode="External"/><Relationship Id="rId145" Type="http://schemas.openxmlformats.org/officeDocument/2006/relationships/hyperlink" Target="https://t.me/vitalykoval8" TargetMode="External"/><Relationship Id="rId161" Type="http://schemas.openxmlformats.org/officeDocument/2006/relationships/hyperlink" Target="https://t.me/ternopilskaODA" TargetMode="External"/><Relationship Id="rId166" Type="http://schemas.openxmlformats.org/officeDocument/2006/relationships/hyperlink" Target="https://t.me/kharkivoda" TargetMode="External"/><Relationship Id="rId182" Type="http://schemas.openxmlformats.org/officeDocument/2006/relationships/hyperlink" Target="https://t.me/khersonskaODA" TargetMode="External"/><Relationship Id="rId187" Type="http://schemas.openxmlformats.org/officeDocument/2006/relationships/hyperlink" Target="https://t.me/khmelnytskaODA" TargetMode="External"/><Relationship Id="rId1" Type="http://schemas.openxmlformats.org/officeDocument/2006/relationships/hyperlink" Target="https://t.me/vinnytskaODA" TargetMode="External"/><Relationship Id="rId6" Type="http://schemas.openxmlformats.org/officeDocument/2006/relationships/hyperlink" Target="https://t.me/vinnytskaODA" TargetMode="External"/><Relationship Id="rId23" Type="http://schemas.openxmlformats.org/officeDocument/2006/relationships/hyperlink" Target="https://t.me/kaminfo_1" TargetMode="External"/><Relationship Id="rId28" Type="http://schemas.openxmlformats.org/officeDocument/2006/relationships/hyperlink" Target="https://t.me/dnipropetrovskaODA" TargetMode="External"/><Relationship Id="rId49" Type="http://schemas.openxmlformats.org/officeDocument/2006/relationships/hyperlink" Target="https://t.me/beregovorda" TargetMode="External"/><Relationship Id="rId114" Type="http://schemas.openxmlformats.org/officeDocument/2006/relationships/hyperlink" Target="https://t.me/chervonograd_mr" TargetMode="External"/><Relationship Id="rId119" Type="http://schemas.openxmlformats.org/officeDocument/2006/relationships/hyperlink" Target="https://t.me/mykolaivskaODA" TargetMode="External"/><Relationship Id="rId44" Type="http://schemas.openxmlformats.org/officeDocument/2006/relationships/hyperlink" Target="https://t.me/pavlokyrylenko_donoda" TargetMode="External"/><Relationship Id="rId60" Type="http://schemas.openxmlformats.org/officeDocument/2006/relationships/hyperlink" Target="https://t.me/starukhofficial" TargetMode="External"/><Relationship Id="rId65" Type="http://schemas.openxmlformats.org/officeDocument/2006/relationships/hyperlink" Target="https://t.me/starukhofficial" TargetMode="External"/><Relationship Id="rId81" Type="http://schemas.openxmlformats.org/officeDocument/2006/relationships/hyperlink" Target="https://t.me/bcrda" TargetMode="External"/><Relationship Id="rId86" Type="http://schemas.openxmlformats.org/officeDocument/2006/relationships/hyperlink" Target="https://t.me/kyivoda" TargetMode="External"/><Relationship Id="rId130" Type="http://schemas.openxmlformats.org/officeDocument/2006/relationships/hyperlink" Target="https://t.me/odeskaODA" TargetMode="External"/><Relationship Id="rId135" Type="http://schemas.openxmlformats.org/officeDocument/2006/relationships/hyperlink" Target="https://t.me/podilska_miska_rada" TargetMode="External"/><Relationship Id="rId151" Type="http://schemas.openxmlformats.org/officeDocument/2006/relationships/hyperlink" Target="https://t.me/Semenihin" TargetMode="External"/><Relationship Id="rId156" Type="http://schemas.openxmlformats.org/officeDocument/2006/relationships/hyperlink" Target="https://t.me/Sumy_news_ODA" TargetMode="External"/><Relationship Id="rId177" Type="http://schemas.openxmlformats.org/officeDocument/2006/relationships/hyperlink" Target="https://t.me/khersonskaODA" TargetMode="External"/><Relationship Id="rId198" Type="http://schemas.openxmlformats.org/officeDocument/2006/relationships/hyperlink" Target="https://t.me/chernivetskaODA" TargetMode="External"/><Relationship Id="rId172" Type="http://schemas.openxmlformats.org/officeDocument/2006/relationships/hyperlink" Target="https://t.me/kharkivoda" TargetMode="External"/><Relationship Id="rId193" Type="http://schemas.openxmlformats.org/officeDocument/2006/relationships/hyperlink" Target="https://t.me/AleksandrSkichko" TargetMode="External"/><Relationship Id="rId202" Type="http://schemas.openxmlformats.org/officeDocument/2006/relationships/hyperlink" Target="https://t.me/chernigivskaODA" TargetMode="External"/><Relationship Id="rId13" Type="http://schemas.openxmlformats.org/officeDocument/2006/relationships/hyperlink" Target="https://t.me/zhytomyrskaoborona" TargetMode="External"/><Relationship Id="rId18" Type="http://schemas.openxmlformats.org/officeDocument/2006/relationships/hyperlink" Target="https://t.me/Novograd_miskarada" TargetMode="External"/><Relationship Id="rId39" Type="http://schemas.openxmlformats.org/officeDocument/2006/relationships/hyperlink" Target="https://t.me/pavlokyrylenko_donoda" TargetMode="External"/><Relationship Id="rId109" Type="http://schemas.openxmlformats.org/officeDocument/2006/relationships/hyperlink" Target="https://t.me/people_of_action" TargetMode="External"/><Relationship Id="rId34" Type="http://schemas.openxmlformats.org/officeDocument/2006/relationships/hyperlink" Target="https://t.me/dnipropetrovskaODA" TargetMode="External"/><Relationship Id="rId50" Type="http://schemas.openxmlformats.org/officeDocument/2006/relationships/hyperlink" Target="https://t.me/zoda_inform" TargetMode="External"/><Relationship Id="rId55" Type="http://schemas.openxmlformats.org/officeDocument/2006/relationships/hyperlink" Target="https://t.me/tyachivrda" TargetMode="External"/><Relationship Id="rId76" Type="http://schemas.openxmlformats.org/officeDocument/2006/relationships/hyperlink" Target="https://t.me/onyshchuksvitlana" TargetMode="External"/><Relationship Id="rId97" Type="http://schemas.openxmlformats.org/officeDocument/2006/relationships/hyperlink" Target="https://t.me/kirovogradskaODA" TargetMode="External"/><Relationship Id="rId104" Type="http://schemas.openxmlformats.org/officeDocument/2006/relationships/hyperlink" Target="https://t.me/serhiy_hayday" TargetMode="External"/><Relationship Id="rId120" Type="http://schemas.openxmlformats.org/officeDocument/2006/relationships/hyperlink" Target="https://t.me/mykolaivskaODA" TargetMode="External"/><Relationship Id="rId125" Type="http://schemas.openxmlformats.org/officeDocument/2006/relationships/hyperlink" Target="https://t.me/berezivka_od_ukr" TargetMode="External"/><Relationship Id="rId141" Type="http://schemas.openxmlformats.org/officeDocument/2006/relationships/hyperlink" Target="https://t.me/myrrada" TargetMode="External"/><Relationship Id="rId146" Type="http://schemas.openxmlformats.org/officeDocument/2006/relationships/hyperlink" Target="https://t.me/dubenska" TargetMode="External"/><Relationship Id="rId167" Type="http://schemas.openxmlformats.org/officeDocument/2006/relationships/hyperlink" Target="https://t.me/kharkivoda" TargetMode="External"/><Relationship Id="rId188" Type="http://schemas.openxmlformats.org/officeDocument/2006/relationships/hyperlink" Target="https://t.me/AleksandrSkichko" TargetMode="External"/><Relationship Id="rId7" Type="http://schemas.openxmlformats.org/officeDocument/2006/relationships/hyperlink" Target="https://t.me/vinnytskaODA" TargetMode="External"/><Relationship Id="rId71" Type="http://schemas.openxmlformats.org/officeDocument/2006/relationships/hyperlink" Target="https://t.me/ivanofrankove" TargetMode="External"/><Relationship Id="rId92" Type="http://schemas.openxmlformats.org/officeDocument/2006/relationships/hyperlink" Target="https://t.me/fastivskarda" TargetMode="External"/><Relationship Id="rId162" Type="http://schemas.openxmlformats.org/officeDocument/2006/relationships/hyperlink" Target="https://t.me/ternopilskaODA" TargetMode="External"/><Relationship Id="rId183" Type="http://schemas.openxmlformats.org/officeDocument/2006/relationships/hyperlink" Target="https://t.me/khmelnytskaODA" TargetMode="External"/><Relationship Id="rId2" Type="http://schemas.openxmlformats.org/officeDocument/2006/relationships/hyperlink" Target="https://t.me/vinnytskaODA" TargetMode="External"/><Relationship Id="rId29" Type="http://schemas.openxmlformats.org/officeDocument/2006/relationships/hyperlink" Target="https://t.me/OlegGapich" TargetMode="External"/><Relationship Id="rId24" Type="http://schemas.openxmlformats.org/officeDocument/2006/relationships/hyperlink" Target="https://t.me/volynskaODA/https:/t.me/koordynacijnyj_centr_Volyni" TargetMode="External"/><Relationship Id="rId40" Type="http://schemas.openxmlformats.org/officeDocument/2006/relationships/hyperlink" Target="https://t.me/pavlokyrylenko_donoda" TargetMode="External"/><Relationship Id="rId45" Type="http://schemas.openxmlformats.org/officeDocument/2006/relationships/hyperlink" Target="https://t.me/mariupolrada" TargetMode="External"/><Relationship Id="rId66" Type="http://schemas.openxmlformats.org/officeDocument/2006/relationships/hyperlink" Target="https://t.me/MelitopolGovUA" TargetMode="External"/><Relationship Id="rId87" Type="http://schemas.openxmlformats.org/officeDocument/2006/relationships/hyperlink" Target="https://t.me/thebucharegion" TargetMode="External"/><Relationship Id="rId110" Type="http://schemas.openxmlformats.org/officeDocument/2006/relationships/hyperlink" Target="https://t.me/kozytskyy_maksym_official" TargetMode="External"/><Relationship Id="rId115" Type="http://schemas.openxmlformats.org/officeDocument/2006/relationships/hyperlink" Target="https://t.me/kozytskyy_maksym_official" TargetMode="External"/><Relationship Id="rId131" Type="http://schemas.openxmlformats.org/officeDocument/2006/relationships/hyperlink" Target="https://t.me/IzmailRDA" TargetMode="External"/><Relationship Id="rId136" Type="http://schemas.openxmlformats.org/officeDocument/2006/relationships/hyperlink" Target="https://t.me/odeskaODA" TargetMode="External"/><Relationship Id="rId157" Type="http://schemas.openxmlformats.org/officeDocument/2006/relationships/hyperlink" Target="https://t.me/Zhyvytskyy" TargetMode="External"/><Relationship Id="rId178" Type="http://schemas.openxmlformats.org/officeDocument/2006/relationships/hyperlink" Target="https://t.me/GenicheskUk" TargetMode="External"/><Relationship Id="rId61" Type="http://schemas.openxmlformats.org/officeDocument/2006/relationships/hyperlink" Target="https://t.me/starukhofficial" TargetMode="External"/><Relationship Id="rId82" Type="http://schemas.openxmlformats.org/officeDocument/2006/relationships/hyperlink" Target="https://t.me/kyivoda" TargetMode="External"/><Relationship Id="rId152" Type="http://schemas.openxmlformats.org/officeDocument/2006/relationships/hyperlink" Target="https://t.me/Zhyvytskyy" TargetMode="External"/><Relationship Id="rId173" Type="http://schemas.openxmlformats.org/officeDocument/2006/relationships/hyperlink" Target="https://t.me/kharkivoda" TargetMode="External"/><Relationship Id="rId194" Type="http://schemas.openxmlformats.org/officeDocument/2006/relationships/hyperlink" Target="https://t.me/ValeriyaBandurko" TargetMode="External"/><Relationship Id="rId199" Type="http://schemas.openxmlformats.org/officeDocument/2006/relationships/hyperlink" Target="https://t.me/chernigivskaODA" TargetMode="External"/><Relationship Id="rId203" Type="http://schemas.openxmlformats.org/officeDocument/2006/relationships/hyperlink" Target="https://t.me/chernigivskaODA" TargetMode="External"/><Relationship Id="rId19" Type="http://schemas.openxmlformats.org/officeDocument/2006/relationships/hyperlink" Target="https://t.me/cherkaskaODA" TargetMode="External"/><Relationship Id="rId14" Type="http://schemas.openxmlformats.org/officeDocument/2006/relationships/hyperlink" Target="https://t.me/berdychiv_vca" TargetMode="External"/><Relationship Id="rId30" Type="http://schemas.openxmlformats.org/officeDocument/2006/relationships/hyperlink" Target="https://t.me/dnipropetrovskaODA" TargetMode="External"/><Relationship Id="rId35" Type="http://schemas.openxmlformats.org/officeDocument/2006/relationships/hyperlink" Target="https://t.me/novomoskovskaRDA" TargetMode="External"/><Relationship Id="rId56" Type="http://schemas.openxmlformats.org/officeDocument/2006/relationships/hyperlink" Target="https://t.me/zoda_inform" TargetMode="External"/><Relationship Id="rId77" Type="http://schemas.openxmlformats.org/officeDocument/2006/relationships/hyperlink" Target="https://t.me/kosiv_otg" TargetMode="External"/><Relationship Id="rId100" Type="http://schemas.openxmlformats.org/officeDocument/2006/relationships/hyperlink" Target="https://t.me/serhiy_hayday" TargetMode="External"/><Relationship Id="rId105" Type="http://schemas.openxmlformats.org/officeDocument/2006/relationships/hyperlink" Target="https://t.me/kozytskyy_maksym_official" TargetMode="External"/><Relationship Id="rId126" Type="http://schemas.openxmlformats.org/officeDocument/2006/relationships/hyperlink" Target="https://t.me/odeskaODA" TargetMode="External"/><Relationship Id="rId147" Type="http://schemas.openxmlformats.org/officeDocument/2006/relationships/hyperlink" Target="https://t.me/vitalykoval8" TargetMode="External"/><Relationship Id="rId168" Type="http://schemas.openxmlformats.org/officeDocument/2006/relationships/hyperlink" Target="https://t.me/krasnogradskiy_official" TargetMode="External"/><Relationship Id="rId8" Type="http://schemas.openxmlformats.org/officeDocument/2006/relationships/hyperlink" Target="https://t.me/khm_gov_ua" TargetMode="External"/><Relationship Id="rId51" Type="http://schemas.openxmlformats.org/officeDocument/2006/relationships/hyperlink" Target="https://t.me/andriybaloha" TargetMode="External"/><Relationship Id="rId72" Type="http://schemas.openxmlformats.org/officeDocument/2006/relationships/hyperlink" Target="https://t.me/onyshchuksvitlana" TargetMode="External"/><Relationship Id="rId93" Type="http://schemas.openxmlformats.org/officeDocument/2006/relationships/hyperlink" Target="https://t.me/kirovogradskaODA" TargetMode="External"/><Relationship Id="rId98" Type="http://schemas.openxmlformats.org/officeDocument/2006/relationships/hyperlink" Target="https://t.me/OleksandriiskaRaionnaViiskovaADM" TargetMode="External"/><Relationship Id="rId121" Type="http://schemas.openxmlformats.org/officeDocument/2006/relationships/hyperlink" Target="https://t.me/mykolaivskaODA" TargetMode="External"/><Relationship Id="rId142" Type="http://schemas.openxmlformats.org/officeDocument/2006/relationships/hyperlink" Target="https://t.me/DMYTROLUNIN" TargetMode="External"/><Relationship Id="rId163" Type="http://schemas.openxmlformats.org/officeDocument/2006/relationships/hyperlink" Target="https://t.me/ternopilskaODA" TargetMode="External"/><Relationship Id="rId184" Type="http://schemas.openxmlformats.org/officeDocument/2006/relationships/hyperlink" Target="https://t.me/KPRVAinfo" TargetMode="External"/><Relationship Id="rId189" Type="http://schemas.openxmlformats.org/officeDocument/2006/relationships/hyperlink" Target="https://t.me/Zvenyhorodskyi_RDA" TargetMode="External"/><Relationship Id="rId3" Type="http://schemas.openxmlformats.org/officeDocument/2006/relationships/hyperlink" Target="https://t.me/oborona_Zhmerinka" TargetMode="External"/><Relationship Id="rId25" Type="http://schemas.openxmlformats.org/officeDocument/2006/relationships/hyperlink" Target="https://t.me/volynskaODA/https:/t.me/koordynacijnyj_centr_Volyni" TargetMode="External"/><Relationship Id="rId46" Type="http://schemas.openxmlformats.org/officeDocument/2006/relationships/hyperlink" Target="https://t.me/pavlokyrylenko_donoda" TargetMode="External"/><Relationship Id="rId67" Type="http://schemas.openxmlformats.org/officeDocument/2006/relationships/hyperlink" Target="https://t.me/starukhofficial" TargetMode="External"/><Relationship Id="rId116" Type="http://schemas.openxmlformats.org/officeDocument/2006/relationships/hyperlink" Target="https://t.me/yavorivRDA" TargetMode="External"/><Relationship Id="rId137" Type="http://schemas.openxmlformats.org/officeDocument/2006/relationships/hyperlink" Target="https://t.me/DMYTROLUNIN" TargetMode="External"/><Relationship Id="rId158" Type="http://schemas.openxmlformats.org/officeDocument/2006/relationships/hyperlink" Target="https://t.me/shostkarda" TargetMode="External"/><Relationship Id="rId20" Type="http://schemas.openxmlformats.org/officeDocument/2006/relationships/hyperlink" Target="https://t.me/ValeriyaBandurko" TargetMode="External"/><Relationship Id="rId41" Type="http://schemas.openxmlformats.org/officeDocument/2006/relationships/hyperlink" Target="https://t.me/vca_2022" TargetMode="External"/><Relationship Id="rId62" Type="http://schemas.openxmlformats.org/officeDocument/2006/relationships/hyperlink" Target="https://t.me/vasgromada" TargetMode="External"/><Relationship Id="rId83" Type="http://schemas.openxmlformats.org/officeDocument/2006/relationships/hyperlink" Target="https://t.me/BoryspilskaRVA" TargetMode="External"/><Relationship Id="rId88" Type="http://schemas.openxmlformats.org/officeDocument/2006/relationships/hyperlink" Target="https://t.me/kyivoda" TargetMode="External"/><Relationship Id="rId111" Type="http://schemas.openxmlformats.org/officeDocument/2006/relationships/hyperlink" Target="https://t.me/sambirrada" TargetMode="External"/><Relationship Id="rId132" Type="http://schemas.openxmlformats.org/officeDocument/2006/relationships/hyperlink" Target="https://t.me/odeskaODA" TargetMode="External"/><Relationship Id="rId153" Type="http://schemas.openxmlformats.org/officeDocument/2006/relationships/hyperlink" Target="https://t.me/WnJx9Yx3p6Y0OGIy" TargetMode="External"/><Relationship Id="rId174" Type="http://schemas.openxmlformats.org/officeDocument/2006/relationships/hyperlink" Target="https://t.me/kharkivoda" TargetMode="External"/><Relationship Id="rId179" Type="http://schemas.openxmlformats.org/officeDocument/2006/relationships/hyperlink" Target="https://t.me/khersonskaODA" TargetMode="External"/><Relationship Id="rId195" Type="http://schemas.openxmlformats.org/officeDocument/2006/relationships/hyperlink" Target="https://t.me/chernivetskaODA" TargetMode="External"/><Relationship Id="rId190" Type="http://schemas.openxmlformats.org/officeDocument/2006/relationships/hyperlink" Target="https://t.me/AleksandrSkichko" TargetMode="External"/><Relationship Id="rId15" Type="http://schemas.openxmlformats.org/officeDocument/2006/relationships/hyperlink" Target="https://t.me/zhytomyrskaoborona" TargetMode="External"/><Relationship Id="rId36" Type="http://schemas.openxmlformats.org/officeDocument/2006/relationships/hyperlink" Target="https://t.me/dnipropetrovskaODA" TargetMode="External"/><Relationship Id="rId57" Type="http://schemas.openxmlformats.org/officeDocument/2006/relationships/hyperlink" Target="https://t.me/integrationcenter" TargetMode="External"/><Relationship Id="rId106" Type="http://schemas.openxmlformats.org/officeDocument/2006/relationships/hyperlink" Target="https://t.me/DrohobychRDA" TargetMode="External"/><Relationship Id="rId127" Type="http://schemas.openxmlformats.org/officeDocument/2006/relationships/hyperlink" Target="https://t.me/bdrda" TargetMode="External"/><Relationship Id="rId10" Type="http://schemas.openxmlformats.org/officeDocument/2006/relationships/hyperlink" Target="https://t.me/tulchyn_rva" TargetMode="External"/><Relationship Id="rId31" Type="http://schemas.openxmlformats.org/officeDocument/2006/relationships/hyperlink" Target="https://t.me/vilkul" TargetMode="External"/><Relationship Id="rId52" Type="http://schemas.openxmlformats.org/officeDocument/2006/relationships/hyperlink" Target="https://t.me/zoda_inform" TargetMode="External"/><Relationship Id="rId73" Type="http://schemas.openxmlformats.org/officeDocument/2006/relationships/hyperlink" Target="https://t.me/kalushrada" TargetMode="External"/><Relationship Id="rId78" Type="http://schemas.openxmlformats.org/officeDocument/2006/relationships/hyperlink" Target="https://t.me/onyshchuksvitlana" TargetMode="External"/><Relationship Id="rId94" Type="http://schemas.openxmlformats.org/officeDocument/2006/relationships/hyperlink" Target="https://t.me/kirovogradskaODA" TargetMode="External"/><Relationship Id="rId99" Type="http://schemas.openxmlformats.org/officeDocument/2006/relationships/hyperlink" Target="https://t.me/serhiy_hayday" TargetMode="External"/><Relationship Id="rId101" Type="http://schemas.openxmlformats.org/officeDocument/2006/relationships/hyperlink" Target="https://t.me/sm_vca" TargetMode="External"/><Relationship Id="rId122" Type="http://schemas.openxmlformats.org/officeDocument/2006/relationships/hyperlink" Target="https://t.me/mykolaivskaODA" TargetMode="External"/><Relationship Id="rId143" Type="http://schemas.openxmlformats.org/officeDocument/2006/relationships/hyperlink" Target="https://t.me/poltavskaoda" TargetMode="External"/><Relationship Id="rId148" Type="http://schemas.openxmlformats.org/officeDocument/2006/relationships/hyperlink" Target="https://t.me/ODA_RV" TargetMode="External"/><Relationship Id="rId164" Type="http://schemas.openxmlformats.org/officeDocument/2006/relationships/hyperlink" Target="https://t.me/kharkivoda" TargetMode="External"/><Relationship Id="rId169" Type="http://schemas.openxmlformats.org/officeDocument/2006/relationships/hyperlink" Target="https://t.me/kharkivoda" TargetMode="External"/><Relationship Id="rId185" Type="http://schemas.openxmlformats.org/officeDocument/2006/relationships/hyperlink" Target="https://t.me/khmelnytskaODA" TargetMode="External"/><Relationship Id="rId4" Type="http://schemas.openxmlformats.org/officeDocument/2006/relationships/hyperlink" Target="https://t.me/vinnytskaODA" TargetMode="External"/><Relationship Id="rId9" Type="http://schemas.openxmlformats.org/officeDocument/2006/relationships/hyperlink" Target="https://t.me/vinnytskaODA" TargetMode="External"/><Relationship Id="rId180" Type="http://schemas.openxmlformats.org/officeDocument/2006/relationships/hyperlink" Target="https://t.me/khersonskaODA" TargetMode="External"/><Relationship Id="rId26" Type="http://schemas.openxmlformats.org/officeDocument/2006/relationships/hyperlink" Target="https://t.me/mayorpolishchuk" TargetMode="External"/><Relationship Id="rId47" Type="http://schemas.openxmlformats.org/officeDocument/2006/relationships/hyperlink" Target="https://t.me/pokrovsktrebushkin" TargetMode="External"/><Relationship Id="rId68" Type="http://schemas.openxmlformats.org/officeDocument/2006/relationships/hyperlink" Target="https://t.me/pologivskagromada" TargetMode="External"/><Relationship Id="rId89" Type="http://schemas.openxmlformats.org/officeDocument/2006/relationships/hyperlink" Target="https://t.me/vysh_gov_ua" TargetMode="External"/><Relationship Id="rId112" Type="http://schemas.openxmlformats.org/officeDocument/2006/relationships/hyperlink" Target="https://t.me/kozytskyy_maksym_official" TargetMode="External"/><Relationship Id="rId133" Type="http://schemas.openxmlformats.org/officeDocument/2006/relationships/hyperlink" Target="https://t.me/OdeskaRDA" TargetMode="External"/><Relationship Id="rId154" Type="http://schemas.openxmlformats.org/officeDocument/2006/relationships/hyperlink" Target="https://t.me/Zhyvytskyy" TargetMode="External"/><Relationship Id="rId175" Type="http://schemas.openxmlformats.org/officeDocument/2006/relationships/hyperlink" Target="https://t.me/chuhuivrda"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uk.wikipedia.org/wiki/%D0%9F%D1%96%D1%81%D0%BE%D1%87%D0%B8%D0%BD%D1%81%D1%8C%D0%BA%D0%B0_%D1%81%D0%B5%D0%BB%D0%B8%D1%89%D0%BD%D0%B0_%D0%B3%D1%80%D0%BE%D0%BC%D0%B0%D0%B4%D0%B0" TargetMode="External"/><Relationship Id="rId13" Type="http://schemas.openxmlformats.org/officeDocument/2006/relationships/hyperlink" Target="https://lozovarada.gov.ua/informatsiya-pro-misto/istoriya-mista.html" TargetMode="External"/><Relationship Id="rId3" Type="http://schemas.openxmlformats.org/officeDocument/2006/relationships/hyperlink" Target="https://uk.wikipedia.org/wiki/%D0%91%D0%B0%D0%B7%D0%B0%D0%BB%D1%96%D1%97%D0%B2%D1%81%D1%8C%D0%BA%D0%B0_%D1%81%D1%96%D0%BB%D1%8C%D1%81%D1%8C%D0%BA%D0%B0_%D1%80%D0%B0%D0%B4%D0%B0" TargetMode="External"/><Relationship Id="rId7" Type="http://schemas.openxmlformats.org/officeDocument/2006/relationships/hyperlink" Target="https://uk.wikipedia.org/wiki/%D0%9E%D1%81%D0%BA%D1%96%D0%BB%D1%8C%D1%81%D1%8C%D0%BA%D0%B0_%D1%81%D1%96%D0%BB%D1%8C%D1%81%D1%8C%D0%BA%D0%B0_%D0%B3%D1%80%D0%BE%D0%BC%D0%B0%D0%B4%D0%B0" TargetMode="External"/><Relationship Id="rId12" Type="http://schemas.openxmlformats.org/officeDocument/2006/relationships/hyperlink" Target="https://uk.wikipedia.org/wiki/%D0%86%D0%B7%D1%8E%D0%BC%D1%81%D1%8C%D0%BA%D0%B0_%D0%BC%D1%96%D1%81%D1%8C%D0%BA%D0%B0_%D0%B3%D1%80%D0%BE%D0%BC%D0%B0%D0%B4%D0%B0" TargetMode="External"/><Relationship Id="rId2" Type="http://schemas.openxmlformats.org/officeDocument/2006/relationships/hyperlink" Target="https://decentralization.gov.ua/areas/0572/gromadu" TargetMode="External"/><Relationship Id="rId1" Type="http://schemas.openxmlformats.org/officeDocument/2006/relationships/hyperlink" Target="https://balakleyamer.gov.ua/istoriia-balaklijskoi-th/" TargetMode="External"/><Relationship Id="rId6" Type="http://schemas.openxmlformats.org/officeDocument/2006/relationships/hyperlink" Target="https://uk.wikipedia.org/wiki/%D0%9A%D0%B0%D0%BF%D0%B8%D1%82%D0%BE%D0%BB%D1%96%D0%B2%D1%81%D1%8C%D0%BA%D0%B0_%D1%81%D1%96%D0%BB%D1%8C%D1%81%D1%8C%D0%BA%D0%B0_%D1%80%D0%B0%D0%B4%D0%B0" TargetMode="External"/><Relationship Id="rId11" Type="http://schemas.openxmlformats.org/officeDocument/2006/relationships/hyperlink" Target="https://uk.wikipedia.org/wiki/%D0%92%D0%B5%D0%BB%D0%B8%D0%BA%D0%BE%D0%B1%D1%83%D1%80%D0%BB%D1%83%D1%86%D1%8C%D0%BA%D0%B0_%D1%81%D0%B5%D0%BB%D0%B8%D1%89%D0%BD%D0%B0_%D0%B3%D1%80%D0%BE%D0%BC%D0%B0%D0%B4%D0%B0" TargetMode="External"/><Relationship Id="rId5" Type="http://schemas.openxmlformats.org/officeDocument/2006/relationships/hyperlink" Target="https://uk.wikipedia.org/wiki/%D0%9C%D0%B5%D1%80%D0%B5%D1%84%27%D1%8F%D0%BD%D1%81%D1%8C%D0%BA%D0%B0_%D0%BC%D1%96%D1%81%D1%8C%D0%BA%D0%B0_%D0%B3%D1%80%D0%BE%D0%BC%D0%B0%D0%B4%D0%B0" TargetMode="External"/><Relationship Id="rId10" Type="http://schemas.openxmlformats.org/officeDocument/2006/relationships/hyperlink" Target="https://uk.wikipedia.org/wiki/%D0%90%D0%BD%D0%B4%D1%80%D1%96%D1%97%D0%B2%D1%81%D1%8C%D0%BA%D0%B0_%D1%81%D1%96%D0%BB%D1%8C%D1%81%D1%8C%D0%BA%D0%B0_%D1%80%D0%B0%D0%B4%D0%B0_(%D0%92%D0%B5%D0%BB%D0%B8%D0%BA%D0%BE%D0%B1%D1%83%D1%80%D0%BB%D1%83%D1%86%D1%8C%D0%BA%D0%B8%D0%B9_%D1%80%D0%B0%D0%B9%D0%BE%D0%BD)" TargetMode="External"/><Relationship Id="rId4" Type="http://schemas.openxmlformats.org/officeDocument/2006/relationships/hyperlink" Target="https://uk.wikipedia.org/wiki/%D0%A7%D0%BA%D0%B0%D0%BB%D0%BE%D0%B2%D1%81%D1%8C%D0%BA%D0%B0_%D1%81%D0%B5%D0%BB%D0%B8%D1%89%D0%BD%D0%B0_%D0%B3%D1%80%D0%BE%D0%BC%D0%B0%D0%B4%D0%B0" TargetMode="External"/><Relationship Id="rId9" Type="http://schemas.openxmlformats.org/officeDocument/2006/relationships/hyperlink" Target="https://uk.wikipedia.org/wiki/%D0%92%D0%B5%D0%BB%D0%B8%D0%BA%D0%BE%D0%B1%D1%83%D1%80%D0%BB%D1%83%D1%86%D1%8C%D0%BA%D0%B0_%D1%81%D0%B5%D0%BB%D0%B8%D1%89%D0%BD%D0%B0_%D1%80%D0%B0%D0%B4%D0%B0" TargetMode="External"/><Relationship Id="rId14" Type="http://schemas.openxmlformats.org/officeDocument/2006/relationships/hyperlink" Target="https://uk.wikipedia.org/wiki/%D0%9F%D0%B5%D1%87%D0%B5%D0%BD%D1%96%D0%B7%D1%8C%D0%BA%D0%B0_%D1%81%D0%B5%D0%BB%D0%B8%D1%89%D0%BD%D0%B0_%D1%80%D0%B0%D0%B4%D0%B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438"/>
  <sheetViews>
    <sheetView zoomScale="85" zoomScaleNormal="85" workbookViewId="0">
      <pane ySplit="1" topLeftCell="A232" activePane="bottomLeft" state="frozen"/>
      <selection pane="bottomLeft" activeCell="C234" sqref="C234"/>
    </sheetView>
  </sheetViews>
  <sheetFormatPr defaultColWidth="12.6328125" defaultRowHeight="15.75" customHeight="1"/>
  <cols>
    <col min="12" max="12" width="77.6328125" customWidth="1"/>
    <col min="13" max="14" width="31.453125" customWidth="1"/>
    <col min="15" max="15" width="34.6328125" customWidth="1"/>
    <col min="16" max="17" width="17.6328125" customWidth="1"/>
  </cols>
  <sheetData>
    <row r="1" spans="1:17" ht="7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63">
      <c r="A2" s="2"/>
      <c r="B2" s="2" t="s">
        <v>17</v>
      </c>
      <c r="C2" s="2" t="s">
        <v>18</v>
      </c>
      <c r="D2" s="2" t="s">
        <v>19</v>
      </c>
      <c r="E2" s="2"/>
      <c r="F2" s="2" t="s">
        <v>20</v>
      </c>
      <c r="G2" s="2">
        <v>30</v>
      </c>
      <c r="H2" s="2">
        <v>469.3</v>
      </c>
      <c r="I2" s="2">
        <v>21374</v>
      </c>
      <c r="J2" s="2" t="s">
        <v>21</v>
      </c>
      <c r="K2" s="2">
        <v>13</v>
      </c>
      <c r="L2" s="2" t="s">
        <v>22</v>
      </c>
      <c r="M2" s="2">
        <v>8</v>
      </c>
      <c r="N2" s="2" t="s">
        <v>23</v>
      </c>
      <c r="O2" s="3" t="s">
        <v>24</v>
      </c>
      <c r="P2" s="3" t="s">
        <v>25</v>
      </c>
      <c r="Q2" s="4" t="str">
        <f ca="1">IFERROR(__xludf.DUMMYFUNCTION("TRIM(SUBSTITUTE(SUBSTITUTE(D2, index(SPLIT(D2, "" ""), COLUMNS(SPLIT(D2, "" ""))), """"), index(SPLIT(D2, "" ""), COLUMNS(SPLIT(D2, "" ""))-1), """"))"),"Іллінецька")</f>
        <v>Іллінецька</v>
      </c>
    </row>
    <row r="3" spans="1:17" ht="38.5">
      <c r="A3" s="5" t="s">
        <v>26</v>
      </c>
      <c r="B3" s="2" t="s">
        <v>17</v>
      </c>
      <c r="C3" s="2" t="s">
        <v>18</v>
      </c>
      <c r="D3" s="2" t="s">
        <v>27</v>
      </c>
      <c r="E3" s="2"/>
      <c r="F3" s="2" t="s">
        <v>28</v>
      </c>
      <c r="G3" s="2">
        <v>6</v>
      </c>
      <c r="H3" s="2">
        <v>86.1</v>
      </c>
      <c r="I3" s="2">
        <v>9304</v>
      </c>
      <c r="J3" s="2" t="s">
        <v>29</v>
      </c>
      <c r="K3" s="2">
        <v>4</v>
      </c>
      <c r="L3" s="2" t="s">
        <v>30</v>
      </c>
      <c r="O3" s="3"/>
      <c r="Q3" s="4" t="str">
        <f ca="1">IFERROR(__xludf.DUMMYFUNCTION("TRIM(SUBSTITUTE(SUBSTITUTE(D3, index(SPLIT(D3, "" ""), COLUMNS(SPLIT(D3, "" ""))), """"), index(SPLIT(D3, "" ""), COLUMNS(SPLIT(D3, "" ""))-1), """"))"),"Агрономічна")</f>
        <v>Агрономічна</v>
      </c>
    </row>
    <row r="4" spans="1:17" ht="63">
      <c r="A4" s="2"/>
      <c r="B4" s="2" t="s">
        <v>17</v>
      </c>
      <c r="C4" s="2" t="s">
        <v>18</v>
      </c>
      <c r="D4" s="2" t="s">
        <v>31</v>
      </c>
      <c r="E4" s="2"/>
      <c r="F4" s="2" t="s">
        <v>32</v>
      </c>
      <c r="G4" s="2">
        <v>21</v>
      </c>
      <c r="H4" s="2">
        <v>373.5</v>
      </c>
      <c r="I4" s="2">
        <v>17230</v>
      </c>
      <c r="J4" s="2" t="s">
        <v>33</v>
      </c>
      <c r="K4" s="2">
        <v>13</v>
      </c>
      <c r="L4" s="2" t="s">
        <v>34</v>
      </c>
      <c r="Q4" s="4" t="str">
        <f ca="1">IFERROR(__xludf.DUMMYFUNCTION("TRIM(SUBSTITUTE(SUBSTITUTE(D4, index(SPLIT(D4, "" ""), COLUMNS(SPLIT(D4, "" ""))), """"), index(SPLIT(D4, "" ""), COLUMNS(SPLIT(D4, "" ""))-1), """"))"),"Вороновицька")</f>
        <v>Вороновицька</v>
      </c>
    </row>
    <row r="5" spans="1:17" ht="38">
      <c r="A5" s="6" t="s">
        <v>35</v>
      </c>
      <c r="B5" s="2" t="s">
        <v>17</v>
      </c>
      <c r="C5" s="2" t="s">
        <v>18</v>
      </c>
      <c r="D5" s="2" t="s">
        <v>36</v>
      </c>
      <c r="E5" s="2"/>
      <c r="F5" s="2" t="s">
        <v>20</v>
      </c>
      <c r="G5" s="2">
        <v>9</v>
      </c>
      <c r="H5" s="2">
        <v>256.60000000000002</v>
      </c>
      <c r="I5" s="2">
        <v>388204</v>
      </c>
      <c r="J5" s="2" t="s">
        <v>29</v>
      </c>
      <c r="K5" s="2">
        <v>8</v>
      </c>
      <c r="L5" s="2" t="s">
        <v>37</v>
      </c>
      <c r="Q5" s="4" t="str">
        <f ca="1">IFERROR(__xludf.DUMMYFUNCTION("TRIM(SUBSTITUTE(SUBSTITUTE(D5, index(SPLIT(D5, "" ""), COLUMNS(SPLIT(D5, "" ""))), """"), index(SPLIT(D5, "" ""), COLUMNS(SPLIT(D5, "" ""))-1), """"))"),"Вінницька")</f>
        <v>Вінницька</v>
      </c>
    </row>
    <row r="6" spans="1:17" ht="38">
      <c r="A6" s="2"/>
      <c r="B6" s="2" t="s">
        <v>17</v>
      </c>
      <c r="C6" s="2" t="s">
        <v>18</v>
      </c>
      <c r="D6" s="2" t="s">
        <v>38</v>
      </c>
      <c r="E6" s="2"/>
      <c r="F6" s="2" t="s">
        <v>20</v>
      </c>
      <c r="G6" s="2">
        <v>11</v>
      </c>
      <c r="H6" s="2">
        <v>244.5</v>
      </c>
      <c r="I6" s="2">
        <v>18697</v>
      </c>
      <c r="J6" s="2" t="s">
        <v>39</v>
      </c>
      <c r="K6" s="2">
        <v>5</v>
      </c>
      <c r="L6" s="2" t="s">
        <v>40</v>
      </c>
      <c r="Q6" s="4" t="str">
        <f ca="1">IFERROR(__xludf.DUMMYFUNCTION("TRIM(SUBSTITUTE(SUBSTITUTE(D6, index(SPLIT(D6, "" ""), COLUMNS(SPLIT(D6, "" ""))), """"), index(SPLIT(D6, "" ""), COLUMNS(SPLIT(D6, "" ""))-1), """"))"),"Гніванська")</f>
        <v>Гніванська</v>
      </c>
    </row>
    <row r="7" spans="1:17" ht="75.5">
      <c r="A7" s="2"/>
      <c r="B7" s="2" t="s">
        <v>17</v>
      </c>
      <c r="C7" s="2" t="s">
        <v>18</v>
      </c>
      <c r="D7" s="2" t="s">
        <v>41</v>
      </c>
      <c r="E7" s="2"/>
      <c r="F7" s="2" t="s">
        <v>20</v>
      </c>
      <c r="G7" s="2">
        <v>39</v>
      </c>
      <c r="H7" s="2">
        <v>614.79999999999995</v>
      </c>
      <c r="I7" s="2">
        <v>20669</v>
      </c>
      <c r="J7" s="2" t="s">
        <v>29</v>
      </c>
      <c r="K7" s="2">
        <v>18</v>
      </c>
      <c r="L7" s="2" t="s">
        <v>42</v>
      </c>
      <c r="Q7" s="4" t="str">
        <f ca="1">IFERROR(__xludf.DUMMYFUNCTION("TRIM(SUBSTITUTE(SUBSTITUTE(D7, index(SPLIT(D7, "" ""), COLUMNS(SPLIT(D7, "" ""))), """"), index(SPLIT(D7, "" ""), COLUMNS(SPLIT(D7, "" ""))-1), """"))"),"Липовецька")</f>
        <v>Липовецька</v>
      </c>
    </row>
    <row r="8" spans="1:17" ht="63">
      <c r="A8" s="2"/>
      <c r="B8" s="2" t="s">
        <v>17</v>
      </c>
      <c r="C8" s="2" t="s">
        <v>18</v>
      </c>
      <c r="D8" s="2" t="s">
        <v>43</v>
      </c>
      <c r="E8" s="2"/>
      <c r="F8" s="2" t="s">
        <v>28</v>
      </c>
      <c r="G8" s="2">
        <v>13</v>
      </c>
      <c r="H8" s="2">
        <v>166.2</v>
      </c>
      <c r="I8" s="2">
        <v>11239</v>
      </c>
      <c r="J8" s="2" t="s">
        <v>39</v>
      </c>
      <c r="K8" s="2">
        <v>7</v>
      </c>
      <c r="L8" s="2" t="s">
        <v>44</v>
      </c>
      <c r="Q8" s="4" t="str">
        <f ca="1">IFERROR(__xludf.DUMMYFUNCTION("TRIM(SUBSTITUTE(SUBSTITUTE(D8, index(SPLIT(D8, "" ""), COLUMNS(SPLIT(D8, "" ""))), """"), index(SPLIT(D8, "" ""), COLUMNS(SPLIT(D8, "" ""))-1), """"))"),"Лука-Мелешківська")</f>
        <v>Лука-Мелешківська</v>
      </c>
    </row>
    <row r="9" spans="1:17" ht="63">
      <c r="A9" s="2"/>
      <c r="B9" s="2" t="s">
        <v>17</v>
      </c>
      <c r="C9" s="2" t="s">
        <v>18</v>
      </c>
      <c r="D9" s="2" t="s">
        <v>45</v>
      </c>
      <c r="E9" s="2"/>
      <c r="F9" s="2" t="s">
        <v>32</v>
      </c>
      <c r="G9" s="2">
        <v>36</v>
      </c>
      <c r="H9" s="2">
        <v>587.4</v>
      </c>
      <c r="I9" s="2">
        <v>21449</v>
      </c>
      <c r="J9" s="2" t="s">
        <v>46</v>
      </c>
      <c r="K9" s="2">
        <v>14</v>
      </c>
      <c r="L9" s="2" t="s">
        <v>47</v>
      </c>
      <c r="Q9" s="4" t="str">
        <f ca="1">IFERROR(__xludf.DUMMYFUNCTION("TRIM(SUBSTITUTE(SUBSTITUTE(D9, index(SPLIT(D9, "" ""), COLUMNS(SPLIT(D9, "" ""))), """"), index(SPLIT(D9, "" ""), COLUMNS(SPLIT(D9, "" ""))-1), """"))"),"Літинська")</f>
        <v>Літинська</v>
      </c>
    </row>
    <row r="10" spans="1:17" ht="88">
      <c r="A10" s="2"/>
      <c r="B10" s="2" t="s">
        <v>17</v>
      </c>
      <c r="C10" s="2" t="s">
        <v>18</v>
      </c>
      <c r="D10" s="2" t="s">
        <v>48</v>
      </c>
      <c r="E10" s="2"/>
      <c r="F10" s="2" t="s">
        <v>20</v>
      </c>
      <c r="G10" s="2">
        <v>53</v>
      </c>
      <c r="H10" s="2">
        <v>676.9</v>
      </c>
      <c r="I10" s="2">
        <v>28472</v>
      </c>
      <c r="J10" s="2" t="s">
        <v>33</v>
      </c>
      <c r="K10" s="2">
        <v>21</v>
      </c>
      <c r="L10" s="2" t="s">
        <v>49</v>
      </c>
      <c r="Q10" s="4" t="str">
        <f ca="1">IFERROR(__xludf.DUMMYFUNCTION("TRIM(SUBSTITUTE(SUBSTITUTE(D10, index(SPLIT(D10, "" ""), COLUMNS(SPLIT(D10, "" ""))), """"), index(SPLIT(D10, "" ""), COLUMNS(SPLIT(D10, "" ""))-1), """"))"),"Немирівська")</f>
        <v>Немирівська</v>
      </c>
    </row>
    <row r="11" spans="1:17" ht="113">
      <c r="A11" s="2"/>
      <c r="B11" s="2" t="s">
        <v>17</v>
      </c>
      <c r="C11" s="2" t="s">
        <v>18</v>
      </c>
      <c r="D11" s="2" t="s">
        <v>50</v>
      </c>
      <c r="E11" s="2"/>
      <c r="F11" s="2" t="s">
        <v>32</v>
      </c>
      <c r="G11" s="2">
        <v>52</v>
      </c>
      <c r="H11" s="2">
        <v>837.4</v>
      </c>
      <c r="I11" s="2">
        <v>18782</v>
      </c>
      <c r="J11" s="2" t="s">
        <v>33</v>
      </c>
      <c r="K11" s="2">
        <v>27</v>
      </c>
      <c r="L11" s="2" t="s">
        <v>51</v>
      </c>
      <c r="Q11" s="4" t="str">
        <f ca="1">IFERROR(__xludf.DUMMYFUNCTION("TRIM(SUBSTITUTE(SUBSTITUTE(D11, index(SPLIT(D11, "" ""), COLUMNS(SPLIT(D11, "" ""))), """"), index(SPLIT(D11, "" ""), COLUMNS(SPLIT(D11, "" ""))-1), """"))"),"Оратівська")</f>
        <v>Оратівська</v>
      </c>
    </row>
    <row r="12" spans="1:17" ht="125.5">
      <c r="A12" s="2"/>
      <c r="B12" s="2" t="s">
        <v>17</v>
      </c>
      <c r="C12" s="2" t="s">
        <v>18</v>
      </c>
      <c r="D12" s="2" t="s">
        <v>52</v>
      </c>
      <c r="E12" s="2"/>
      <c r="F12" s="2" t="s">
        <v>20</v>
      </c>
      <c r="G12" s="2">
        <v>60</v>
      </c>
      <c r="H12" s="2">
        <v>1202.3</v>
      </c>
      <c r="I12" s="2">
        <v>27731</v>
      </c>
      <c r="J12" s="2" t="s">
        <v>29</v>
      </c>
      <c r="K12" s="2">
        <v>27</v>
      </c>
      <c r="L12" s="2" t="s">
        <v>53</v>
      </c>
      <c r="Q12" s="4" t="str">
        <f ca="1">IFERROR(__xludf.DUMMYFUNCTION("TRIM(SUBSTITUTE(SUBSTITUTE(D12, index(SPLIT(D12, "" ""), COLUMNS(SPLIT(D12, "" ""))), """"), index(SPLIT(D12, "" ""), COLUMNS(SPLIT(D12, "" ""))-1), """"))"),"Погребищенська")</f>
        <v>Погребищенська</v>
      </c>
    </row>
    <row r="13" spans="1:17" ht="38">
      <c r="A13" s="2"/>
      <c r="B13" s="2" t="s">
        <v>17</v>
      </c>
      <c r="C13" s="2" t="s">
        <v>18</v>
      </c>
      <c r="D13" s="2" t="s">
        <v>54</v>
      </c>
      <c r="E13" s="2"/>
      <c r="F13" s="2" t="s">
        <v>32</v>
      </c>
      <c r="G13" s="2">
        <v>13</v>
      </c>
      <c r="H13" s="2">
        <v>240.3</v>
      </c>
      <c r="I13" s="2">
        <v>19296</v>
      </c>
      <c r="J13" s="2" t="s">
        <v>29</v>
      </c>
      <c r="K13" s="2">
        <v>6</v>
      </c>
      <c r="L13" s="2" t="s">
        <v>55</v>
      </c>
      <c r="Q13" s="4" t="str">
        <f ca="1">IFERROR(__xludf.DUMMYFUNCTION("TRIM(SUBSTITUTE(SUBSTITUTE(D13, index(SPLIT(D13, "" ""), COLUMNS(SPLIT(D13, "" ""))), """"), index(SPLIT(D13, "" ""), COLUMNS(SPLIT(D13, "" ""))-1), """"))"),"Стрижавська")</f>
        <v>Стрижавська</v>
      </c>
    </row>
    <row r="14" spans="1:17" ht="38">
      <c r="A14" s="2"/>
      <c r="B14" s="2" t="s">
        <v>17</v>
      </c>
      <c r="C14" s="2" t="s">
        <v>18</v>
      </c>
      <c r="D14" s="2" t="s">
        <v>56</v>
      </c>
      <c r="E14" s="2"/>
      <c r="F14" s="2" t="s">
        <v>32</v>
      </c>
      <c r="G14" s="2">
        <v>3</v>
      </c>
      <c r="H14" s="2">
        <v>63.2</v>
      </c>
      <c r="I14" s="2">
        <v>6695</v>
      </c>
      <c r="J14" s="2" t="s">
        <v>46</v>
      </c>
      <c r="K14" s="2">
        <v>2</v>
      </c>
      <c r="L14" s="2" t="s">
        <v>57</v>
      </c>
      <c r="Q14" s="4" t="str">
        <f ca="1">IFERROR(__xludf.DUMMYFUNCTION("TRIM(SUBSTITUTE(SUBSTITUTE(D14, index(SPLIT(D14, "" ""), COLUMNS(SPLIT(D14, "" ""))), """"), index(SPLIT(D14, "" ""), COLUMNS(SPLIT(D14, "" ""))-1), """"))"),"Сутисківська")</f>
        <v>Сутисківська</v>
      </c>
    </row>
    <row r="15" spans="1:17" ht="63">
      <c r="A15" s="2"/>
      <c r="B15" s="2" t="s">
        <v>17</v>
      </c>
      <c r="C15" s="2" t="s">
        <v>18</v>
      </c>
      <c r="D15" s="2" t="s">
        <v>58</v>
      </c>
      <c r="E15" s="2"/>
      <c r="F15" s="2" t="s">
        <v>32</v>
      </c>
      <c r="G15" s="2">
        <v>26</v>
      </c>
      <c r="H15" s="2">
        <v>420.4</v>
      </c>
      <c r="I15" s="2">
        <v>11128</v>
      </c>
      <c r="J15" s="2" t="s">
        <v>29</v>
      </c>
      <c r="K15" s="2">
        <v>13</v>
      </c>
      <c r="L15" s="2" t="s">
        <v>59</v>
      </c>
      <c r="Q15" s="4" t="str">
        <f ca="1">IFERROR(__xludf.DUMMYFUNCTION("TRIM(SUBSTITUTE(SUBSTITUTE(D15, index(SPLIT(D15, "" ""), COLUMNS(SPLIT(D15, "" ""))), """"), index(SPLIT(D15, "" ""), COLUMNS(SPLIT(D15, "" ""))-1), """"))"),"Тиврівська")</f>
        <v>Тиврівська</v>
      </c>
    </row>
    <row r="16" spans="1:17" ht="50.5">
      <c r="A16" s="2"/>
      <c r="B16" s="2" t="s">
        <v>17</v>
      </c>
      <c r="C16" s="2" t="s">
        <v>18</v>
      </c>
      <c r="D16" s="2" t="s">
        <v>60</v>
      </c>
      <c r="E16" s="2"/>
      <c r="F16" s="2" t="s">
        <v>32</v>
      </c>
      <c r="G16" s="2">
        <v>22</v>
      </c>
      <c r="H16" s="2">
        <v>391.5</v>
      </c>
      <c r="I16" s="2">
        <v>15507</v>
      </c>
      <c r="J16" s="2" t="s">
        <v>29</v>
      </c>
      <c r="K16" s="2">
        <v>10</v>
      </c>
      <c r="L16" s="2" t="s">
        <v>61</v>
      </c>
      <c r="Q16" s="4" t="str">
        <f ca="1">IFERROR(__xludf.DUMMYFUNCTION("TRIM(SUBSTITUTE(SUBSTITUTE(D16, index(SPLIT(D16, "" ""), COLUMNS(SPLIT(D16, "" ""))), """"), index(SPLIT(D16, "" ""), COLUMNS(SPLIT(D16, "" ""))-1), """"))"),"Турбівська")</f>
        <v>Турбівська</v>
      </c>
    </row>
    <row r="17" spans="1:17" ht="38">
      <c r="A17" s="2"/>
      <c r="B17" s="2" t="s">
        <v>17</v>
      </c>
      <c r="C17" s="2" t="s">
        <v>18</v>
      </c>
      <c r="D17" s="2" t="s">
        <v>62</v>
      </c>
      <c r="E17" s="2"/>
      <c r="F17" s="2" t="s">
        <v>28</v>
      </c>
      <c r="G17" s="2">
        <v>17</v>
      </c>
      <c r="H17" s="2">
        <v>279.10000000000002</v>
      </c>
      <c r="I17" s="2">
        <v>16349</v>
      </c>
      <c r="J17" s="2" t="s">
        <v>63</v>
      </c>
      <c r="K17" s="2">
        <v>8</v>
      </c>
      <c r="L17" s="2" t="s">
        <v>64</v>
      </c>
      <c r="Q17" s="4" t="str">
        <f ca="1">IFERROR(__xludf.DUMMYFUNCTION("TRIM(SUBSTITUTE(SUBSTITUTE(D17, index(SPLIT(D17, "" ""), COLUMNS(SPLIT(D17, "" ""))), """"), index(SPLIT(D17, "" ""), COLUMNS(SPLIT(D17, "" ""))-1), """"))"),"Якушинецька")</f>
        <v>Якушинецька</v>
      </c>
    </row>
    <row r="18" spans="1:17" ht="88">
      <c r="A18" s="7" t="s">
        <v>65</v>
      </c>
      <c r="B18" s="2" t="s">
        <v>17</v>
      </c>
      <c r="C18" s="2" t="s">
        <v>66</v>
      </c>
      <c r="D18" s="2" t="s">
        <v>67</v>
      </c>
      <c r="E18" s="2"/>
      <c r="F18" s="2" t="s">
        <v>20</v>
      </c>
      <c r="G18" s="2">
        <v>29</v>
      </c>
      <c r="H18" s="2">
        <v>870.5</v>
      </c>
      <c r="I18" s="2">
        <v>42953</v>
      </c>
      <c r="J18" s="2" t="s">
        <v>29</v>
      </c>
      <c r="K18" s="2">
        <v>19</v>
      </c>
      <c r="L18" s="2" t="s">
        <v>68</v>
      </c>
      <c r="Q18" s="4" t="str">
        <f ca="1">IFERROR(__xludf.DUMMYFUNCTION("TRIM(SUBSTITUTE(SUBSTITUTE(D18, index(SPLIT(D18, "" ""), COLUMNS(SPLIT(D18, "" ""))), """"), index(SPLIT(D18, "" ""), COLUMNS(SPLIT(D18, "" ""))-1), """"))"),"Бершадська")</f>
        <v>Бершадська</v>
      </c>
    </row>
    <row r="19" spans="1:17" ht="75.5">
      <c r="A19" s="2"/>
      <c r="B19" s="2" t="s">
        <v>17</v>
      </c>
      <c r="C19" s="2" t="s">
        <v>66</v>
      </c>
      <c r="D19" s="2" t="s">
        <v>69</v>
      </c>
      <c r="E19" s="2"/>
      <c r="F19" s="2" t="s">
        <v>20</v>
      </c>
      <c r="G19" s="2">
        <v>43</v>
      </c>
      <c r="H19" s="2">
        <v>660.4</v>
      </c>
      <c r="I19" s="2">
        <v>44192</v>
      </c>
      <c r="J19" s="2" t="s">
        <v>29</v>
      </c>
      <c r="K19" s="2">
        <v>17</v>
      </c>
      <c r="L19" s="2" t="s">
        <v>70</v>
      </c>
      <c r="Q19" s="4" t="str">
        <f ca="1">IFERROR(__xludf.DUMMYFUNCTION("TRIM(SUBSTITUTE(SUBSTITUTE(D19, index(SPLIT(D19, "" ""), COLUMNS(SPLIT(D19, "" ""))), """"), index(SPLIT(D19, "" ""), COLUMNS(SPLIT(D19, "" ""))-1), """"))"),"Гайсинська")</f>
        <v>Гайсинська</v>
      </c>
    </row>
    <row r="20" spans="1:17" ht="50.5">
      <c r="A20" s="2"/>
      <c r="B20" s="2" t="s">
        <v>17</v>
      </c>
      <c r="C20" s="2" t="s">
        <v>66</v>
      </c>
      <c r="D20" s="2" t="s">
        <v>71</v>
      </c>
      <c r="E20" s="2"/>
      <c r="F20" s="2" t="s">
        <v>32</v>
      </c>
      <c r="G20" s="2">
        <v>24</v>
      </c>
      <c r="H20" s="2">
        <v>446.3</v>
      </c>
      <c r="I20" s="2">
        <v>14447</v>
      </c>
      <c r="J20" s="2" t="s">
        <v>72</v>
      </c>
      <c r="K20" s="2">
        <v>11</v>
      </c>
      <c r="L20" s="2" t="s">
        <v>73</v>
      </c>
      <c r="Q20" s="4" t="str">
        <f ca="1">IFERROR(__xludf.DUMMYFUNCTION("TRIM(SUBSTITUTE(SUBSTITUTE(D20, index(SPLIT(D20, "" ""), COLUMNS(SPLIT(D20, "" ""))), """"), index(SPLIT(D20, "" ""), COLUMNS(SPLIT(D20, "" ""))-1), """"))"),"Дашівська")</f>
        <v>Дашівська</v>
      </c>
    </row>
    <row r="21" spans="1:17" ht="50.5">
      <c r="A21" s="2"/>
      <c r="B21" s="2" t="s">
        <v>17</v>
      </c>
      <c r="C21" s="2" t="s">
        <v>66</v>
      </c>
      <c r="D21" s="2" t="s">
        <v>74</v>
      </c>
      <c r="E21" s="2"/>
      <c r="F21" s="2" t="s">
        <v>28</v>
      </c>
      <c r="G21" s="2">
        <v>16</v>
      </c>
      <c r="H21" s="2">
        <v>416.1</v>
      </c>
      <c r="I21" s="2">
        <v>12834</v>
      </c>
      <c r="J21" s="2" t="s">
        <v>72</v>
      </c>
      <c r="K21" s="2">
        <v>10</v>
      </c>
      <c r="L21" s="2" t="s">
        <v>75</v>
      </c>
      <c r="Q21" s="4" t="str">
        <f ca="1">IFERROR(__xludf.DUMMYFUNCTION("TRIM(SUBSTITUTE(SUBSTITUTE(D21, index(SPLIT(D21, "" ""), COLUMNS(SPLIT(D21, "" ""))), """"), index(SPLIT(D21, "" ""), COLUMNS(SPLIT(D21, "" ""))-1), """"))"),"Джулинська")</f>
        <v>Джулинська</v>
      </c>
    </row>
    <row r="22" spans="1:17" ht="50.5">
      <c r="A22" s="2"/>
      <c r="B22" s="2" t="s">
        <v>17</v>
      </c>
      <c r="C22" s="2" t="s">
        <v>66</v>
      </c>
      <c r="D22" s="2" t="s">
        <v>76</v>
      </c>
      <c r="E22" s="2"/>
      <c r="F22" s="2" t="s">
        <v>28</v>
      </c>
      <c r="G22" s="2">
        <v>13</v>
      </c>
      <c r="H22" s="2">
        <v>326.89999999999998</v>
      </c>
      <c r="I22" s="2">
        <v>7647</v>
      </c>
      <c r="J22" s="2" t="s">
        <v>39</v>
      </c>
      <c r="K22" s="2">
        <v>8</v>
      </c>
      <c r="L22" s="2" t="s">
        <v>77</v>
      </c>
      <c r="Q22" s="4" t="str">
        <f ca="1">IFERROR(__xludf.DUMMYFUNCTION("TRIM(SUBSTITUTE(SUBSTITUTE(D22, index(SPLIT(D22, "" ""), COLUMNS(SPLIT(D22, "" ""))), """"), index(SPLIT(D22, "" ""), COLUMNS(SPLIT(D22, "" ""))-1), """"))"),"Краснопільська")</f>
        <v>Краснопільська</v>
      </c>
    </row>
    <row r="23" spans="1:17" ht="38">
      <c r="A23" s="2"/>
      <c r="B23" s="2" t="s">
        <v>17</v>
      </c>
      <c r="C23" s="2" t="s">
        <v>66</v>
      </c>
      <c r="D23" s="2" t="s">
        <v>78</v>
      </c>
      <c r="E23" s="2"/>
      <c r="F23" s="2" t="s">
        <v>28</v>
      </c>
      <c r="G23" s="2">
        <v>11</v>
      </c>
      <c r="H23" s="2">
        <v>175.4</v>
      </c>
      <c r="I23" s="2">
        <v>4161</v>
      </c>
      <c r="J23" s="2" t="s">
        <v>63</v>
      </c>
      <c r="K23" s="2">
        <v>4</v>
      </c>
      <c r="L23" s="2" t="s">
        <v>79</v>
      </c>
      <c r="Q23" s="4" t="str">
        <f ca="1">IFERROR(__xludf.DUMMYFUNCTION("TRIM(SUBSTITUTE(SUBSTITUTE(D23, index(SPLIT(D23, "" ""), COLUMNS(SPLIT(D23, "" ""))), """"), index(SPLIT(D23, "" ""), COLUMNS(SPLIT(D23, "" ""))-1), """"))"),"Кунківська")</f>
        <v>Кунківська</v>
      </c>
    </row>
    <row r="24" spans="1:17" ht="38">
      <c r="A24" s="2"/>
      <c r="B24" s="2" t="s">
        <v>17</v>
      </c>
      <c r="C24" s="2" t="s">
        <v>66</v>
      </c>
      <c r="D24" s="2" t="s">
        <v>80</v>
      </c>
      <c r="E24" s="2"/>
      <c r="F24" s="2" t="s">
        <v>20</v>
      </c>
      <c r="G24" s="2">
        <v>6</v>
      </c>
      <c r="H24" s="2">
        <v>123.8</v>
      </c>
      <c r="I24" s="2">
        <v>24771</v>
      </c>
      <c r="J24" s="2" t="s">
        <v>29</v>
      </c>
      <c r="K24" s="2">
        <v>2</v>
      </c>
      <c r="L24" s="2" t="s">
        <v>81</v>
      </c>
      <c r="Q24" s="4" t="str">
        <f ca="1">IFERROR(__xludf.DUMMYFUNCTION("TRIM(SUBSTITUTE(SUBSTITUTE(D24, index(SPLIT(D24, "" ""), COLUMNS(SPLIT(D24, "" ""))), """"), index(SPLIT(D24, "" ""), COLUMNS(SPLIT(D24, "" ""))-1), """"))"),"Ладижинська")</f>
        <v>Ладижинська</v>
      </c>
    </row>
    <row r="25" spans="1:17" ht="38">
      <c r="A25" s="2"/>
      <c r="B25" s="2" t="s">
        <v>17</v>
      </c>
      <c r="C25" s="2" t="s">
        <v>66</v>
      </c>
      <c r="D25" s="2" t="s">
        <v>82</v>
      </c>
      <c r="E25" s="2"/>
      <c r="F25" s="2" t="s">
        <v>28</v>
      </c>
      <c r="G25" s="2">
        <v>10</v>
      </c>
      <c r="H25" s="2">
        <v>326.7</v>
      </c>
      <c r="I25" s="2">
        <v>9814</v>
      </c>
      <c r="J25" s="2" t="s">
        <v>29</v>
      </c>
      <c r="K25" s="2">
        <v>5</v>
      </c>
      <c r="L25" s="2" t="s">
        <v>83</v>
      </c>
      <c r="Q25" s="4" t="str">
        <f ca="1">IFERROR(__xludf.DUMMYFUNCTION("TRIM(SUBSTITUTE(SUBSTITUTE(D25, index(SPLIT(D25, "" ""), COLUMNS(SPLIT(D25, "" ""))), """"), index(SPLIT(D25, "" ""), COLUMNS(SPLIT(D25, "" ""))-1), """"))"),"Ободівська")</f>
        <v>Ободівська</v>
      </c>
    </row>
    <row r="26" spans="1:17" ht="50.5">
      <c r="A26" s="2"/>
      <c r="B26" s="2" t="s">
        <v>17</v>
      </c>
      <c r="C26" s="2" t="s">
        <v>66</v>
      </c>
      <c r="D26" s="2" t="s">
        <v>84</v>
      </c>
      <c r="E26" s="2"/>
      <c r="F26" s="2" t="s">
        <v>28</v>
      </c>
      <c r="G26" s="2">
        <v>5</v>
      </c>
      <c r="H26" s="2">
        <v>234.7</v>
      </c>
      <c r="I26" s="2">
        <v>6224</v>
      </c>
      <c r="J26" s="2" t="s">
        <v>29</v>
      </c>
      <c r="K26" s="2">
        <v>5</v>
      </c>
      <c r="L26" s="2" t="s">
        <v>85</v>
      </c>
      <c r="Q26" s="4" t="str">
        <f ca="1">IFERROR(__xludf.DUMMYFUNCTION("TRIM(SUBSTITUTE(SUBSTITUTE(D26, index(SPLIT(D26, "" ""), COLUMNS(SPLIT(D26, "" ""))), """"), index(SPLIT(D26, "" ""), COLUMNS(SPLIT(D26, "" ""))-1), """"))"),"Ольгопільська")</f>
        <v>Ольгопільська</v>
      </c>
    </row>
    <row r="27" spans="1:17" ht="50.5">
      <c r="A27" s="2"/>
      <c r="B27" s="2" t="s">
        <v>17</v>
      </c>
      <c r="C27" s="2" t="s">
        <v>66</v>
      </c>
      <c r="D27" s="2" t="s">
        <v>86</v>
      </c>
      <c r="E27" s="2"/>
      <c r="F27" s="2" t="s">
        <v>28</v>
      </c>
      <c r="G27" s="2">
        <v>20</v>
      </c>
      <c r="H27" s="2">
        <v>292.39999999999998</v>
      </c>
      <c r="I27" s="2">
        <v>7172</v>
      </c>
      <c r="J27" s="2" t="s">
        <v>72</v>
      </c>
      <c r="K27" s="2">
        <v>10</v>
      </c>
      <c r="L27" s="2" t="s">
        <v>87</v>
      </c>
      <c r="Q27" s="4" t="str">
        <f ca="1">IFERROR(__xludf.DUMMYFUNCTION("TRIM(SUBSTITUTE(SUBSTITUTE(D27, index(SPLIT(D27, "" ""), COLUMNS(SPLIT(D27, "" ""))), """"), index(SPLIT(D27, "" ""), COLUMNS(SPLIT(D27, "" ""))-1), """"))"),"Райгородська")</f>
        <v>Райгородська</v>
      </c>
    </row>
    <row r="28" spans="1:17" ht="38">
      <c r="A28" s="2"/>
      <c r="B28" s="2" t="s">
        <v>17</v>
      </c>
      <c r="C28" s="2" t="s">
        <v>66</v>
      </c>
      <c r="D28" s="2" t="s">
        <v>88</v>
      </c>
      <c r="E28" s="2"/>
      <c r="F28" s="2" t="s">
        <v>28</v>
      </c>
      <c r="G28" s="2">
        <v>12</v>
      </c>
      <c r="H28" s="2">
        <v>292.8</v>
      </c>
      <c r="I28" s="2">
        <v>7923</v>
      </c>
      <c r="J28" s="2" t="s">
        <v>46</v>
      </c>
      <c r="K28" s="2">
        <v>9</v>
      </c>
      <c r="L28" s="2" t="s">
        <v>89</v>
      </c>
      <c r="Q28" s="4" t="str">
        <f ca="1">IFERROR(__xludf.DUMMYFUNCTION("TRIM(SUBSTITUTE(SUBSTITUTE(D28, index(SPLIT(D28, "" ""), COLUMNS(SPLIT(D28, "" ""))), """"), index(SPLIT(D28, "" ""), COLUMNS(SPLIT(D28, "" ""))-1), """"))"),"Соболівська")</f>
        <v>Соболівська</v>
      </c>
    </row>
    <row r="29" spans="1:17" ht="63">
      <c r="A29" s="2"/>
      <c r="B29" s="2" t="s">
        <v>17</v>
      </c>
      <c r="C29" s="2" t="s">
        <v>66</v>
      </c>
      <c r="D29" s="2" t="s">
        <v>90</v>
      </c>
      <c r="E29" s="2"/>
      <c r="F29" s="2" t="s">
        <v>32</v>
      </c>
      <c r="G29" s="2">
        <v>31</v>
      </c>
      <c r="H29" s="2">
        <v>460</v>
      </c>
      <c r="I29" s="2">
        <v>17251</v>
      </c>
      <c r="J29" s="2" t="s">
        <v>46</v>
      </c>
      <c r="K29" s="2">
        <v>15</v>
      </c>
      <c r="L29" s="2" t="s">
        <v>91</v>
      </c>
      <c r="Q29" s="4" t="str">
        <f ca="1">IFERROR(__xludf.DUMMYFUNCTION("TRIM(SUBSTITUTE(SUBSTITUTE(D29, index(SPLIT(D29, "" ""), COLUMNS(SPLIT(D29, "" ""))), """"), index(SPLIT(D29, "" ""), COLUMNS(SPLIT(D29, "" ""))-1), """"))"),"Теплицька")</f>
        <v>Теплицька</v>
      </c>
    </row>
    <row r="30" spans="1:17" ht="63">
      <c r="A30" s="2"/>
      <c r="B30" s="2" t="s">
        <v>17</v>
      </c>
      <c r="C30" s="2" t="s">
        <v>66</v>
      </c>
      <c r="D30" s="2" t="s">
        <v>92</v>
      </c>
      <c r="E30" s="2"/>
      <c r="F30" s="2" t="s">
        <v>32</v>
      </c>
      <c r="G30" s="2">
        <v>26</v>
      </c>
      <c r="H30" s="2">
        <v>530.4</v>
      </c>
      <c r="I30" s="2">
        <v>23938</v>
      </c>
      <c r="J30" s="2" t="s">
        <v>93</v>
      </c>
      <c r="K30" s="2">
        <v>13</v>
      </c>
      <c r="L30" s="2" t="s">
        <v>94</v>
      </c>
      <c r="Q30" s="4" t="str">
        <f ca="1">IFERROR(__xludf.DUMMYFUNCTION("TRIM(SUBSTITUTE(SUBSTITUTE(D30, index(SPLIT(D30, "" ""), COLUMNS(SPLIT(D30, "" ""))), """"), index(SPLIT(D30, "" ""), COLUMNS(SPLIT(D30, "" ""))-1), """"))"),"Тростянецька")</f>
        <v>Тростянецька</v>
      </c>
    </row>
    <row r="31" spans="1:17" ht="50.5">
      <c r="A31" s="2"/>
      <c r="B31" s="2" t="s">
        <v>17</v>
      </c>
      <c r="C31" s="2" t="s">
        <v>66</v>
      </c>
      <c r="D31" s="2" t="s">
        <v>95</v>
      </c>
      <c r="E31" s="2"/>
      <c r="F31" s="2" t="s">
        <v>32</v>
      </c>
      <c r="G31" s="2">
        <v>17</v>
      </c>
      <c r="H31" s="2">
        <v>524.79999999999995</v>
      </c>
      <c r="I31" s="2">
        <v>13476</v>
      </c>
      <c r="J31" s="2" t="s">
        <v>29</v>
      </c>
      <c r="K31" s="2">
        <v>11</v>
      </c>
      <c r="L31" s="2" t="s">
        <v>96</v>
      </c>
      <c r="Q31" s="4" t="str">
        <f ca="1">IFERROR(__xludf.DUMMYFUNCTION("TRIM(SUBSTITUTE(SUBSTITUTE(D31, index(SPLIT(D31, "" ""), COLUMNS(SPLIT(D31, "" ""))), """"), index(SPLIT(D31, "" ""), COLUMNS(SPLIT(D31, "" ""))-1), """"))"),"Чечельницька")</f>
        <v>Чечельницька</v>
      </c>
    </row>
    <row r="32" spans="1:17" ht="88">
      <c r="A32" s="7" t="s">
        <v>97</v>
      </c>
      <c r="B32" s="2" t="s">
        <v>17</v>
      </c>
      <c r="C32" s="2" t="s">
        <v>98</v>
      </c>
      <c r="D32" s="2" t="s">
        <v>99</v>
      </c>
      <c r="E32" s="2"/>
      <c r="F32" s="2" t="s">
        <v>20</v>
      </c>
      <c r="G32" s="2">
        <v>70</v>
      </c>
      <c r="H32" s="2">
        <v>766.4</v>
      </c>
      <c r="I32" s="2">
        <v>40310</v>
      </c>
      <c r="J32" s="2" t="s">
        <v>33</v>
      </c>
      <c r="K32" s="2">
        <v>21</v>
      </c>
      <c r="L32" s="2" t="s">
        <v>100</v>
      </c>
      <c r="Q32" s="4" t="str">
        <f ca="1">IFERROR(__xludf.DUMMYFUNCTION("TRIM(SUBSTITUTE(SUBSTITUTE(D32, index(SPLIT(D32, "" ""), COLUMNS(SPLIT(D32, "" ""))), """"), index(SPLIT(D32, "" ""), COLUMNS(SPLIT(D32, "" ""))-1), """"))"),"Барська")</f>
        <v>Барська</v>
      </c>
    </row>
    <row r="33" spans="1:17" ht="38">
      <c r="A33" s="2"/>
      <c r="B33" s="2" t="s">
        <v>17</v>
      </c>
      <c r="C33" s="2" t="s">
        <v>98</v>
      </c>
      <c r="D33" s="2" t="s">
        <v>101</v>
      </c>
      <c r="E33" s="2"/>
      <c r="F33" s="2" t="s">
        <v>28</v>
      </c>
      <c r="G33" s="2">
        <v>16</v>
      </c>
      <c r="H33" s="2">
        <v>337.1</v>
      </c>
      <c r="I33" s="2">
        <v>12813</v>
      </c>
      <c r="J33" s="2" t="s">
        <v>29</v>
      </c>
      <c r="K33" s="2">
        <v>8</v>
      </c>
      <c r="L33" s="2" t="s">
        <v>102</v>
      </c>
      <c r="Q33" s="4" t="str">
        <f ca="1">IFERROR(__xludf.DUMMYFUNCTION("TRIM(SUBSTITUTE(SUBSTITUTE(D33, index(SPLIT(D33, "" ""), COLUMNS(SPLIT(D33, "" ""))), """"), index(SPLIT(D33, "" ""), COLUMNS(SPLIT(D33, "" ""))-1), """"))"),"Джуринська")</f>
        <v>Джуринська</v>
      </c>
    </row>
    <row r="34" spans="1:17" ht="63">
      <c r="A34" s="2"/>
      <c r="B34" s="2" t="s">
        <v>17</v>
      </c>
      <c r="C34" s="2" t="s">
        <v>98</v>
      </c>
      <c r="D34" s="2" t="s">
        <v>103</v>
      </c>
      <c r="E34" s="2"/>
      <c r="F34" s="2" t="s">
        <v>20</v>
      </c>
      <c r="G34" s="2">
        <v>34</v>
      </c>
      <c r="H34" s="2">
        <v>531.70000000000005</v>
      </c>
      <c r="I34" s="2">
        <v>48952</v>
      </c>
      <c r="J34" s="2" t="s">
        <v>29</v>
      </c>
      <c r="K34" s="2">
        <v>13</v>
      </c>
      <c r="L34" s="2" t="s">
        <v>104</v>
      </c>
      <c r="Q34" s="4" t="str">
        <f ca="1">IFERROR(__xludf.DUMMYFUNCTION("TRIM(SUBSTITUTE(SUBSTITUTE(D34, index(SPLIT(D34, "" ""), COLUMNS(SPLIT(D34, "" ""))), """"), index(SPLIT(D34, "" ""), COLUMNS(SPLIT(D34, "" ""))-1), """"))"),"Жмеринська")</f>
        <v>Жмеринська</v>
      </c>
    </row>
    <row r="35" spans="1:17" ht="50.5">
      <c r="A35" s="2"/>
      <c r="B35" s="2" t="s">
        <v>17</v>
      </c>
      <c r="C35" s="2" t="s">
        <v>98</v>
      </c>
      <c r="D35" s="2" t="s">
        <v>105</v>
      </c>
      <c r="E35" s="2"/>
      <c r="F35" s="2" t="s">
        <v>32</v>
      </c>
      <c r="G35" s="2">
        <v>21</v>
      </c>
      <c r="H35" s="2">
        <v>307.10000000000002</v>
      </c>
      <c r="I35" s="2">
        <v>7961</v>
      </c>
      <c r="J35" s="2" t="s">
        <v>29</v>
      </c>
      <c r="K35" s="2">
        <v>7</v>
      </c>
      <c r="L35" s="2" t="s">
        <v>106</v>
      </c>
      <c r="Q35" s="4" t="str">
        <f ca="1">IFERROR(__xludf.DUMMYFUNCTION("TRIM(SUBSTITUTE(SUBSTITUTE(D35, index(SPLIT(D35, "" ""), COLUMNS(SPLIT(D35, "" ""))), """"), index(SPLIT(D35, "" ""), COLUMNS(SPLIT(D35, "" ""))-1), """"))"),"Копайгородська")</f>
        <v>Копайгородська</v>
      </c>
    </row>
    <row r="36" spans="1:17" ht="38">
      <c r="A36" s="2"/>
      <c r="B36" s="2" t="s">
        <v>17</v>
      </c>
      <c r="C36" s="2" t="s">
        <v>98</v>
      </c>
      <c r="D36" s="2" t="s">
        <v>107</v>
      </c>
      <c r="E36" s="2"/>
      <c r="F36" s="2" t="s">
        <v>28</v>
      </c>
      <c r="G36" s="2">
        <v>8</v>
      </c>
      <c r="H36" s="2">
        <v>191.6</v>
      </c>
      <c r="I36" s="2">
        <v>11560</v>
      </c>
      <c r="J36" s="2" t="s">
        <v>63</v>
      </c>
      <c r="K36" s="2">
        <v>6</v>
      </c>
      <c r="L36" s="2" t="s">
        <v>108</v>
      </c>
      <c r="Q36" s="4" t="str">
        <f ca="1">IFERROR(__xludf.DUMMYFUNCTION("TRIM(SUBSTITUTE(SUBSTITUTE(D36, index(SPLIT(D36, "" ""), COLUMNS(SPLIT(D36, "" ""))), """"), index(SPLIT(D36, "" ""), COLUMNS(SPLIT(D36, "" ""))-1), """"))"),"Мурафська")</f>
        <v>Мурафська</v>
      </c>
    </row>
    <row r="37" spans="1:17" ht="50.5">
      <c r="A37" s="2"/>
      <c r="B37" s="2" t="s">
        <v>17</v>
      </c>
      <c r="C37" s="2" t="s">
        <v>98</v>
      </c>
      <c r="D37" s="2" t="s">
        <v>109</v>
      </c>
      <c r="E37" s="2"/>
      <c r="F37" s="2" t="s">
        <v>28</v>
      </c>
      <c r="G37" s="2">
        <v>19</v>
      </c>
      <c r="H37" s="2">
        <v>223.1</v>
      </c>
      <c r="I37" s="2">
        <v>7922</v>
      </c>
      <c r="J37" s="2" t="s">
        <v>33</v>
      </c>
      <c r="K37" s="2">
        <v>7</v>
      </c>
      <c r="L37" s="2" t="s">
        <v>110</v>
      </c>
      <c r="Q37" s="4" t="str">
        <f ca="1">IFERROR(__xludf.DUMMYFUNCTION("TRIM(SUBSTITUTE(SUBSTITUTE(D37, index(SPLIT(D37, "" ""), COLUMNS(SPLIT(D37, "" ""))), """"), index(SPLIT(D37, "" ""), COLUMNS(SPLIT(D37, "" ""))-1), """"))"),"Северинівська")</f>
        <v>Северинівська</v>
      </c>
    </row>
    <row r="38" spans="1:17" ht="50.5">
      <c r="A38" s="2"/>
      <c r="B38" s="2" t="s">
        <v>17</v>
      </c>
      <c r="C38" s="2" t="s">
        <v>98</v>
      </c>
      <c r="D38" s="2" t="s">
        <v>111</v>
      </c>
      <c r="E38" s="2"/>
      <c r="F38" s="2" t="s">
        <v>28</v>
      </c>
      <c r="G38" s="2">
        <v>16</v>
      </c>
      <c r="H38" s="2">
        <v>301</v>
      </c>
      <c r="I38" s="2">
        <v>7649</v>
      </c>
      <c r="J38" s="2" t="s">
        <v>29</v>
      </c>
      <c r="K38" s="2">
        <v>9</v>
      </c>
      <c r="L38" s="2" t="s">
        <v>112</v>
      </c>
      <c r="Q38" s="4" t="str">
        <f ca="1">IFERROR(__xludf.DUMMYFUNCTION("TRIM(SUBSTITUTE(SUBSTITUTE(D38, index(SPLIT(D38, "" ""), COLUMNS(SPLIT(D38, "" ""))), """"), index(SPLIT(D38, "" ""), COLUMNS(SPLIT(D38, "" ""))-1), """"))"),"Станіславчицька")</f>
        <v>Станіславчицька</v>
      </c>
    </row>
    <row r="39" spans="1:17" ht="75.5">
      <c r="A39" s="2"/>
      <c r="B39" s="2" t="s">
        <v>17</v>
      </c>
      <c r="C39" s="2" t="s">
        <v>98</v>
      </c>
      <c r="D39" s="2" t="s">
        <v>113</v>
      </c>
      <c r="E39" s="2"/>
      <c r="F39" s="2" t="s">
        <v>20</v>
      </c>
      <c r="G39" s="2">
        <v>32</v>
      </c>
      <c r="H39" s="2">
        <v>482.1</v>
      </c>
      <c r="I39" s="2">
        <v>24377</v>
      </c>
      <c r="J39" s="2" t="s">
        <v>29</v>
      </c>
      <c r="K39" s="2">
        <v>15</v>
      </c>
      <c r="L39" s="2" t="s">
        <v>114</v>
      </c>
      <c r="Q39" s="4" t="str">
        <f ca="1">IFERROR(__xludf.DUMMYFUNCTION("TRIM(SUBSTITUTE(SUBSTITUTE(D39, index(SPLIT(D39, "" ""), COLUMNS(SPLIT(D39, "" ""))), """"), index(SPLIT(D39, "" ""), COLUMNS(SPLIT(D39, "" ""))-1), """"))"),"Шаргородська")</f>
        <v>Шаргородська</v>
      </c>
    </row>
    <row r="40" spans="1:17" ht="38">
      <c r="A40" s="2"/>
      <c r="B40" s="2" t="s">
        <v>17</v>
      </c>
      <c r="C40" s="2" t="s">
        <v>115</v>
      </c>
      <c r="D40" s="2" t="s">
        <v>116</v>
      </c>
      <c r="E40" s="2"/>
      <c r="F40" s="2" t="s">
        <v>28</v>
      </c>
      <c r="G40" s="2">
        <v>13</v>
      </c>
      <c r="H40" s="2">
        <v>207.5</v>
      </c>
      <c r="I40" s="2">
        <v>5354</v>
      </c>
      <c r="J40" s="2" t="s">
        <v>33</v>
      </c>
      <c r="K40" s="2">
        <v>6</v>
      </c>
      <c r="L40" s="2" t="s">
        <v>117</v>
      </c>
      <c r="Q40" s="4" t="str">
        <f ca="1">IFERROR(__xludf.DUMMYFUNCTION("TRIM(SUBSTITUTE(SUBSTITUTE(D40, index(SPLIT(D40, "" ""), COLUMNS(SPLIT(D40, "" ""))), """"), index(SPLIT(D40, "" ""), COLUMNS(SPLIT(D40, "" ""))-1), """"))"),"Бабчинецька")</f>
        <v>Бабчинецька</v>
      </c>
    </row>
    <row r="41" spans="1:17" ht="50.5">
      <c r="A41" s="2"/>
      <c r="B41" s="2" t="s">
        <v>17</v>
      </c>
      <c r="C41" s="2" t="s">
        <v>115</v>
      </c>
      <c r="D41" s="2" t="s">
        <v>118</v>
      </c>
      <c r="E41" s="2"/>
      <c r="F41" s="2" t="s">
        <v>32</v>
      </c>
      <c r="G41" s="2">
        <v>25</v>
      </c>
      <c r="H41" s="2">
        <v>436.4</v>
      </c>
      <c r="I41" s="2">
        <v>13871</v>
      </c>
      <c r="J41" s="2" t="s">
        <v>29</v>
      </c>
      <c r="K41" s="2">
        <v>12</v>
      </c>
      <c r="L41" s="2" t="s">
        <v>119</v>
      </c>
      <c r="Q41" s="4" t="str">
        <f ca="1">IFERROR(__xludf.DUMMYFUNCTION("TRIM(SUBSTITUTE(SUBSTITUTE(D41, index(SPLIT(D41, "" ""), COLUMNS(SPLIT(D41, "" ""))), """"), index(SPLIT(D41, "" ""), COLUMNS(SPLIT(D41, "" ""))-1), """"))"),"Вендичанська")</f>
        <v>Вендичанська</v>
      </c>
    </row>
    <row r="42" spans="1:17" ht="50.5">
      <c r="A42" s="2"/>
      <c r="B42" s="2" t="s">
        <v>17</v>
      </c>
      <c r="C42" s="2" t="s">
        <v>115</v>
      </c>
      <c r="D42" s="2" t="s">
        <v>120</v>
      </c>
      <c r="E42" s="2"/>
      <c r="F42" s="2" t="s">
        <v>20</v>
      </c>
      <c r="G42" s="2">
        <v>26</v>
      </c>
      <c r="H42" s="2">
        <v>373.8</v>
      </c>
      <c r="I42" s="2">
        <v>42726</v>
      </c>
      <c r="J42" s="2" t="s">
        <v>29</v>
      </c>
      <c r="K42" s="2">
        <v>11</v>
      </c>
      <c r="L42" s="2" t="s">
        <v>121</v>
      </c>
      <c r="Q42" s="4" t="str">
        <f ca="1">IFERROR(__xludf.DUMMYFUNCTION("TRIM(SUBSTITUTE(SUBSTITUTE(D42, index(SPLIT(D42, "" ""), COLUMNS(SPLIT(D42, "" ""))), """"), index(SPLIT(D42, "" ""), COLUMNS(SPLIT(D42, "" ""))-1), """"))"),"Могилів-Подільська")</f>
        <v>Могилів-Подільська</v>
      </c>
    </row>
    <row r="43" spans="1:17" ht="100.5">
      <c r="A43" s="2"/>
      <c r="B43" s="2" t="s">
        <v>17</v>
      </c>
      <c r="C43" s="2" t="s">
        <v>115</v>
      </c>
      <c r="D43" s="2" t="s">
        <v>122</v>
      </c>
      <c r="E43" s="2"/>
      <c r="F43" s="2" t="s">
        <v>32</v>
      </c>
      <c r="G43" s="2">
        <v>50</v>
      </c>
      <c r="H43" s="2">
        <v>738.8</v>
      </c>
      <c r="I43" s="2">
        <v>20873</v>
      </c>
      <c r="J43" s="2" t="s">
        <v>29</v>
      </c>
      <c r="K43" s="2">
        <v>21</v>
      </c>
      <c r="L43" s="2" t="s">
        <v>123</v>
      </c>
      <c r="Q43" s="4" t="str">
        <f ca="1">IFERROR(__xludf.DUMMYFUNCTION("TRIM(SUBSTITUTE(SUBSTITUTE(D43, index(SPLIT(D43, "" ""), COLUMNS(SPLIT(D43, "" ""))), """"), index(SPLIT(D43, "" ""), COLUMNS(SPLIT(D43, "" ""))-1), """"))"),"Мурованокуриловецька")</f>
        <v>Мурованокуриловецька</v>
      </c>
    </row>
    <row r="44" spans="1:17" ht="50.5">
      <c r="A44" s="2"/>
      <c r="B44" s="2" t="s">
        <v>17</v>
      </c>
      <c r="C44" s="2" t="s">
        <v>115</v>
      </c>
      <c r="D44" s="2" t="s">
        <v>124</v>
      </c>
      <c r="E44" s="2"/>
      <c r="F44" s="2" t="s">
        <v>32</v>
      </c>
      <c r="G44" s="2">
        <v>30</v>
      </c>
      <c r="H44" s="2">
        <v>426</v>
      </c>
      <c r="I44" s="2">
        <v>15561</v>
      </c>
      <c r="J44" s="2" t="s">
        <v>29</v>
      </c>
      <c r="K44" s="2">
        <v>11</v>
      </c>
      <c r="L44" s="2" t="s">
        <v>125</v>
      </c>
      <c r="Q44" s="4" t="str">
        <f ca="1">IFERROR(__xludf.DUMMYFUNCTION("TRIM(SUBSTITUTE(SUBSTITUTE(D44, index(SPLIT(D44, "" ""), COLUMNS(SPLIT(D44, "" ""))), """"), index(SPLIT(D44, "" ""), COLUMNS(SPLIT(D44, "" ""))-1), """"))"),"Чернівецька")</f>
        <v>Чернівецька</v>
      </c>
    </row>
    <row r="45" spans="1:17" ht="88">
      <c r="A45" s="7" t="s">
        <v>126</v>
      </c>
      <c r="B45" s="2" t="s">
        <v>17</v>
      </c>
      <c r="C45" s="2" t="s">
        <v>115</v>
      </c>
      <c r="D45" s="2" t="s">
        <v>127</v>
      </c>
      <c r="E45" s="2"/>
      <c r="F45" s="2" t="s">
        <v>20</v>
      </c>
      <c r="G45" s="2">
        <v>38</v>
      </c>
      <c r="H45" s="2">
        <v>787.9</v>
      </c>
      <c r="I45" s="2">
        <v>37290</v>
      </c>
      <c r="J45" s="2" t="s">
        <v>29</v>
      </c>
      <c r="K45" s="2">
        <v>19</v>
      </c>
      <c r="L45" s="2" t="s">
        <v>128</v>
      </c>
      <c r="Q45" s="4" t="str">
        <f ca="1">IFERROR(__xludf.DUMMYFUNCTION("TRIM(SUBSTITUTE(SUBSTITUTE(D45, index(SPLIT(D45, "" ""), COLUMNS(SPLIT(D45, "" ""))), """"), index(SPLIT(D45, "" ""), COLUMNS(SPLIT(D45, "" ""))-1), """"))"),"Ямпільська")</f>
        <v>Ямпільська</v>
      </c>
    </row>
    <row r="46" spans="1:17" ht="38">
      <c r="A46" s="2"/>
      <c r="B46" s="2" t="s">
        <v>17</v>
      </c>
      <c r="C46" s="2" t="s">
        <v>115</v>
      </c>
      <c r="D46" s="2" t="s">
        <v>129</v>
      </c>
      <c r="E46" s="2"/>
      <c r="F46" s="2" t="s">
        <v>28</v>
      </c>
      <c r="G46" s="2">
        <v>13</v>
      </c>
      <c r="H46" s="2">
        <v>250.6</v>
      </c>
      <c r="I46" s="2">
        <v>6781</v>
      </c>
      <c r="J46" s="2" t="s">
        <v>29</v>
      </c>
      <c r="K46" s="2">
        <v>8</v>
      </c>
      <c r="L46" s="2" t="s">
        <v>130</v>
      </c>
      <c r="Q46" s="4" t="str">
        <f ca="1">IFERROR(__xludf.DUMMYFUNCTION("TRIM(SUBSTITUTE(SUBSTITUTE(D46, index(SPLIT(D46, "" ""), COLUMNS(SPLIT(D46, "" ""))), """"), index(SPLIT(D46, "" ""), COLUMNS(SPLIT(D46, "" ""))-1), """"))"),"Яришівська")</f>
        <v>Яришівська</v>
      </c>
    </row>
    <row r="47" spans="1:17" ht="50.5">
      <c r="A47" s="2"/>
      <c r="B47" s="2" t="s">
        <v>17</v>
      </c>
      <c r="C47" s="2" t="s">
        <v>131</v>
      </c>
      <c r="D47" s="2" t="s">
        <v>132</v>
      </c>
      <c r="E47" s="2"/>
      <c r="F47" s="2" t="s">
        <v>32</v>
      </c>
      <c r="G47" s="2">
        <v>19</v>
      </c>
      <c r="H47" s="2">
        <v>260.39999999999998</v>
      </c>
      <c r="I47" s="2">
        <v>9655</v>
      </c>
      <c r="J47" s="2" t="s">
        <v>39</v>
      </c>
      <c r="K47" s="2">
        <v>10</v>
      </c>
      <c r="L47" s="2" t="s">
        <v>133</v>
      </c>
      <c r="Q47" s="4" t="str">
        <f ca="1">IFERROR(__xludf.DUMMYFUNCTION("TRIM(SUBSTITUTE(SUBSTITUTE(D47, index(SPLIT(D47, "" ""), COLUMNS(SPLIT(D47, "" ""))), """"), index(SPLIT(D47, "" ""), COLUMNS(SPLIT(D47, "" ""))-1), """"))"),"Брацлавська")</f>
        <v>Брацлавська</v>
      </c>
    </row>
    <row r="48" spans="1:17" ht="38">
      <c r="A48" s="2"/>
      <c r="B48" s="2" t="s">
        <v>17</v>
      </c>
      <c r="C48" s="2" t="s">
        <v>131</v>
      </c>
      <c r="D48" s="2" t="s">
        <v>134</v>
      </c>
      <c r="E48" s="2"/>
      <c r="F48" s="2" t="s">
        <v>32</v>
      </c>
      <c r="G48" s="2">
        <v>6</v>
      </c>
      <c r="H48" s="2">
        <v>112.2</v>
      </c>
      <c r="I48" s="2">
        <v>9500</v>
      </c>
      <c r="J48" s="2" t="s">
        <v>21</v>
      </c>
      <c r="K48" s="2">
        <v>5</v>
      </c>
      <c r="L48" s="2" t="s">
        <v>135</v>
      </c>
      <c r="Q48" s="4" t="str">
        <f ca="1">IFERROR(__xludf.DUMMYFUNCTION("TRIM(SUBSTITUTE(SUBSTITUTE(D48, index(SPLIT(D48, "" ""), COLUMNS(SPLIT(D48, "" ""))), """"), index(SPLIT(D48, "" ""), COLUMNS(SPLIT(D48, "" ""))-1), """"))"),"Вапнярська")</f>
        <v>Вапнярська</v>
      </c>
    </row>
    <row r="49" spans="1:17" ht="38">
      <c r="A49" s="2"/>
      <c r="B49" s="2" t="s">
        <v>17</v>
      </c>
      <c r="C49" s="2" t="s">
        <v>131</v>
      </c>
      <c r="D49" s="2" t="s">
        <v>136</v>
      </c>
      <c r="E49" s="2"/>
      <c r="F49" s="2" t="s">
        <v>28</v>
      </c>
      <c r="G49" s="2">
        <v>25</v>
      </c>
      <c r="H49" s="2">
        <v>463.5</v>
      </c>
      <c r="I49" s="2">
        <v>11662</v>
      </c>
      <c r="J49" s="2" t="s">
        <v>29</v>
      </c>
      <c r="K49" s="2">
        <v>9</v>
      </c>
      <c r="L49" s="2" t="s">
        <v>137</v>
      </c>
      <c r="Q49" s="4" t="str">
        <f ca="1">IFERROR(__xludf.DUMMYFUNCTION("TRIM(SUBSTITUTE(SUBSTITUTE(D49, index(SPLIT(D49, "" ""), COLUMNS(SPLIT(D49, "" ""))), """"), index(SPLIT(D49, "" ""), COLUMNS(SPLIT(D49, "" ""))-1), """"))"),"Городківська")</f>
        <v>Городківська</v>
      </c>
    </row>
    <row r="50" spans="1:17" ht="50.5">
      <c r="A50" s="2"/>
      <c r="B50" s="2" t="s">
        <v>17</v>
      </c>
      <c r="C50" s="2" t="s">
        <v>131</v>
      </c>
      <c r="D50" s="2" t="s">
        <v>138</v>
      </c>
      <c r="E50" s="2"/>
      <c r="F50" s="2" t="s">
        <v>32</v>
      </c>
      <c r="G50" s="2">
        <v>19</v>
      </c>
      <c r="H50" s="2">
        <v>421.9</v>
      </c>
      <c r="I50" s="2">
        <v>19974</v>
      </c>
      <c r="J50" s="2" t="s">
        <v>29</v>
      </c>
      <c r="K50" s="2">
        <v>11</v>
      </c>
      <c r="L50" s="2" t="s">
        <v>139</v>
      </c>
      <c r="Q50" s="4" t="str">
        <f ca="1">IFERROR(__xludf.DUMMYFUNCTION("TRIM(SUBSTITUTE(SUBSTITUTE(D50, index(SPLIT(D50, "" ""), COLUMNS(SPLIT(D50, "" ""))), """"), index(SPLIT(D50, "" ""), COLUMNS(SPLIT(D50, "" ""))-1), """"))"),"Крижопільська")</f>
        <v>Крижопільська</v>
      </c>
    </row>
    <row r="51" spans="1:17" ht="38">
      <c r="A51" s="2"/>
      <c r="B51" s="2" t="s">
        <v>17</v>
      </c>
      <c r="C51" s="2" t="s">
        <v>131</v>
      </c>
      <c r="D51" s="2" t="s">
        <v>140</v>
      </c>
      <c r="E51" s="2"/>
      <c r="F51" s="2" t="s">
        <v>32</v>
      </c>
      <c r="G51" s="2">
        <v>14</v>
      </c>
      <c r="H51" s="2">
        <v>335.9</v>
      </c>
      <c r="I51" s="2">
        <v>13746</v>
      </c>
      <c r="J51" s="2" t="s">
        <v>29</v>
      </c>
      <c r="K51" s="2">
        <v>9</v>
      </c>
      <c r="L51" s="2" t="s">
        <v>141</v>
      </c>
      <c r="Q51" s="4" t="str">
        <f ca="1">IFERROR(__xludf.DUMMYFUNCTION("TRIM(SUBSTITUTE(SUBSTITUTE(D51, index(SPLIT(D51, "" ""), COLUMNS(SPLIT(D51, "" ""))), """"), index(SPLIT(D51, "" ""), COLUMNS(SPLIT(D51, "" ""))-1), """"))"),"Піщанська")</f>
        <v>Піщанська</v>
      </c>
    </row>
    <row r="52" spans="1:17" ht="38">
      <c r="A52" s="2"/>
      <c r="B52" s="2" t="s">
        <v>17</v>
      </c>
      <c r="C52" s="2" t="s">
        <v>131</v>
      </c>
      <c r="D52" s="2" t="s">
        <v>142</v>
      </c>
      <c r="E52" s="2"/>
      <c r="F52" s="2" t="s">
        <v>28</v>
      </c>
      <c r="G52" s="2">
        <v>15</v>
      </c>
      <c r="H52" s="2">
        <v>259.39999999999998</v>
      </c>
      <c r="I52" s="2">
        <v>5911</v>
      </c>
      <c r="J52" s="2" t="s">
        <v>143</v>
      </c>
      <c r="K52" s="2">
        <v>6</v>
      </c>
      <c r="L52" s="2" t="s">
        <v>144</v>
      </c>
      <c r="Q52" s="4" t="str">
        <f ca="1">IFERROR(__xludf.DUMMYFUNCTION("TRIM(SUBSTITUTE(SUBSTITUTE(D52, index(SPLIT(D52, "" ""), COLUMNS(SPLIT(D52, "" ""))), """"), index(SPLIT(D52, "" ""), COLUMNS(SPLIT(D52, "" ""))-1), """"))"),"Студенянська")</f>
        <v>Студенянська</v>
      </c>
    </row>
    <row r="53" spans="1:17" ht="88">
      <c r="A53" s="2"/>
      <c r="B53" s="2" t="s">
        <v>17</v>
      </c>
      <c r="C53" s="2" t="s">
        <v>131</v>
      </c>
      <c r="D53" s="2" t="s">
        <v>145</v>
      </c>
      <c r="E53" s="2"/>
      <c r="F53" s="2" t="s">
        <v>32</v>
      </c>
      <c r="G53" s="2">
        <v>28</v>
      </c>
      <c r="H53" s="2">
        <v>666.6</v>
      </c>
      <c r="I53" s="2">
        <v>21930</v>
      </c>
      <c r="J53" s="2" t="s">
        <v>33</v>
      </c>
      <c r="K53" s="2">
        <v>19</v>
      </c>
      <c r="L53" s="2" t="s">
        <v>146</v>
      </c>
      <c r="Q53" s="4" t="str">
        <f ca="1">IFERROR(__xludf.DUMMYFUNCTION("TRIM(SUBSTITUTE(SUBSTITUTE(D53, index(SPLIT(D53, "" ""), COLUMNS(SPLIT(D53, "" ""))), """"), index(SPLIT(D53, "" ""), COLUMNS(SPLIT(D53, "" ""))-1), """"))"),"Томашпільська")</f>
        <v>Томашпільська</v>
      </c>
    </row>
    <row r="54" spans="1:17" ht="88">
      <c r="A54" s="2"/>
      <c r="B54" s="2" t="s">
        <v>17</v>
      </c>
      <c r="C54" s="2" t="s">
        <v>131</v>
      </c>
      <c r="D54" s="2" t="s">
        <v>147</v>
      </c>
      <c r="E54" s="2"/>
      <c r="F54" s="2" t="s">
        <v>20</v>
      </c>
      <c r="G54" s="2">
        <v>36</v>
      </c>
      <c r="H54" s="2">
        <v>860.4</v>
      </c>
      <c r="I54" s="2">
        <v>43819</v>
      </c>
      <c r="J54" s="2" t="s">
        <v>33</v>
      </c>
      <c r="K54" s="2">
        <v>20</v>
      </c>
      <c r="L54" s="2" t="s">
        <v>148</v>
      </c>
      <c r="Q54" s="4" t="str">
        <f ca="1">IFERROR(__xludf.DUMMYFUNCTION("TRIM(SUBSTITUTE(SUBSTITUTE(D54, index(SPLIT(D54, "" ""), COLUMNS(SPLIT(D54, "" ""))), """"), index(SPLIT(D54, "" ""), COLUMNS(SPLIT(D54, "" ""))-1), """"))"),"Тульчинська")</f>
        <v>Тульчинська</v>
      </c>
    </row>
    <row r="55" spans="1:17" ht="63">
      <c r="A55" s="2"/>
      <c r="B55" s="2" t="s">
        <v>17</v>
      </c>
      <c r="C55" s="2" t="s">
        <v>131</v>
      </c>
      <c r="D55" s="2" t="s">
        <v>149</v>
      </c>
      <c r="E55" s="2"/>
      <c r="F55" s="2" t="s">
        <v>32</v>
      </c>
      <c r="G55" s="2">
        <v>27</v>
      </c>
      <c r="H55" s="2">
        <v>478.9</v>
      </c>
      <c r="I55" s="2">
        <v>16084</v>
      </c>
      <c r="J55" s="2" t="s">
        <v>72</v>
      </c>
      <c r="K55" s="2">
        <v>12</v>
      </c>
      <c r="L55" s="2" t="s">
        <v>150</v>
      </c>
      <c r="Q55" s="4" t="str">
        <f ca="1">IFERROR(__xludf.DUMMYFUNCTION("TRIM(SUBSTITUTE(SUBSTITUTE(D55, index(SPLIT(D55, "" ""), COLUMNS(SPLIT(D55, "" ""))), """"), index(SPLIT(D55, "" ""), COLUMNS(SPLIT(D55, "" ""))-1), """"))"),"Шпиківська")</f>
        <v>Шпиківська</v>
      </c>
    </row>
    <row r="56" spans="1:17" ht="38">
      <c r="A56" s="2"/>
      <c r="B56" s="2" t="s">
        <v>17</v>
      </c>
      <c r="C56" s="2" t="s">
        <v>151</v>
      </c>
      <c r="D56" s="2" t="s">
        <v>152</v>
      </c>
      <c r="E56" s="2"/>
      <c r="F56" s="2" t="s">
        <v>28</v>
      </c>
      <c r="G56" s="2">
        <v>14</v>
      </c>
      <c r="H56" s="2">
        <v>311.60000000000002</v>
      </c>
      <c r="I56" s="2">
        <v>13424</v>
      </c>
      <c r="J56" s="2" t="s">
        <v>39</v>
      </c>
      <c r="K56" s="2">
        <v>6</v>
      </c>
      <c r="L56" s="2" t="s">
        <v>153</v>
      </c>
      <c r="Q56" s="4" t="str">
        <f ca="1">IFERROR(__xludf.DUMMYFUNCTION("TRIM(SUBSTITUTE(SUBSTITUTE(D56, index(SPLIT(D56, "" ""), COLUMNS(SPLIT(D56, "" ""))), """"), index(SPLIT(D56, "" ""), COLUMNS(SPLIT(D56, "" ""))-1), """"))"),"Іванівська")</f>
        <v>Іванівська</v>
      </c>
    </row>
    <row r="57" spans="1:17" ht="38">
      <c r="A57" s="2"/>
      <c r="B57" s="2" t="s">
        <v>17</v>
      </c>
      <c r="C57" s="2" t="s">
        <v>151</v>
      </c>
      <c r="D57" s="2" t="s">
        <v>154</v>
      </c>
      <c r="E57" s="2"/>
      <c r="F57" s="2" t="s">
        <v>28</v>
      </c>
      <c r="G57" s="2">
        <v>15</v>
      </c>
      <c r="H57" s="2">
        <v>167.5</v>
      </c>
      <c r="I57" s="2">
        <v>5490</v>
      </c>
      <c r="J57" s="2" t="s">
        <v>33</v>
      </c>
      <c r="K57" s="2">
        <v>5</v>
      </c>
      <c r="L57" s="2" t="s">
        <v>155</v>
      </c>
      <c r="Q57" s="4" t="str">
        <f ca="1">IFERROR(__xludf.DUMMYFUNCTION("TRIM(SUBSTITUTE(SUBSTITUTE(D57, index(SPLIT(D57, "" ""), COLUMNS(SPLIT(D57, "" ""))), """"), index(SPLIT(D57, "" ""), COLUMNS(SPLIT(D57, "" ""))-1), """"))"),"Війтівецька")</f>
        <v>Війтівецька</v>
      </c>
    </row>
    <row r="58" spans="1:17" ht="38">
      <c r="A58" s="2"/>
      <c r="B58" s="2" t="s">
        <v>17</v>
      </c>
      <c r="C58" s="2" t="s">
        <v>151</v>
      </c>
      <c r="D58" s="2" t="s">
        <v>156</v>
      </c>
      <c r="E58" s="2"/>
      <c r="F58" s="2" t="s">
        <v>32</v>
      </c>
      <c r="G58" s="2">
        <v>17</v>
      </c>
      <c r="H58" s="2">
        <v>262.89999999999998</v>
      </c>
      <c r="I58" s="2">
        <v>11215</v>
      </c>
      <c r="J58" s="2" t="s">
        <v>39</v>
      </c>
      <c r="K58" s="2">
        <v>9</v>
      </c>
      <c r="L58" s="2" t="s">
        <v>157</v>
      </c>
      <c r="Q58" s="4" t="str">
        <f ca="1">IFERROR(__xludf.DUMMYFUNCTION("TRIM(SUBSTITUTE(SUBSTITUTE(D58, index(SPLIT(D58, "" ""), COLUMNS(SPLIT(D58, "" ""))), """"), index(SPLIT(D58, "" ""), COLUMNS(SPLIT(D58, "" ""))-1), """"))"),"Глуховецька")</f>
        <v>Глуховецька</v>
      </c>
    </row>
    <row r="59" spans="1:17" ht="113">
      <c r="A59" s="2"/>
      <c r="B59" s="2" t="s">
        <v>17</v>
      </c>
      <c r="C59" s="2" t="s">
        <v>151</v>
      </c>
      <c r="D59" s="2" t="s">
        <v>158</v>
      </c>
      <c r="E59" s="2"/>
      <c r="F59" s="2" t="s">
        <v>20</v>
      </c>
      <c r="G59" s="2">
        <v>49</v>
      </c>
      <c r="H59" s="2">
        <v>844.1</v>
      </c>
      <c r="I59" s="2">
        <v>45257</v>
      </c>
      <c r="J59" s="2" t="s">
        <v>143</v>
      </c>
      <c r="K59" s="2">
        <v>24</v>
      </c>
      <c r="L59" s="2" t="s">
        <v>159</v>
      </c>
      <c r="Q59" s="4" t="str">
        <f ca="1">IFERROR(__xludf.DUMMYFUNCTION("TRIM(SUBSTITUTE(SUBSTITUTE(D59, index(SPLIT(D59, "" ""), COLUMNS(SPLIT(D59, "" ""))), """"), index(SPLIT(D59, "" ""), COLUMNS(SPLIT(D59, "" ""))-1), """"))"),"Калинівська")</f>
        <v>Калинівська</v>
      </c>
    </row>
    <row r="60" spans="1:17" ht="38">
      <c r="A60" s="2"/>
      <c r="B60" s="2" t="s">
        <v>17</v>
      </c>
      <c r="C60" s="2" t="s">
        <v>151</v>
      </c>
      <c r="D60" s="2" t="s">
        <v>160</v>
      </c>
      <c r="E60" s="2"/>
      <c r="F60" s="2" t="s">
        <v>20</v>
      </c>
      <c r="G60" s="2">
        <v>16</v>
      </c>
      <c r="H60" s="2">
        <v>234.5</v>
      </c>
      <c r="I60" s="2">
        <v>32922</v>
      </c>
      <c r="J60" s="2" t="s">
        <v>29</v>
      </c>
      <c r="K60" s="2">
        <v>8</v>
      </c>
      <c r="L60" s="2" t="s">
        <v>161</v>
      </c>
      <c r="Q60" s="4" t="str">
        <f ca="1">IFERROR(__xludf.DUMMYFUNCTION("TRIM(SUBSTITUTE(SUBSTITUTE(D60, index(SPLIT(D60, "" ""), COLUMNS(SPLIT(D60, "" ""))), """"), index(SPLIT(D60, "" ""), COLUMNS(SPLIT(D60, "" ""))-1), """"))"),"Козятинська")</f>
        <v>Козятинська</v>
      </c>
    </row>
    <row r="61" spans="1:17" ht="38">
      <c r="A61" s="2"/>
      <c r="B61" s="2" t="s">
        <v>17</v>
      </c>
      <c r="C61" s="2" t="s">
        <v>151</v>
      </c>
      <c r="D61" s="2" t="s">
        <v>162</v>
      </c>
      <c r="E61" s="2"/>
      <c r="F61" s="2" t="s">
        <v>28</v>
      </c>
      <c r="G61" s="2">
        <v>20</v>
      </c>
      <c r="H61" s="2">
        <v>311.39999999999998</v>
      </c>
      <c r="I61" s="2">
        <v>7929</v>
      </c>
      <c r="J61" s="2" t="s">
        <v>163</v>
      </c>
      <c r="K61" s="2">
        <v>8</v>
      </c>
      <c r="L61" s="2" t="s">
        <v>164</v>
      </c>
      <c r="Q61" s="4" t="str">
        <f ca="1">IFERROR(__xludf.DUMMYFUNCTION("TRIM(SUBSTITUTE(SUBSTITUTE(D61, index(SPLIT(D61, "" ""), COLUMNS(SPLIT(D61, "" ""))), """"), index(SPLIT(D61, "" ""), COLUMNS(SPLIT(D61, "" ""))-1), """"))"),"Махнівська")</f>
        <v>Махнівська</v>
      </c>
    </row>
    <row r="62" spans="1:17" ht="50.5">
      <c r="A62" s="2"/>
      <c r="B62" s="2" t="s">
        <v>17</v>
      </c>
      <c r="C62" s="2" t="s">
        <v>151</v>
      </c>
      <c r="D62" s="2" t="s">
        <v>165</v>
      </c>
      <c r="E62" s="2"/>
      <c r="F62" s="2" t="s">
        <v>28</v>
      </c>
      <c r="G62" s="2">
        <v>20</v>
      </c>
      <c r="H62" s="2">
        <v>323.10000000000002</v>
      </c>
      <c r="I62" s="2">
        <v>8433</v>
      </c>
      <c r="J62" s="2" t="s">
        <v>29</v>
      </c>
      <c r="K62" s="2">
        <v>10</v>
      </c>
      <c r="L62" s="2" t="s">
        <v>166</v>
      </c>
      <c r="Q62" s="4" t="str">
        <f ca="1">IFERROR(__xludf.DUMMYFUNCTION("TRIM(SUBSTITUTE(SUBSTITUTE(D62, index(SPLIT(D62, "" ""), COLUMNS(SPLIT(D62, "" ""))), """"), index(SPLIT(D62, "" ""), COLUMNS(SPLIT(D62, "" ""))-1), """"))"),"Самгородоцька")</f>
        <v>Самгородоцька</v>
      </c>
    </row>
    <row r="63" spans="1:17" ht="63">
      <c r="A63" s="2"/>
      <c r="B63" s="2" t="s">
        <v>17</v>
      </c>
      <c r="C63" s="2" t="s">
        <v>151</v>
      </c>
      <c r="D63" s="2" t="s">
        <v>167</v>
      </c>
      <c r="E63" s="2"/>
      <c r="F63" s="2" t="s">
        <v>28</v>
      </c>
      <c r="G63" s="2">
        <v>36</v>
      </c>
      <c r="H63" s="2">
        <v>611.1</v>
      </c>
      <c r="I63" s="2">
        <v>15634</v>
      </c>
      <c r="J63" s="2" t="s">
        <v>29</v>
      </c>
      <c r="K63" s="2">
        <v>14</v>
      </c>
      <c r="L63" s="2" t="s">
        <v>168</v>
      </c>
      <c r="Q63" s="4" t="str">
        <f ca="1">IFERROR(__xludf.DUMMYFUNCTION("TRIM(SUBSTITUTE(SUBSTITUTE(D63, index(SPLIT(D63, "" ""), COLUMNS(SPLIT(D63, "" ""))), """"), index(SPLIT(D63, "" ""), COLUMNS(SPLIT(D63, "" ""))-1), """"))"),"Уланівська")</f>
        <v>Уланівська</v>
      </c>
    </row>
    <row r="64" spans="1:17" ht="75.5">
      <c r="A64" s="2"/>
      <c r="B64" s="2" t="s">
        <v>17</v>
      </c>
      <c r="C64" s="2" t="s">
        <v>151</v>
      </c>
      <c r="D64" s="2" t="s">
        <v>169</v>
      </c>
      <c r="E64" s="2"/>
      <c r="F64" s="2" t="s">
        <v>20</v>
      </c>
      <c r="G64" s="2">
        <v>42</v>
      </c>
      <c r="H64" s="2">
        <v>635.79999999999995</v>
      </c>
      <c r="I64" s="2">
        <v>43609</v>
      </c>
      <c r="J64" s="2" t="s">
        <v>29</v>
      </c>
      <c r="K64" s="2">
        <v>16</v>
      </c>
      <c r="L64" s="2" t="s">
        <v>170</v>
      </c>
      <c r="Q64" s="4" t="str">
        <f ca="1">IFERROR(__xludf.DUMMYFUNCTION("TRIM(SUBSTITUTE(SUBSTITUTE(D64, index(SPLIT(D64, "" ""), COLUMNS(SPLIT(D64, "" ""))), """"), index(SPLIT(D64, "" ""), COLUMNS(SPLIT(D64, "" ""))-1), """"))"),"Хмільницька")</f>
        <v>Хмільницька</v>
      </c>
    </row>
    <row r="65" spans="1:17" ht="38">
      <c r="A65" s="2"/>
      <c r="B65" s="2" t="s">
        <v>171</v>
      </c>
      <c r="C65" s="2" t="s">
        <v>172</v>
      </c>
      <c r="D65" s="2" t="s">
        <v>173</v>
      </c>
      <c r="E65" s="2"/>
      <c r="F65" s="2" t="s">
        <v>32</v>
      </c>
      <c r="G65" s="2">
        <v>9</v>
      </c>
      <c r="H65" s="2">
        <v>99.2</v>
      </c>
      <c r="I65" s="2">
        <v>9415</v>
      </c>
      <c r="J65" s="2" t="s">
        <v>39</v>
      </c>
      <c r="K65" s="2">
        <v>3</v>
      </c>
      <c r="L65" s="2" t="s">
        <v>174</v>
      </c>
      <c r="Q65" s="4" t="str">
        <f ca="1">IFERROR(__xludf.DUMMYFUNCTION("TRIM(SUBSTITUTE(SUBSTITUTE(D65, index(SPLIT(D65, "" ""), COLUMNS(SPLIT(D65, "" ""))), """"), index(SPLIT(D65, "" ""), COLUMNS(SPLIT(D65, "" ""))-1), """"))"),"Іваничівська")</f>
        <v>Іваничівська</v>
      </c>
    </row>
    <row r="66" spans="1:17" ht="50.5">
      <c r="A66" s="2"/>
      <c r="B66" s="2" t="s">
        <v>171</v>
      </c>
      <c r="C66" s="2" t="s">
        <v>172</v>
      </c>
      <c r="D66" s="2" t="s">
        <v>175</v>
      </c>
      <c r="E66" s="2"/>
      <c r="F66" s="2" t="s">
        <v>20</v>
      </c>
      <c r="G66" s="2">
        <v>9</v>
      </c>
      <c r="H66" s="2">
        <v>104.2</v>
      </c>
      <c r="I66" s="2">
        <v>42227</v>
      </c>
      <c r="J66" s="2" t="s">
        <v>29</v>
      </c>
      <c r="K66" s="2">
        <v>3</v>
      </c>
      <c r="L66" s="2" t="s">
        <v>176</v>
      </c>
      <c r="Q66" s="4" t="str">
        <f ca="1">IFERROR(__xludf.DUMMYFUNCTION("TRIM(SUBSTITUTE(SUBSTITUTE(D66, index(SPLIT(D66, "" ""), COLUMNS(SPLIT(D66, "" ""))), """"), index(SPLIT(D66, "" ""), COLUMNS(SPLIT(D66, "" ""))-1), """"))"),"Володимир-Волинська")</f>
        <v>Володимир-Волинська</v>
      </c>
    </row>
    <row r="67" spans="1:17" ht="38">
      <c r="A67" s="2"/>
      <c r="B67" s="2" t="s">
        <v>171</v>
      </c>
      <c r="C67" s="2" t="s">
        <v>172</v>
      </c>
      <c r="D67" s="2" t="s">
        <v>177</v>
      </c>
      <c r="E67" s="2"/>
      <c r="F67" s="2" t="s">
        <v>28</v>
      </c>
      <c r="G67" s="2">
        <v>26</v>
      </c>
      <c r="H67" s="2">
        <v>366.3</v>
      </c>
      <c r="I67" s="2">
        <v>8121</v>
      </c>
      <c r="J67" s="2" t="s">
        <v>178</v>
      </c>
      <c r="K67" s="2">
        <v>7</v>
      </c>
      <c r="L67" s="2" t="s">
        <v>179</v>
      </c>
      <c r="Q67" s="4" t="str">
        <f ca="1">IFERROR(__xludf.DUMMYFUNCTION("TRIM(SUBSTITUTE(SUBSTITUTE(D67, index(SPLIT(D67, "" ""), COLUMNS(SPLIT(D67, "" ""))), """"), index(SPLIT(D67, "" ""), COLUMNS(SPLIT(D67, "" ""))-1), """"))"),"Затурцівська")</f>
        <v>Затурцівська</v>
      </c>
    </row>
    <row r="68" spans="1:17" ht="38">
      <c r="A68" s="2"/>
      <c r="B68" s="2" t="s">
        <v>171</v>
      </c>
      <c r="C68" s="2" t="s">
        <v>172</v>
      </c>
      <c r="D68" s="2" t="s">
        <v>180</v>
      </c>
      <c r="E68" s="2"/>
      <c r="F68" s="2" t="s">
        <v>28</v>
      </c>
      <c r="G68" s="2">
        <v>30</v>
      </c>
      <c r="H68" s="2">
        <v>309.10000000000002</v>
      </c>
      <c r="I68" s="2">
        <v>8590</v>
      </c>
      <c r="J68" s="2" t="s">
        <v>143</v>
      </c>
      <c r="K68" s="2">
        <v>7</v>
      </c>
      <c r="L68" s="2" t="s">
        <v>181</v>
      </c>
      <c r="Q68" s="4" t="str">
        <f ca="1">IFERROR(__xludf.DUMMYFUNCTION("TRIM(SUBSTITUTE(SUBSTITUTE(D68, index(SPLIT(D68, "" ""), COLUMNS(SPLIT(D68, "" ""))), """"), index(SPLIT(D68, "" ""), COLUMNS(SPLIT(D68, "" ""))-1), """"))"),"Зимнівська")</f>
        <v>Зимнівська</v>
      </c>
    </row>
    <row r="69" spans="1:17" ht="38">
      <c r="A69" s="2"/>
      <c r="B69" s="2" t="s">
        <v>171</v>
      </c>
      <c r="C69" s="2" t="s">
        <v>172</v>
      </c>
      <c r="D69" s="2" t="s">
        <v>182</v>
      </c>
      <c r="E69" s="2"/>
      <c r="F69" s="2" t="s">
        <v>28</v>
      </c>
      <c r="G69" s="2">
        <v>6</v>
      </c>
      <c r="H69" s="2">
        <v>124</v>
      </c>
      <c r="I69" s="2">
        <v>4094</v>
      </c>
      <c r="J69" s="2" t="s">
        <v>72</v>
      </c>
      <c r="K69" s="2">
        <v>4</v>
      </c>
      <c r="L69" s="2" t="s">
        <v>183</v>
      </c>
      <c r="Q69" s="4" t="str">
        <f ca="1">IFERROR(__xludf.DUMMYFUNCTION("TRIM(SUBSTITUTE(SUBSTITUTE(D69, index(SPLIT(D69, "" ""), COLUMNS(SPLIT(D69, "" ""))), """"), index(SPLIT(D69, "" ""), COLUMNS(SPLIT(D69, "" ""))-1), """"))"),"Литовезька")</f>
        <v>Литовезька</v>
      </c>
    </row>
    <row r="70" spans="1:17" ht="63">
      <c r="A70" s="2"/>
      <c r="B70" s="2" t="s">
        <v>171</v>
      </c>
      <c r="C70" s="2" t="s">
        <v>172</v>
      </c>
      <c r="D70" s="2" t="s">
        <v>184</v>
      </c>
      <c r="E70" s="2"/>
      <c r="F70" s="2" t="s">
        <v>32</v>
      </c>
      <c r="G70" s="2">
        <v>28</v>
      </c>
      <c r="H70" s="2">
        <v>344.4</v>
      </c>
      <c r="I70" s="2">
        <v>13256</v>
      </c>
      <c r="J70" s="2" t="s">
        <v>29</v>
      </c>
      <c r="K70" s="2">
        <v>13</v>
      </c>
      <c r="L70" s="2" t="s">
        <v>185</v>
      </c>
      <c r="Q70" s="4" t="str">
        <f ca="1">IFERROR(__xludf.DUMMYFUNCTION("TRIM(SUBSTITUTE(SUBSTITUTE(D70, index(SPLIT(D70, "" ""), COLUMNS(SPLIT(D70, "" ""))), """"), index(SPLIT(D70, "" ""), COLUMNS(SPLIT(D70, "" ""))-1), """"))"),"Локачинська")</f>
        <v>Локачинська</v>
      </c>
    </row>
    <row r="71" spans="1:17" ht="50.5">
      <c r="A71" s="2"/>
      <c r="B71" s="2" t="s">
        <v>171</v>
      </c>
      <c r="C71" s="2" t="s">
        <v>172</v>
      </c>
      <c r="D71" s="2" t="s">
        <v>186</v>
      </c>
      <c r="E71" s="2"/>
      <c r="F71" s="2" t="s">
        <v>20</v>
      </c>
      <c r="G71" s="2">
        <v>8</v>
      </c>
      <c r="H71" s="2">
        <v>75.2</v>
      </c>
      <c r="I71" s="2">
        <v>58182</v>
      </c>
      <c r="J71" s="2" t="s">
        <v>29</v>
      </c>
      <c r="K71" s="2">
        <v>4</v>
      </c>
      <c r="L71" s="2" t="s">
        <v>187</v>
      </c>
      <c r="Q71" s="4" t="str">
        <f ca="1">IFERROR(__xludf.DUMMYFUNCTION("TRIM(SUBSTITUTE(SUBSTITUTE(D71, index(SPLIT(D71, "" ""), COLUMNS(SPLIT(D71, "" ""))), """"), index(SPLIT(D71, "" ""), COLUMNS(SPLIT(D71, "" ""))-1), """"))"),"Нововолинська")</f>
        <v>Нововолинська</v>
      </c>
    </row>
    <row r="72" spans="1:17" ht="38">
      <c r="A72" s="2"/>
      <c r="B72" s="2" t="s">
        <v>171</v>
      </c>
      <c r="C72" s="2" t="s">
        <v>172</v>
      </c>
      <c r="D72" s="2" t="s">
        <v>188</v>
      </c>
      <c r="E72" s="2"/>
      <c r="F72" s="2" t="s">
        <v>28</v>
      </c>
      <c r="G72" s="2">
        <v>21</v>
      </c>
      <c r="H72" s="2">
        <v>355.1</v>
      </c>
      <c r="I72" s="2">
        <v>5726</v>
      </c>
      <c r="J72" s="2" t="s">
        <v>39</v>
      </c>
      <c r="K72" s="2">
        <v>6</v>
      </c>
      <c r="L72" s="2" t="s">
        <v>189</v>
      </c>
      <c r="Q72" s="4" t="str">
        <f ca="1">IFERROR(__xludf.DUMMYFUNCTION("TRIM(SUBSTITUTE(SUBSTITUTE(D72, index(SPLIT(D72, "" ""), COLUMNS(SPLIT(D72, "" ""))), """"), index(SPLIT(D72, "" ""), COLUMNS(SPLIT(D72, "" ""))-1), """"))"),"Оваднівська")</f>
        <v>Оваднівська</v>
      </c>
    </row>
    <row r="73" spans="1:17" ht="50.5">
      <c r="A73" s="2"/>
      <c r="B73" s="2" t="s">
        <v>171</v>
      </c>
      <c r="C73" s="2" t="s">
        <v>172</v>
      </c>
      <c r="D73" s="2" t="s">
        <v>190</v>
      </c>
      <c r="E73" s="2"/>
      <c r="F73" s="2" t="s">
        <v>28</v>
      </c>
      <c r="G73" s="2">
        <v>20</v>
      </c>
      <c r="H73" s="2">
        <v>254.8</v>
      </c>
      <c r="I73" s="2">
        <v>8734</v>
      </c>
      <c r="J73" s="2" t="s">
        <v>33</v>
      </c>
      <c r="K73" s="2">
        <v>11</v>
      </c>
      <c r="L73" s="2" t="s">
        <v>191</v>
      </c>
      <c r="Q73" s="4" t="str">
        <f ca="1">IFERROR(__xludf.DUMMYFUNCTION("TRIM(SUBSTITUTE(SUBSTITUTE(D73, index(SPLIT(D73, "" ""), COLUMNS(SPLIT(D73, "" ""))), """"), index(SPLIT(D73, "" ""), COLUMNS(SPLIT(D73, "" ""))-1), """"))"),"Павлівська")</f>
        <v>Павлівська</v>
      </c>
    </row>
    <row r="74" spans="1:17" ht="38">
      <c r="A74" s="2"/>
      <c r="B74" s="2" t="s">
        <v>171</v>
      </c>
      <c r="C74" s="2" t="s">
        <v>172</v>
      </c>
      <c r="D74" s="2" t="s">
        <v>192</v>
      </c>
      <c r="E74" s="2"/>
      <c r="F74" s="2" t="s">
        <v>28</v>
      </c>
      <c r="G74" s="2">
        <v>18</v>
      </c>
      <c r="H74" s="2">
        <v>108.6</v>
      </c>
      <c r="I74" s="2">
        <v>5676</v>
      </c>
      <c r="J74" s="2" t="s">
        <v>72</v>
      </c>
      <c r="K74" s="2">
        <v>4</v>
      </c>
      <c r="L74" s="2" t="s">
        <v>193</v>
      </c>
      <c r="Q74" s="4" t="str">
        <f ca="1">IFERROR(__xludf.DUMMYFUNCTION("TRIM(SUBSTITUTE(SUBSTITUTE(D74, index(SPLIT(D74, "" ""), COLUMNS(SPLIT(D74, "" ""))), """"), index(SPLIT(D74, "" ""), COLUMNS(SPLIT(D74, "" ""))-1), """"))"),"Поромівська")</f>
        <v>Поромівська</v>
      </c>
    </row>
    <row r="75" spans="1:17" ht="38">
      <c r="A75" s="2"/>
      <c r="B75" s="2" t="s">
        <v>171</v>
      </c>
      <c r="C75" s="2" t="s">
        <v>172</v>
      </c>
      <c r="D75" s="2" t="s">
        <v>194</v>
      </c>
      <c r="E75" s="2"/>
      <c r="F75" s="2" t="s">
        <v>20</v>
      </c>
      <c r="G75" s="2">
        <v>26</v>
      </c>
      <c r="H75" s="2">
        <v>415.6</v>
      </c>
      <c r="I75" s="2">
        <v>7243</v>
      </c>
      <c r="J75" s="2" t="s">
        <v>143</v>
      </c>
      <c r="K75" s="2">
        <v>8</v>
      </c>
      <c r="L75" s="2" t="s">
        <v>195</v>
      </c>
      <c r="Q75" s="4" t="str">
        <f ca="1">IFERROR(__xludf.DUMMYFUNCTION("TRIM(SUBSTITUTE(SUBSTITUTE(D75, index(SPLIT(D75, "" ""), COLUMNS(SPLIT(D75, "" ""))), """"), index(SPLIT(D75, "" ""), COLUMNS(SPLIT(D75, "" ""))-1), """"))"),"Устилузька")</f>
        <v>Устилузька</v>
      </c>
    </row>
    <row r="76" spans="1:17" ht="125.5">
      <c r="A76" s="2"/>
      <c r="B76" s="2" t="s">
        <v>171</v>
      </c>
      <c r="C76" s="2" t="s">
        <v>196</v>
      </c>
      <c r="D76" s="2" t="s">
        <v>197</v>
      </c>
      <c r="E76" s="2"/>
      <c r="F76" s="2" t="s">
        <v>20</v>
      </c>
      <c r="G76" s="2">
        <v>55</v>
      </c>
      <c r="H76" s="2">
        <v>1421.9</v>
      </c>
      <c r="I76" s="2">
        <v>55874</v>
      </c>
      <c r="J76" s="2" t="s">
        <v>29</v>
      </c>
      <c r="K76" s="2">
        <v>26</v>
      </c>
      <c r="L76" s="2" t="s">
        <v>198</v>
      </c>
      <c r="Q76" s="4" t="str">
        <f ca="1">IFERROR(__xludf.DUMMYFUNCTION("TRIM(SUBSTITUTE(SUBSTITUTE(D76, index(SPLIT(D76, "" ""), COLUMNS(SPLIT(D76, "" ""))), """"), index(SPLIT(D76, "" ""), COLUMNS(SPLIT(D76, "" ""))-1), """"))"),"Камінь-Каширська")</f>
        <v>Камінь-Каширська</v>
      </c>
    </row>
    <row r="77" spans="1:17" ht="88">
      <c r="A77" s="2"/>
      <c r="B77" s="2" t="s">
        <v>171</v>
      </c>
      <c r="C77" s="2" t="s">
        <v>196</v>
      </c>
      <c r="D77" s="2" t="s">
        <v>199</v>
      </c>
      <c r="E77" s="2"/>
      <c r="F77" s="2" t="s">
        <v>32</v>
      </c>
      <c r="G77" s="2">
        <v>41</v>
      </c>
      <c r="H77" s="2">
        <v>1239.0999999999999</v>
      </c>
      <c r="I77" s="2">
        <v>29976</v>
      </c>
      <c r="J77" s="2" t="s">
        <v>39</v>
      </c>
      <c r="K77" s="2">
        <v>18</v>
      </c>
      <c r="L77" s="2" t="s">
        <v>200</v>
      </c>
      <c r="Q77" s="4" t="str">
        <f ca="1">IFERROR(__xludf.DUMMYFUNCTION("TRIM(SUBSTITUTE(SUBSTITUTE(D77, index(SPLIT(D77, "" ""), COLUMNS(SPLIT(D77, "" ""))), """"), index(SPLIT(D77, "" ""), COLUMNS(SPLIT(D77, "" ""))-1), """"))"),"Любешівська")</f>
        <v>Любешівська</v>
      </c>
    </row>
    <row r="78" spans="1:17" ht="63">
      <c r="A78" s="2"/>
      <c r="B78" s="2" t="s">
        <v>171</v>
      </c>
      <c r="C78" s="2" t="s">
        <v>196</v>
      </c>
      <c r="D78" s="2" t="s">
        <v>201</v>
      </c>
      <c r="E78" s="2"/>
      <c r="F78" s="2" t="s">
        <v>32</v>
      </c>
      <c r="G78" s="2">
        <v>36</v>
      </c>
      <c r="H78" s="2">
        <v>1097.2</v>
      </c>
      <c r="I78" s="2">
        <v>26729</v>
      </c>
      <c r="J78" s="2" t="s">
        <v>29</v>
      </c>
      <c r="K78" s="2">
        <v>14</v>
      </c>
      <c r="L78" s="2" t="s">
        <v>202</v>
      </c>
      <c r="Q78" s="4" t="str">
        <f ca="1">IFERROR(__xludf.DUMMYFUNCTION("TRIM(SUBSTITUTE(SUBSTITUTE(D78, index(SPLIT(D78, "" ""), COLUMNS(SPLIT(D78, "" ""))), """"), index(SPLIT(D78, "" ""), COLUMNS(SPLIT(D78, "" ""))-1), """"))"),"Маневицька")</f>
        <v>Маневицька</v>
      </c>
    </row>
    <row r="79" spans="1:17" ht="50.5">
      <c r="A79" s="2"/>
      <c r="B79" s="2" t="s">
        <v>171</v>
      </c>
      <c r="C79" s="2" t="s">
        <v>196</v>
      </c>
      <c r="D79" s="2" t="s">
        <v>203</v>
      </c>
      <c r="E79" s="2"/>
      <c r="F79" s="2" t="s">
        <v>28</v>
      </c>
      <c r="G79" s="2">
        <v>11</v>
      </c>
      <c r="H79" s="2">
        <v>526.70000000000005</v>
      </c>
      <c r="I79" s="2">
        <v>8896</v>
      </c>
      <c r="J79" s="2" t="s">
        <v>72</v>
      </c>
      <c r="K79" s="2">
        <v>8</v>
      </c>
      <c r="L79" s="2" t="s">
        <v>204</v>
      </c>
      <c r="Q79" s="4" t="str">
        <f ca="1">IFERROR(__xludf.DUMMYFUNCTION("TRIM(SUBSTITUTE(SUBSTITUTE(D79, index(SPLIT(D79, "" ""), COLUMNS(SPLIT(D79, "" ""))), """"), index(SPLIT(D79, "" ""), COLUMNS(SPLIT(D79, "" ""))-1), """"))"),"Прилісненська")</f>
        <v>Прилісненська</v>
      </c>
    </row>
    <row r="80" spans="1:17" ht="50.5">
      <c r="A80" s="2"/>
      <c r="B80" s="2" t="s">
        <v>171</v>
      </c>
      <c r="C80" s="2" t="s">
        <v>196</v>
      </c>
      <c r="D80" s="2" t="s">
        <v>205</v>
      </c>
      <c r="E80" s="2"/>
      <c r="F80" s="2" t="s">
        <v>28</v>
      </c>
      <c r="G80" s="2">
        <v>12</v>
      </c>
      <c r="H80" s="2">
        <v>394.8</v>
      </c>
      <c r="I80" s="2">
        <v>9648</v>
      </c>
      <c r="J80" s="2" t="s">
        <v>163</v>
      </c>
      <c r="K80" s="2">
        <v>7</v>
      </c>
      <c r="L80" s="2" t="s">
        <v>206</v>
      </c>
      <c r="Q80" s="4" t="str">
        <f ca="1">IFERROR(__xludf.DUMMYFUNCTION("TRIM(SUBSTITUTE(SUBSTITUTE(D80, index(SPLIT(D80, "" ""), COLUMNS(SPLIT(D80, "" ""))), """"), index(SPLIT(D80, "" ""), COLUMNS(SPLIT(D80, "" ""))-1), """"))"),"Сошичненська")</f>
        <v>Сошичненська</v>
      </c>
    </row>
    <row r="81" spans="1:17" ht="50.5">
      <c r="A81" s="2"/>
      <c r="B81" s="2" t="s">
        <v>171</v>
      </c>
      <c r="C81" s="2" t="s">
        <v>207</v>
      </c>
      <c r="D81" s="2" t="s">
        <v>208</v>
      </c>
      <c r="E81" s="2"/>
      <c r="F81" s="2" t="s">
        <v>28</v>
      </c>
      <c r="G81" s="2">
        <v>4</v>
      </c>
      <c r="H81" s="2">
        <v>110.9</v>
      </c>
      <c r="I81" s="2">
        <v>3752</v>
      </c>
      <c r="J81" s="2" t="s">
        <v>39</v>
      </c>
      <c r="K81" s="2">
        <v>2</v>
      </c>
      <c r="L81" s="2" t="s">
        <v>209</v>
      </c>
      <c r="Q81" s="4" t="str">
        <f ca="1">IFERROR(__xludf.DUMMYFUNCTION("TRIM(SUBSTITUTE(SUBSTITUTE(D81, index(SPLIT(D81, "" ""), COLUMNS(SPLIT(D81, "" ""))), """"), index(SPLIT(D81, "" ""), COLUMNS(SPLIT(D81, "" ""))-1), """"))"),"Велимченська")</f>
        <v>Велимченська</v>
      </c>
    </row>
    <row r="82" spans="1:17" ht="38">
      <c r="A82" s="2"/>
      <c r="B82" s="2" t="s">
        <v>171</v>
      </c>
      <c r="C82" s="2" t="s">
        <v>207</v>
      </c>
      <c r="D82" s="2" t="s">
        <v>210</v>
      </c>
      <c r="E82" s="2"/>
      <c r="F82" s="2" t="s">
        <v>28</v>
      </c>
      <c r="G82" s="2">
        <v>12</v>
      </c>
      <c r="H82" s="2">
        <v>211.5</v>
      </c>
      <c r="I82" s="2">
        <v>4010</v>
      </c>
      <c r="J82" s="2" t="s">
        <v>143</v>
      </c>
      <c r="K82" s="2">
        <v>4</v>
      </c>
      <c r="L82" s="2" t="s">
        <v>211</v>
      </c>
      <c r="Q82" s="4" t="str">
        <f ca="1">IFERROR(__xludf.DUMMYFUNCTION("TRIM(SUBSTITUTE(SUBSTITUTE(D82, index(SPLIT(D82, "" ""), COLUMNS(SPLIT(D82, "" ""))), """"), index(SPLIT(D82, "" ""), COLUMNS(SPLIT(D82, "" ""))-1), """"))"),"Велицька")</f>
        <v>Велицька</v>
      </c>
    </row>
    <row r="83" spans="1:17" ht="38">
      <c r="A83" s="2"/>
      <c r="B83" s="2" t="s">
        <v>171</v>
      </c>
      <c r="C83" s="2" t="s">
        <v>207</v>
      </c>
      <c r="D83" s="2" t="s">
        <v>212</v>
      </c>
      <c r="E83" s="2"/>
      <c r="F83" s="2" t="s">
        <v>28</v>
      </c>
      <c r="G83" s="2">
        <v>21</v>
      </c>
      <c r="H83" s="2">
        <v>498.3</v>
      </c>
      <c r="I83" s="2">
        <v>7899</v>
      </c>
      <c r="J83" s="2" t="s">
        <v>63</v>
      </c>
      <c r="K83" s="2">
        <v>8</v>
      </c>
      <c r="L83" s="2" t="s">
        <v>213</v>
      </c>
      <c r="Q83" s="4" t="str">
        <f ca="1">IFERROR(__xludf.DUMMYFUNCTION("TRIM(SUBSTITUTE(SUBSTITUTE(D83, index(SPLIT(D83, "" ""), COLUMNS(SPLIT(D83, "" ""))), """"), index(SPLIT(D83, "" ""), COLUMNS(SPLIT(D83, "" ""))-1), """"))"),"Вишнівська")</f>
        <v>Вишнівська</v>
      </c>
    </row>
    <row r="84" spans="1:17" ht="38">
      <c r="A84" s="2"/>
      <c r="B84" s="2" t="s">
        <v>171</v>
      </c>
      <c r="C84" s="2" t="s">
        <v>207</v>
      </c>
      <c r="D84" s="2" t="s">
        <v>214</v>
      </c>
      <c r="E84" s="2"/>
      <c r="F84" s="2" t="s">
        <v>32</v>
      </c>
      <c r="G84" s="2">
        <v>23</v>
      </c>
      <c r="H84" s="2">
        <v>300.8</v>
      </c>
      <c r="I84" s="2">
        <v>8555</v>
      </c>
      <c r="J84" s="2" t="s">
        <v>143</v>
      </c>
      <c r="K84" s="2">
        <v>5</v>
      </c>
      <c r="L84" s="2" t="s">
        <v>215</v>
      </c>
      <c r="Q84" s="4" t="str">
        <f ca="1">IFERROR(__xludf.DUMMYFUNCTION("TRIM(SUBSTITUTE(SUBSTITUTE(D84, index(SPLIT(D84, "" ""), COLUMNS(SPLIT(D84, "" ""))), """"), index(SPLIT(D84, "" ""), COLUMNS(SPLIT(D84, "" ""))-1), """"))"),"Голобська")</f>
        <v>Голобська</v>
      </c>
    </row>
    <row r="85" spans="1:17" ht="38">
      <c r="A85" s="2"/>
      <c r="B85" s="2" t="s">
        <v>171</v>
      </c>
      <c r="C85" s="2" t="s">
        <v>207</v>
      </c>
      <c r="D85" s="2" t="s">
        <v>216</v>
      </c>
      <c r="E85" s="2"/>
      <c r="F85" s="2" t="s">
        <v>32</v>
      </c>
      <c r="G85" s="2">
        <v>14</v>
      </c>
      <c r="H85" s="2">
        <v>317.2</v>
      </c>
      <c r="I85" s="2">
        <v>8308</v>
      </c>
      <c r="J85" s="2" t="s">
        <v>39</v>
      </c>
      <c r="K85" s="2">
        <v>4</v>
      </c>
      <c r="L85" s="2" t="s">
        <v>217</v>
      </c>
      <c r="Q85" s="4" t="str">
        <f ca="1">IFERROR(__xludf.DUMMYFUNCTION("TRIM(SUBSTITUTE(SUBSTITUTE(D85, index(SPLIT(D85, "" ""), COLUMNS(SPLIT(D85, "" ""))), """"), index(SPLIT(D85, "" ""), COLUMNS(SPLIT(D85, "" ""))-1), """"))"),"Головненська")</f>
        <v>Головненська</v>
      </c>
    </row>
    <row r="86" spans="1:17" ht="38">
      <c r="A86" s="2"/>
      <c r="B86" s="2" t="s">
        <v>171</v>
      </c>
      <c r="C86" s="2" t="s">
        <v>207</v>
      </c>
      <c r="D86" s="2" t="s">
        <v>218</v>
      </c>
      <c r="E86" s="2"/>
      <c r="F86" s="2" t="s">
        <v>28</v>
      </c>
      <c r="G86" s="2">
        <v>10</v>
      </c>
      <c r="H86" s="2">
        <v>310.7</v>
      </c>
      <c r="I86" s="2">
        <v>9269</v>
      </c>
      <c r="J86" s="2" t="s">
        <v>39</v>
      </c>
      <c r="K86" s="2">
        <v>4</v>
      </c>
      <c r="L86" s="2" t="s">
        <v>219</v>
      </c>
      <c r="Q86" s="4" t="str">
        <f ca="1">IFERROR(__xludf.DUMMYFUNCTION("TRIM(SUBSTITUTE(SUBSTITUTE(D86, index(SPLIT(D86, "" ""), COLUMNS(SPLIT(D86, "" ""))), """"), index(SPLIT(D86, "" ""), COLUMNS(SPLIT(D86, "" ""))-1), """"))"),"Дубечненська")</f>
        <v>Дубечненська</v>
      </c>
    </row>
    <row r="87" spans="1:17" ht="38">
      <c r="A87" s="2"/>
      <c r="B87" s="2" t="s">
        <v>171</v>
      </c>
      <c r="C87" s="2" t="s">
        <v>207</v>
      </c>
      <c r="D87" s="2" t="s">
        <v>220</v>
      </c>
      <c r="E87" s="2"/>
      <c r="F87" s="2" t="s">
        <v>28</v>
      </c>
      <c r="G87" s="2">
        <v>10</v>
      </c>
      <c r="H87" s="2">
        <v>204.7</v>
      </c>
      <c r="I87" s="2">
        <v>5120</v>
      </c>
      <c r="J87" s="2" t="s">
        <v>33</v>
      </c>
      <c r="K87" s="2">
        <v>5</v>
      </c>
      <c r="L87" s="2" t="s">
        <v>221</v>
      </c>
      <c r="Q87" s="4" t="str">
        <f ca="1">IFERROR(__xludf.DUMMYFUNCTION("TRIM(SUBSTITUTE(SUBSTITUTE(D87, index(SPLIT(D87, "" ""), COLUMNS(SPLIT(D87, "" ""))), """"), index(SPLIT(D87, "" ""), COLUMNS(SPLIT(D87, "" ""))-1), """"))"),"Дубівська")</f>
        <v>Дубівська</v>
      </c>
    </row>
    <row r="88" spans="1:17" ht="50.5">
      <c r="A88" s="2"/>
      <c r="B88" s="2" t="s">
        <v>171</v>
      </c>
      <c r="C88" s="2" t="s">
        <v>207</v>
      </c>
      <c r="D88" s="2" t="s">
        <v>222</v>
      </c>
      <c r="E88" s="2"/>
      <c r="F88" s="2" t="s">
        <v>32</v>
      </c>
      <c r="G88" s="2">
        <v>4</v>
      </c>
      <c r="H88" s="2">
        <v>253.3</v>
      </c>
      <c r="I88" s="2">
        <v>9485</v>
      </c>
      <c r="J88" s="2" t="s">
        <v>33</v>
      </c>
      <c r="K88" s="2">
        <v>4</v>
      </c>
      <c r="L88" s="2" t="s">
        <v>223</v>
      </c>
      <c r="Q88" s="4" t="str">
        <f ca="1">IFERROR(__xludf.DUMMYFUNCTION("TRIM(SUBSTITUTE(SUBSTITUTE(D88, index(SPLIT(D88, "" ""), COLUMNS(SPLIT(D88, "" ""))), """"), index(SPLIT(D88, "" ""), COLUMNS(SPLIT(D88, "" ""))-1), """"))"),"Заболоттівська")</f>
        <v>Заболоттівська</v>
      </c>
    </row>
    <row r="89" spans="1:17" ht="38">
      <c r="A89" s="2"/>
      <c r="B89" s="2" t="s">
        <v>171</v>
      </c>
      <c r="C89" s="2" t="s">
        <v>207</v>
      </c>
      <c r="D89" s="2" t="s">
        <v>224</v>
      </c>
      <c r="E89" s="2"/>
      <c r="F89" s="2" t="s">
        <v>28</v>
      </c>
      <c r="G89" s="2">
        <v>18</v>
      </c>
      <c r="H89" s="2">
        <v>333.8</v>
      </c>
      <c r="I89" s="2">
        <v>10537</v>
      </c>
      <c r="J89" s="2" t="s">
        <v>63</v>
      </c>
      <c r="K89" s="2">
        <v>6</v>
      </c>
      <c r="L89" s="2" t="s">
        <v>225</v>
      </c>
      <c r="Q89" s="4" t="str">
        <f ca="1">IFERROR(__xludf.DUMMYFUNCTION("TRIM(SUBSTITUTE(SUBSTITUTE(D89, index(SPLIT(D89, "" ""), COLUMNS(SPLIT(D89, "" ""))), """"), index(SPLIT(D89, "" ""), COLUMNS(SPLIT(D89, "" ""))-1), """"))"),"Забродівська")</f>
        <v>Забродівська</v>
      </c>
    </row>
    <row r="90" spans="1:17" ht="38">
      <c r="A90" s="2"/>
      <c r="B90" s="2" t="s">
        <v>171</v>
      </c>
      <c r="C90" s="2" t="s">
        <v>207</v>
      </c>
      <c r="D90" s="2" t="s">
        <v>226</v>
      </c>
      <c r="E90" s="2"/>
      <c r="F90" s="2" t="s">
        <v>20</v>
      </c>
      <c r="G90" s="2">
        <v>15</v>
      </c>
      <c r="H90" s="2">
        <v>311.10000000000002</v>
      </c>
      <c r="I90" s="2">
        <v>73370</v>
      </c>
      <c r="J90" s="2" t="s">
        <v>29</v>
      </c>
      <c r="K90" s="2">
        <v>6</v>
      </c>
      <c r="L90" s="2" t="s">
        <v>227</v>
      </c>
      <c r="Q90" s="4" t="str">
        <f ca="1">IFERROR(__xludf.DUMMYFUNCTION("TRIM(SUBSTITUTE(SUBSTITUTE(D90, index(SPLIT(D90, "" ""), COLUMNS(SPLIT(D90, "" ""))), """"), index(SPLIT(D90, "" ""), COLUMNS(SPLIT(D90, "" ""))-1), """"))"),"Ковельська")</f>
        <v>Ковельська</v>
      </c>
    </row>
    <row r="91" spans="1:17" ht="50.5">
      <c r="A91" s="2"/>
      <c r="B91" s="2" t="s">
        <v>171</v>
      </c>
      <c r="C91" s="2" t="s">
        <v>207</v>
      </c>
      <c r="D91" s="2" t="s">
        <v>228</v>
      </c>
      <c r="E91" s="2"/>
      <c r="F91" s="2" t="s">
        <v>28</v>
      </c>
      <c r="G91" s="2">
        <v>19</v>
      </c>
      <c r="H91" s="2">
        <v>464.4</v>
      </c>
      <c r="I91" s="2">
        <v>8345</v>
      </c>
      <c r="J91" s="2" t="s">
        <v>63</v>
      </c>
      <c r="K91" s="2">
        <v>7</v>
      </c>
      <c r="L91" s="2" t="s">
        <v>229</v>
      </c>
      <c r="Q91" s="4" t="str">
        <f ca="1">IFERROR(__xludf.DUMMYFUNCTION("TRIM(SUBSTITUTE(SUBSTITUTE(D91, index(SPLIT(D91, "" ""), COLUMNS(SPLIT(D91, "" ""))), """"), index(SPLIT(D91, "" ""), COLUMNS(SPLIT(D91, "" ""))-1), """"))"),"Колодяжненська")</f>
        <v>Колодяжненська</v>
      </c>
    </row>
    <row r="92" spans="1:17" ht="38">
      <c r="A92" s="2"/>
      <c r="B92" s="2" t="s">
        <v>171</v>
      </c>
      <c r="C92" s="2" t="s">
        <v>207</v>
      </c>
      <c r="D92" s="2" t="s">
        <v>230</v>
      </c>
      <c r="E92" s="2"/>
      <c r="F92" s="2" t="s">
        <v>32</v>
      </c>
      <c r="G92" s="2">
        <v>14</v>
      </c>
      <c r="H92" s="2">
        <v>161.19999999999999</v>
      </c>
      <c r="I92" s="2">
        <v>5043</v>
      </c>
      <c r="J92" s="2" t="s">
        <v>39</v>
      </c>
      <c r="K92" s="2">
        <v>4</v>
      </c>
      <c r="L92" s="2" t="s">
        <v>231</v>
      </c>
      <c r="Q92" s="4" t="str">
        <f ca="1">IFERROR(__xludf.DUMMYFUNCTION("TRIM(SUBSTITUTE(SUBSTITUTE(D92, index(SPLIT(D92, "" ""), COLUMNS(SPLIT(D92, "" ""))), """"), index(SPLIT(D92, "" ""), COLUMNS(SPLIT(D92, "" ""))-1), """"))"),"Луківська")</f>
        <v>Луківська</v>
      </c>
    </row>
    <row r="93" spans="1:17" ht="38">
      <c r="A93" s="2"/>
      <c r="B93" s="2" t="s">
        <v>171</v>
      </c>
      <c r="C93" s="2" t="s">
        <v>207</v>
      </c>
      <c r="D93" s="2" t="s">
        <v>232</v>
      </c>
      <c r="E93" s="2"/>
      <c r="F93" s="2" t="s">
        <v>32</v>
      </c>
      <c r="G93" s="2">
        <v>9</v>
      </c>
      <c r="H93" s="2">
        <v>115</v>
      </c>
      <c r="I93" s="2">
        <v>6388</v>
      </c>
      <c r="J93" s="2" t="s">
        <v>21</v>
      </c>
      <c r="K93" s="2">
        <v>3</v>
      </c>
      <c r="L93" s="2" t="s">
        <v>233</v>
      </c>
      <c r="Q93" s="4" t="str">
        <f ca="1">IFERROR(__xludf.DUMMYFUNCTION("TRIM(SUBSTITUTE(SUBSTITUTE(D93, index(SPLIT(D93, "" ""), COLUMNS(SPLIT(D93, "" ""))), """"), index(SPLIT(D93, "" ""), COLUMNS(SPLIT(D93, "" ""))-1), """"))"),"Люблинецька")</f>
        <v>Люблинецька</v>
      </c>
    </row>
    <row r="94" spans="1:17" ht="38">
      <c r="A94" s="2"/>
      <c r="B94" s="2" t="s">
        <v>171</v>
      </c>
      <c r="C94" s="2" t="s">
        <v>207</v>
      </c>
      <c r="D94" s="2" t="s">
        <v>234</v>
      </c>
      <c r="E94" s="2"/>
      <c r="F94" s="2" t="s">
        <v>20</v>
      </c>
      <c r="G94" s="2">
        <v>15</v>
      </c>
      <c r="H94" s="2">
        <v>296.8</v>
      </c>
      <c r="I94" s="2">
        <v>15887</v>
      </c>
      <c r="J94" s="2" t="s">
        <v>39</v>
      </c>
      <c r="K94" s="2">
        <v>6</v>
      </c>
      <c r="L94" s="2" t="s">
        <v>235</v>
      </c>
      <c r="Q94" s="4" t="str">
        <f ca="1">IFERROR(__xludf.DUMMYFUNCTION("TRIM(SUBSTITUTE(SUBSTITUTE(D94, index(SPLIT(D94, "" ""), COLUMNS(SPLIT(D94, "" ""))), """"), index(SPLIT(D94, "" ""), COLUMNS(SPLIT(D94, "" ""))-1), """"))"),"Любомльська")</f>
        <v>Любомльська</v>
      </c>
    </row>
    <row r="95" spans="1:17" ht="38">
      <c r="A95" s="2"/>
      <c r="B95" s="2" t="s">
        <v>171</v>
      </c>
      <c r="C95" s="2" t="s">
        <v>207</v>
      </c>
      <c r="D95" s="2" t="s">
        <v>236</v>
      </c>
      <c r="E95" s="2"/>
      <c r="F95" s="2" t="s">
        <v>28</v>
      </c>
      <c r="G95" s="2">
        <v>11</v>
      </c>
      <c r="H95" s="2">
        <v>299.3</v>
      </c>
      <c r="I95" s="2">
        <v>4461</v>
      </c>
      <c r="J95" s="2" t="s">
        <v>72</v>
      </c>
      <c r="K95" s="2">
        <v>4</v>
      </c>
      <c r="L95" s="2" t="s">
        <v>237</v>
      </c>
      <c r="Q95" s="4" t="str">
        <f ca="1">IFERROR(__xludf.DUMMYFUNCTION("TRIM(SUBSTITUTE(SUBSTITUTE(D95, index(SPLIT(D95, "" ""), COLUMNS(SPLIT(D95, "" ""))), """"), index(SPLIT(D95, "" ""), COLUMNS(SPLIT(D95, "" ""))-1), """"))"),"Поворська")</f>
        <v>Поворська</v>
      </c>
    </row>
    <row r="96" spans="1:17" ht="38">
      <c r="A96" s="2"/>
      <c r="B96" s="2" t="s">
        <v>171</v>
      </c>
      <c r="C96" s="2" t="s">
        <v>207</v>
      </c>
      <c r="D96" s="2" t="s">
        <v>238</v>
      </c>
      <c r="E96" s="2"/>
      <c r="F96" s="2" t="s">
        <v>32</v>
      </c>
      <c r="G96" s="2">
        <v>24</v>
      </c>
      <c r="H96" s="2">
        <v>481.2</v>
      </c>
      <c r="I96" s="2">
        <v>22317</v>
      </c>
      <c r="J96" s="2" t="s">
        <v>29</v>
      </c>
      <c r="K96" s="2">
        <v>8</v>
      </c>
      <c r="L96" s="2" t="s">
        <v>239</v>
      </c>
      <c r="Q96" s="4" t="str">
        <f ca="1">IFERROR(__xludf.DUMMYFUNCTION("TRIM(SUBSTITUTE(SUBSTITUTE(D96, index(SPLIT(D96, "" ""), COLUMNS(SPLIT(D96, "" ""))), """"), index(SPLIT(D96, "" ""), COLUMNS(SPLIT(D96, "" ""))-1), """"))"),"Ратнівська")</f>
        <v>Ратнівська</v>
      </c>
    </row>
    <row r="97" spans="1:17" ht="38">
      <c r="A97" s="2"/>
      <c r="B97" s="2" t="s">
        <v>171</v>
      </c>
      <c r="C97" s="2" t="s">
        <v>207</v>
      </c>
      <c r="D97" s="2" t="s">
        <v>240</v>
      </c>
      <c r="E97" s="2"/>
      <c r="F97" s="2" t="s">
        <v>28</v>
      </c>
      <c r="G97" s="2">
        <v>17</v>
      </c>
      <c r="H97" s="2">
        <v>333.5</v>
      </c>
      <c r="I97" s="2">
        <v>5475</v>
      </c>
      <c r="J97" s="2" t="s">
        <v>39</v>
      </c>
      <c r="K97" s="2">
        <v>5</v>
      </c>
      <c r="L97" s="2" t="s">
        <v>241</v>
      </c>
      <c r="Q97" s="4" t="str">
        <f ca="1">IFERROR(__xludf.DUMMYFUNCTION("TRIM(SUBSTITUTE(SUBSTITUTE(D97, index(SPLIT(D97, "" ""), COLUMNS(SPLIT(D97, "" ""))), """"), index(SPLIT(D97, "" ""), COLUMNS(SPLIT(D97, "" ""))-1), """"))"),"Рівненська")</f>
        <v>Рівненська</v>
      </c>
    </row>
    <row r="98" spans="1:17" ht="38">
      <c r="A98" s="2"/>
      <c r="B98" s="2" t="s">
        <v>171</v>
      </c>
      <c r="C98" s="2" t="s">
        <v>207</v>
      </c>
      <c r="D98" s="2" t="s">
        <v>242</v>
      </c>
      <c r="E98" s="2"/>
      <c r="F98" s="2" t="s">
        <v>28</v>
      </c>
      <c r="G98" s="2">
        <v>19</v>
      </c>
      <c r="H98" s="2">
        <v>256.8</v>
      </c>
      <c r="I98" s="2">
        <v>5460</v>
      </c>
      <c r="J98" s="2" t="s">
        <v>63</v>
      </c>
      <c r="K98" s="2">
        <v>4</v>
      </c>
      <c r="L98" s="2" t="s">
        <v>243</v>
      </c>
      <c r="Q98" s="4" t="str">
        <f ca="1">IFERROR(__xludf.DUMMYFUNCTION("TRIM(SUBSTITUTE(SUBSTITUTE(D98, index(SPLIT(D98, "" ""), COLUMNS(SPLIT(D98, "" ""))), """"), index(SPLIT(D98, "" ""), COLUMNS(SPLIT(D98, "" ""))-1), """"))"),"Самарівська")</f>
        <v>Самарівська</v>
      </c>
    </row>
    <row r="99" spans="1:17" ht="50.5">
      <c r="A99" s="2"/>
      <c r="B99" s="2" t="s">
        <v>171</v>
      </c>
      <c r="C99" s="2" t="s">
        <v>207</v>
      </c>
      <c r="D99" s="2" t="s">
        <v>244</v>
      </c>
      <c r="E99" s="2"/>
      <c r="F99" s="2" t="s">
        <v>28</v>
      </c>
      <c r="G99" s="2">
        <v>11</v>
      </c>
      <c r="H99" s="2">
        <v>167.6</v>
      </c>
      <c r="I99" s="2">
        <v>3218</v>
      </c>
      <c r="J99" s="2" t="s">
        <v>39</v>
      </c>
      <c r="K99" s="2">
        <v>4</v>
      </c>
      <c r="L99" s="2" t="s">
        <v>245</v>
      </c>
      <c r="Q99" s="4" t="str">
        <f ca="1">IFERROR(__xludf.DUMMYFUNCTION("TRIM(SUBSTITUTE(SUBSTITUTE(D99, index(SPLIT(D99, "" ""), COLUMNS(SPLIT(D99, "" ""))), """"), index(SPLIT(D99, "" ""), COLUMNS(SPLIT(D99, "" ""))-1), """"))"),"Сереховичівська")</f>
        <v>Сереховичівська</v>
      </c>
    </row>
    <row r="100" spans="1:17" ht="38">
      <c r="A100" s="2"/>
      <c r="B100" s="2" t="s">
        <v>171</v>
      </c>
      <c r="C100" s="2" t="s">
        <v>207</v>
      </c>
      <c r="D100" s="2" t="s">
        <v>246</v>
      </c>
      <c r="E100" s="2"/>
      <c r="F100" s="2" t="s">
        <v>28</v>
      </c>
      <c r="G100" s="2">
        <v>10</v>
      </c>
      <c r="H100" s="2">
        <v>227.2</v>
      </c>
      <c r="I100" s="2">
        <v>4277</v>
      </c>
      <c r="J100" s="2" t="s">
        <v>39</v>
      </c>
      <c r="K100" s="2">
        <v>4</v>
      </c>
      <c r="L100" s="2" t="s">
        <v>247</v>
      </c>
      <c r="Q100" s="4" t="str">
        <f ca="1">IFERROR(__xludf.DUMMYFUNCTION("TRIM(SUBSTITUTE(SUBSTITUTE(D100, index(SPLIT(D100, "" ""), COLUMNS(SPLIT(D100, "" ""))), """"), index(SPLIT(D100, "" ""), COLUMNS(SPLIT(D100, "" ""))-1), """"))"),"Смідинська")</f>
        <v>Смідинська</v>
      </c>
    </row>
    <row r="101" spans="1:17" ht="50.5">
      <c r="A101" s="2"/>
      <c r="B101" s="2" t="s">
        <v>171</v>
      </c>
      <c r="C101" s="2" t="s">
        <v>207</v>
      </c>
      <c r="D101" s="2" t="s">
        <v>248</v>
      </c>
      <c r="E101" s="2"/>
      <c r="F101" s="2" t="s">
        <v>32</v>
      </c>
      <c r="G101" s="2">
        <v>17</v>
      </c>
      <c r="H101" s="2">
        <v>373.3</v>
      </c>
      <c r="I101" s="2">
        <v>11973</v>
      </c>
      <c r="J101" s="2" t="s">
        <v>249</v>
      </c>
      <c r="K101" s="2">
        <v>7</v>
      </c>
      <c r="L101" s="2" t="s">
        <v>250</v>
      </c>
      <c r="Q101" s="4" t="str">
        <f ca="1">IFERROR(__xludf.DUMMYFUNCTION("TRIM(SUBSTITUTE(SUBSTITUTE(D101, index(SPLIT(D101, "" ""), COLUMNS(SPLIT(D101, "" ""))), """"), index(SPLIT(D101, "" ""), COLUMNS(SPLIT(D101, "" ""))-1), """"))"),"Старовижівська")</f>
        <v>Старовижівська</v>
      </c>
    </row>
    <row r="102" spans="1:17" ht="63">
      <c r="A102" s="2"/>
      <c r="B102" s="2" t="s">
        <v>171</v>
      </c>
      <c r="C102" s="2" t="s">
        <v>207</v>
      </c>
      <c r="D102" s="2" t="s">
        <v>251</v>
      </c>
      <c r="E102" s="2"/>
      <c r="F102" s="2" t="s">
        <v>32</v>
      </c>
      <c r="G102" s="2">
        <v>52</v>
      </c>
      <c r="H102" s="2">
        <v>869</v>
      </c>
      <c r="I102" s="2">
        <v>18451</v>
      </c>
      <c r="J102" s="2" t="s">
        <v>39</v>
      </c>
      <c r="K102" s="2">
        <v>15</v>
      </c>
      <c r="L102" s="2" t="s">
        <v>252</v>
      </c>
      <c r="Q102" s="4" t="str">
        <f ca="1">IFERROR(__xludf.DUMMYFUNCTION("TRIM(SUBSTITUTE(SUBSTITUTE(D102, index(SPLIT(D102, "" ""), COLUMNS(SPLIT(D102, "" ""))), """"), index(SPLIT(D102, "" ""), COLUMNS(SPLIT(D102, "" ""))-1), """"))"),"Турійська")</f>
        <v>Турійська</v>
      </c>
    </row>
    <row r="103" spans="1:17" ht="38">
      <c r="A103" s="2"/>
      <c r="B103" s="2" t="s">
        <v>171</v>
      </c>
      <c r="C103" s="2" t="s">
        <v>207</v>
      </c>
      <c r="D103" s="2" t="s">
        <v>253</v>
      </c>
      <c r="E103" s="2"/>
      <c r="F103" s="2" t="s">
        <v>32</v>
      </c>
      <c r="G103" s="2">
        <v>31</v>
      </c>
      <c r="H103" s="2">
        <v>761.1</v>
      </c>
      <c r="I103" s="2">
        <v>16482</v>
      </c>
      <c r="J103" s="2" t="s">
        <v>254</v>
      </c>
      <c r="K103" s="2">
        <v>9</v>
      </c>
      <c r="L103" s="2" t="s">
        <v>255</v>
      </c>
      <c r="Q103" s="4" t="str">
        <f ca="1">IFERROR(__xludf.DUMMYFUNCTION("TRIM(SUBSTITUTE(SUBSTITUTE(D103, index(SPLIT(D103, "" ""), COLUMNS(SPLIT(D103, "" ""))), """"), index(SPLIT(D103, "" ""), COLUMNS(SPLIT(D103, "" ""))-1), """"))"),"Шацька")</f>
        <v>Шацька</v>
      </c>
    </row>
    <row r="104" spans="1:17" ht="50.5">
      <c r="A104" s="2"/>
      <c r="B104" s="2" t="s">
        <v>171</v>
      </c>
      <c r="C104" s="2" t="s">
        <v>256</v>
      </c>
      <c r="D104" s="2" t="s">
        <v>257</v>
      </c>
      <c r="E104" s="2"/>
      <c r="F104" s="2" t="s">
        <v>20</v>
      </c>
      <c r="G104" s="2">
        <v>21</v>
      </c>
      <c r="H104" s="2">
        <v>223.2</v>
      </c>
      <c r="I104" s="2">
        <v>9312</v>
      </c>
      <c r="J104" s="2" t="s">
        <v>29</v>
      </c>
      <c r="K104" s="2">
        <v>7</v>
      </c>
      <c r="L104" s="2" t="s">
        <v>258</v>
      </c>
      <c r="Q104" s="4" t="str">
        <f ca="1">IFERROR(__xludf.DUMMYFUNCTION("TRIM(SUBSTITUTE(SUBSTITUTE(D104, index(SPLIT(D104, "" ""), COLUMNS(SPLIT(D104, "" ""))), """"), index(SPLIT(D104, "" ""), COLUMNS(SPLIT(D104, "" ""))-1), """"))"),"Берестечківська")</f>
        <v>Берестечківська</v>
      </c>
    </row>
    <row r="105" spans="1:17" ht="38">
      <c r="A105" s="2"/>
      <c r="B105" s="2" t="s">
        <v>171</v>
      </c>
      <c r="C105" s="2" t="s">
        <v>256</v>
      </c>
      <c r="D105" s="2" t="s">
        <v>259</v>
      </c>
      <c r="E105" s="2"/>
      <c r="F105" s="2" t="s">
        <v>28</v>
      </c>
      <c r="G105" s="2">
        <v>24</v>
      </c>
      <c r="H105" s="2">
        <v>282.7</v>
      </c>
      <c r="I105" s="2">
        <v>18666</v>
      </c>
      <c r="J105" s="2" t="s">
        <v>39</v>
      </c>
      <c r="K105" s="2">
        <v>9</v>
      </c>
      <c r="L105" s="2" t="s">
        <v>260</v>
      </c>
      <c r="Q105" s="4" t="str">
        <f ca="1">IFERROR(__xludf.DUMMYFUNCTION("TRIM(SUBSTITUTE(SUBSTITUTE(D105, index(SPLIT(D105, "" ""), COLUMNS(SPLIT(D105, "" ""))), """"), index(SPLIT(D105, "" ""), COLUMNS(SPLIT(D105, "" ""))-1), """"))"),"Боратинська")</f>
        <v>Боратинська</v>
      </c>
    </row>
    <row r="106" spans="1:17" ht="50.5">
      <c r="A106" s="2"/>
      <c r="B106" s="2" t="s">
        <v>171</v>
      </c>
      <c r="C106" s="2" t="s">
        <v>256</v>
      </c>
      <c r="D106" s="2" t="s">
        <v>261</v>
      </c>
      <c r="E106" s="2"/>
      <c r="F106" s="2" t="s">
        <v>28</v>
      </c>
      <c r="G106" s="2">
        <v>21</v>
      </c>
      <c r="H106" s="2">
        <v>234.7</v>
      </c>
      <c r="I106" s="2">
        <v>8994</v>
      </c>
      <c r="J106" s="2" t="s">
        <v>39</v>
      </c>
      <c r="K106" s="2">
        <v>11</v>
      </c>
      <c r="L106" s="2" t="s">
        <v>262</v>
      </c>
      <c r="Q106" s="4" t="str">
        <f ca="1">IFERROR(__xludf.DUMMYFUNCTION("TRIM(SUBSTITUTE(SUBSTITUTE(D106, index(SPLIT(D106, "" ""), COLUMNS(SPLIT(D106, "" ""))), """"), index(SPLIT(D106, "" ""), COLUMNS(SPLIT(D106, "" ""))-1), """"))"),"Городищенська")</f>
        <v>Городищенська</v>
      </c>
    </row>
    <row r="107" spans="1:17" ht="88">
      <c r="A107" s="2"/>
      <c r="B107" s="2" t="s">
        <v>171</v>
      </c>
      <c r="C107" s="2" t="s">
        <v>256</v>
      </c>
      <c r="D107" s="2" t="s">
        <v>263</v>
      </c>
      <c r="E107" s="2"/>
      <c r="F107" s="2" t="s">
        <v>20</v>
      </c>
      <c r="G107" s="2">
        <v>41</v>
      </c>
      <c r="H107" s="2">
        <v>494.9</v>
      </c>
      <c r="I107" s="2">
        <v>25147</v>
      </c>
      <c r="J107" s="2" t="s">
        <v>29</v>
      </c>
      <c r="K107" s="2">
        <v>18</v>
      </c>
      <c r="L107" s="2" t="s">
        <v>264</v>
      </c>
      <c r="Q107" s="4" t="str">
        <f ca="1">IFERROR(__xludf.DUMMYFUNCTION("TRIM(SUBSTITUTE(SUBSTITUTE(D107, index(SPLIT(D107, "" ""), COLUMNS(SPLIT(D107, "" ""))), """"), index(SPLIT(D107, "" ""), COLUMNS(SPLIT(D107, "" ""))-1), """"))"),"Горохівська")</f>
        <v>Горохівська</v>
      </c>
    </row>
    <row r="108" spans="1:17" ht="50.5">
      <c r="A108" s="2"/>
      <c r="B108" s="2" t="s">
        <v>171</v>
      </c>
      <c r="C108" s="2" t="s">
        <v>256</v>
      </c>
      <c r="D108" s="2" t="s">
        <v>265</v>
      </c>
      <c r="E108" s="2"/>
      <c r="F108" s="2" t="s">
        <v>28</v>
      </c>
      <c r="G108" s="2">
        <v>13</v>
      </c>
      <c r="H108" s="2">
        <v>234.7</v>
      </c>
      <c r="I108" s="2">
        <v>5676</v>
      </c>
      <c r="J108" s="2" t="s">
        <v>163</v>
      </c>
      <c r="K108" s="2">
        <v>7</v>
      </c>
      <c r="L108" s="2" t="s">
        <v>266</v>
      </c>
      <c r="Q108" s="4" t="str">
        <f ca="1">IFERROR(__xludf.DUMMYFUNCTION("TRIM(SUBSTITUTE(SUBSTITUTE(D108, index(SPLIT(D108, "" ""), COLUMNS(SPLIT(D108, "" ""))), """"), index(SPLIT(D108, "" ""), COLUMNS(SPLIT(D108, "" ""))-1), """"))"),"Доросинівська")</f>
        <v>Доросинівська</v>
      </c>
    </row>
    <row r="109" spans="1:17" ht="63">
      <c r="A109" s="2"/>
      <c r="B109" s="2" t="s">
        <v>171</v>
      </c>
      <c r="C109" s="2" t="s">
        <v>256</v>
      </c>
      <c r="D109" s="2" t="s">
        <v>267</v>
      </c>
      <c r="E109" s="2"/>
      <c r="F109" s="2" t="s">
        <v>32</v>
      </c>
      <c r="G109" s="2">
        <v>28</v>
      </c>
      <c r="H109" s="2">
        <v>763.5</v>
      </c>
      <c r="I109" s="2">
        <v>20762</v>
      </c>
      <c r="J109" s="2" t="s">
        <v>39</v>
      </c>
      <c r="K109" s="2">
        <v>12</v>
      </c>
      <c r="L109" s="2" t="s">
        <v>268</v>
      </c>
      <c r="Q109" s="4" t="str">
        <f ca="1">IFERROR(__xludf.DUMMYFUNCTION("TRIM(SUBSTITUTE(SUBSTITUTE(D109, index(SPLIT(D109, "" ""), COLUMNS(SPLIT(D109, "" ""))), """"), index(SPLIT(D109, "" ""), COLUMNS(SPLIT(D109, "" ""))-1), """"))"),"Колківська")</f>
        <v>Колківська</v>
      </c>
    </row>
    <row r="110" spans="1:17" ht="38">
      <c r="A110" s="2"/>
      <c r="B110" s="2" t="s">
        <v>171</v>
      </c>
      <c r="C110" s="2" t="s">
        <v>256</v>
      </c>
      <c r="D110" s="2" t="s">
        <v>269</v>
      </c>
      <c r="E110" s="2"/>
      <c r="F110" s="2" t="s">
        <v>28</v>
      </c>
      <c r="G110" s="2">
        <v>14</v>
      </c>
      <c r="H110" s="2">
        <v>178.4</v>
      </c>
      <c r="I110" s="2">
        <v>5178</v>
      </c>
      <c r="J110" s="2" t="s">
        <v>39</v>
      </c>
      <c r="K110" s="2">
        <v>6</v>
      </c>
      <c r="L110" s="2" t="s">
        <v>270</v>
      </c>
      <c r="Q110" s="4" t="str">
        <f ca="1">IFERROR(__xludf.DUMMYFUNCTION("TRIM(SUBSTITUTE(SUBSTITUTE(D110, index(SPLIT(D110, "" ""), COLUMNS(SPLIT(D110, "" ""))), """"), index(SPLIT(D110, "" ""), COLUMNS(SPLIT(D110, "" ""))-1), """"))"),"Копачівська")</f>
        <v>Копачівська</v>
      </c>
    </row>
    <row r="111" spans="1:17" ht="38">
      <c r="A111" s="2"/>
      <c r="B111" s="2" t="s">
        <v>171</v>
      </c>
      <c r="C111" s="2" t="s">
        <v>256</v>
      </c>
      <c r="D111" s="2" t="s">
        <v>271</v>
      </c>
      <c r="E111" s="2"/>
      <c r="F111" s="2" t="s">
        <v>20</v>
      </c>
      <c r="G111" s="2">
        <v>24</v>
      </c>
      <c r="H111" s="2">
        <v>473.9</v>
      </c>
      <c r="I111" s="2">
        <v>23442</v>
      </c>
      <c r="J111" s="2" t="s">
        <v>249</v>
      </c>
      <c r="K111" s="2">
        <v>8</v>
      </c>
      <c r="L111" s="2" t="s">
        <v>272</v>
      </c>
      <c r="Q111" s="4" t="str">
        <f ca="1">IFERROR(__xludf.DUMMYFUNCTION("TRIM(SUBSTITUTE(SUBSTITUTE(D111, index(SPLIT(D111, "" ""), COLUMNS(SPLIT(D111, "" ""))), """"), index(SPLIT(D111, "" ""), COLUMNS(SPLIT(D111, "" ""))-1), """"))"),"Ківерцівська")</f>
        <v>Ківерцівська</v>
      </c>
    </row>
    <row r="112" spans="1:17" ht="50.5">
      <c r="A112" s="2"/>
      <c r="B112" s="2" t="s">
        <v>171</v>
      </c>
      <c r="C112" s="2" t="s">
        <v>256</v>
      </c>
      <c r="D112" s="2" t="s">
        <v>273</v>
      </c>
      <c r="E112" s="2"/>
      <c r="F112" s="2" t="s">
        <v>20</v>
      </c>
      <c r="G112" s="2">
        <v>36</v>
      </c>
      <c r="H112" s="2">
        <v>383.1</v>
      </c>
      <c r="I112" s="2">
        <v>240292</v>
      </c>
      <c r="J112" s="2" t="s">
        <v>29</v>
      </c>
      <c r="K112" s="2">
        <v>12</v>
      </c>
      <c r="L112" s="2" t="s">
        <v>274</v>
      </c>
      <c r="Q112" s="4" t="str">
        <f ca="1">IFERROR(__xludf.DUMMYFUNCTION("TRIM(SUBSTITUTE(SUBSTITUTE(D112, index(SPLIT(D112, "" ""), COLUMNS(SPLIT(D112, "" ""))), """"), index(SPLIT(D112, "" ""), COLUMNS(SPLIT(D112, "" ""))-1), """"))"),"Луцька")</f>
        <v>Луцька</v>
      </c>
    </row>
    <row r="113" spans="1:17" ht="38">
      <c r="A113" s="2"/>
      <c r="B113" s="2" t="s">
        <v>171</v>
      </c>
      <c r="C113" s="2" t="s">
        <v>256</v>
      </c>
      <c r="D113" s="2" t="s">
        <v>275</v>
      </c>
      <c r="E113" s="2"/>
      <c r="F113" s="2" t="s">
        <v>32</v>
      </c>
      <c r="G113" s="2">
        <v>15</v>
      </c>
      <c r="H113" s="2">
        <v>229.7</v>
      </c>
      <c r="I113" s="2">
        <v>9519</v>
      </c>
      <c r="J113" s="2" t="s">
        <v>46</v>
      </c>
      <c r="K113" s="2">
        <v>6</v>
      </c>
      <c r="L113" s="2" t="s">
        <v>276</v>
      </c>
      <c r="Q113" s="4" t="str">
        <f ca="1">IFERROR(__xludf.DUMMYFUNCTION("TRIM(SUBSTITUTE(SUBSTITUTE(D113, index(SPLIT(D113, "" ""), COLUMNS(SPLIT(D113, "" ""))), """"), index(SPLIT(D113, "" ""), COLUMNS(SPLIT(D113, "" ""))-1), """"))"),"Мар'янівська")</f>
        <v>Мар'янівська</v>
      </c>
    </row>
    <row r="114" spans="1:17" ht="38">
      <c r="A114" s="2"/>
      <c r="B114" s="2" t="s">
        <v>171</v>
      </c>
      <c r="C114" s="2" t="s">
        <v>256</v>
      </c>
      <c r="D114" s="2" t="s">
        <v>277</v>
      </c>
      <c r="E114" s="2"/>
      <c r="F114" s="2" t="s">
        <v>32</v>
      </c>
      <c r="G114" s="2">
        <v>17</v>
      </c>
      <c r="H114" s="2">
        <v>270</v>
      </c>
      <c r="I114" s="2">
        <v>11810</v>
      </c>
      <c r="J114" s="2" t="s">
        <v>29</v>
      </c>
      <c r="K114" s="2">
        <v>5</v>
      </c>
      <c r="L114" s="2" t="s">
        <v>278</v>
      </c>
      <c r="Q114" s="4" t="str">
        <f ca="1">IFERROR(__xludf.DUMMYFUNCTION("TRIM(SUBSTITUTE(SUBSTITUTE(D114, index(SPLIT(D114, "" ""), COLUMNS(SPLIT(D114, "" ""))), """"), index(SPLIT(D114, "" ""), COLUMNS(SPLIT(D114, "" ""))-1), """"))"),"Олицька")</f>
        <v>Олицька</v>
      </c>
    </row>
    <row r="115" spans="1:17" ht="38">
      <c r="A115" s="2"/>
      <c r="B115" s="2" t="s">
        <v>171</v>
      </c>
      <c r="C115" s="2" t="s">
        <v>256</v>
      </c>
      <c r="D115" s="2" t="s">
        <v>279</v>
      </c>
      <c r="E115" s="2"/>
      <c r="F115" s="2" t="s">
        <v>28</v>
      </c>
      <c r="G115" s="2">
        <v>20</v>
      </c>
      <c r="H115" s="2">
        <v>285</v>
      </c>
      <c r="I115" s="2">
        <v>20573</v>
      </c>
      <c r="J115" s="2" t="s">
        <v>249</v>
      </c>
      <c r="K115" s="2">
        <v>8</v>
      </c>
      <c r="L115" s="2" t="s">
        <v>280</v>
      </c>
      <c r="Q115" s="4" t="str">
        <f ca="1">IFERROR(__xludf.DUMMYFUNCTION("TRIM(SUBSTITUTE(SUBSTITUTE(D115, index(SPLIT(D115, "" ""), COLUMNS(SPLIT(D115, "" ""))), """"), index(SPLIT(D115, "" ""), COLUMNS(SPLIT(D115, "" ""))-1), """"))"),"Підгайцівська")</f>
        <v>Підгайцівська</v>
      </c>
    </row>
    <row r="116" spans="1:17" ht="63">
      <c r="A116" s="2"/>
      <c r="B116" s="2" t="s">
        <v>171</v>
      </c>
      <c r="C116" s="2" t="s">
        <v>256</v>
      </c>
      <c r="D116" s="2" t="s">
        <v>281</v>
      </c>
      <c r="E116" s="2"/>
      <c r="F116" s="2" t="s">
        <v>20</v>
      </c>
      <c r="G116" s="2">
        <v>37</v>
      </c>
      <c r="H116" s="2">
        <v>461.5</v>
      </c>
      <c r="I116" s="2">
        <v>26368</v>
      </c>
      <c r="J116" s="2" t="s">
        <v>29</v>
      </c>
      <c r="K116" s="2">
        <v>15</v>
      </c>
      <c r="L116" s="2" t="s">
        <v>282</v>
      </c>
      <c r="Q116" s="4" t="str">
        <f ca="1">IFERROR(__xludf.DUMMYFUNCTION("TRIM(SUBSTITUTE(SUBSTITUTE(D116, index(SPLIT(D116, "" ""), COLUMNS(SPLIT(D116, "" ""))), """"), index(SPLIT(D116, "" ""), COLUMNS(SPLIT(D116, "" ""))-1), """"))"),"Рожищенська")</f>
        <v>Рожищенська</v>
      </c>
    </row>
    <row r="117" spans="1:17" ht="50.5">
      <c r="A117" s="2"/>
      <c r="B117" s="2" t="s">
        <v>171</v>
      </c>
      <c r="C117" s="2" t="s">
        <v>256</v>
      </c>
      <c r="D117" s="2" t="s">
        <v>283</v>
      </c>
      <c r="E117" s="2"/>
      <c r="F117" s="2" t="s">
        <v>32</v>
      </c>
      <c r="G117" s="2">
        <v>24</v>
      </c>
      <c r="H117" s="2">
        <v>286.8</v>
      </c>
      <c r="I117" s="2">
        <v>13534</v>
      </c>
      <c r="J117" s="2" t="s">
        <v>93</v>
      </c>
      <c r="K117" s="2">
        <v>10</v>
      </c>
      <c r="L117" s="2" t="s">
        <v>284</v>
      </c>
      <c r="Q117" s="4" t="str">
        <f ca="1">IFERROR(__xludf.DUMMYFUNCTION("TRIM(SUBSTITUTE(SUBSTITUTE(D117, index(SPLIT(D117, "" ""), COLUMNS(SPLIT(D117, "" ""))), """"), index(SPLIT(D117, "" ""), COLUMNS(SPLIT(D117, "" ""))-1), """"))"),"Торчинська")</f>
        <v>Торчинська</v>
      </c>
    </row>
    <row r="118" spans="1:17" ht="38">
      <c r="A118" s="2"/>
      <c r="B118" s="2" t="s">
        <v>171</v>
      </c>
      <c r="C118" s="2" t="s">
        <v>256</v>
      </c>
      <c r="D118" s="2" t="s">
        <v>285</v>
      </c>
      <c r="E118" s="2"/>
      <c r="F118" s="2" t="s">
        <v>32</v>
      </c>
      <c r="G118" s="2">
        <v>16</v>
      </c>
      <c r="H118" s="2">
        <v>447</v>
      </c>
      <c r="I118" s="2">
        <v>17655</v>
      </c>
      <c r="J118" s="2" t="s">
        <v>39</v>
      </c>
      <c r="K118" s="2">
        <v>8</v>
      </c>
      <c r="L118" s="2" t="s">
        <v>286</v>
      </c>
      <c r="Q118" s="4" t="str">
        <f ca="1">IFERROR(__xludf.DUMMYFUNCTION("TRIM(SUBSTITUTE(SUBSTITUTE(D118, index(SPLIT(D118, "" ""), COLUMNS(SPLIT(D118, "" ""))), """"), index(SPLIT(D118, "" ""), COLUMNS(SPLIT(D118, "" ""))-1), """"))"),"Цуманська")</f>
        <v>Цуманська</v>
      </c>
    </row>
    <row r="119" spans="1:17" ht="50.5">
      <c r="A119" s="2"/>
      <c r="B119" s="2" t="s">
        <v>287</v>
      </c>
      <c r="C119" s="2" t="s">
        <v>288</v>
      </c>
      <c r="D119" s="2" t="s">
        <v>289</v>
      </c>
      <c r="E119" s="2"/>
      <c r="F119" s="2" t="s">
        <v>20</v>
      </c>
      <c r="G119" s="2">
        <v>2</v>
      </c>
      <c r="H119" s="2">
        <v>406</v>
      </c>
      <c r="I119" s="2">
        <v>983515</v>
      </c>
      <c r="J119" s="2" t="s">
        <v>29</v>
      </c>
      <c r="K119" s="2">
        <v>8</v>
      </c>
      <c r="L119" s="2" t="s">
        <v>290</v>
      </c>
      <c r="Q119" s="4" t="str">
        <f ca="1">IFERROR(__xludf.DUMMYFUNCTION("TRIM(SUBSTITUTE(SUBSTITUTE(D119, index(SPLIT(D119, "" ""), COLUMNS(SPLIT(D119, "" ""))), """"), index(SPLIT(D119, "" ""), COLUMNS(SPLIT(D119, "" ""))-1), """"))"),"Дніпровська")</f>
        <v>Дніпровська</v>
      </c>
    </row>
    <row r="120" spans="1:17" ht="50.5">
      <c r="A120" s="2"/>
      <c r="B120" s="2" t="s">
        <v>287</v>
      </c>
      <c r="C120" s="2" t="s">
        <v>288</v>
      </c>
      <c r="D120" s="2" t="s">
        <v>291</v>
      </c>
      <c r="E120" s="2"/>
      <c r="F120" s="2" t="s">
        <v>28</v>
      </c>
      <c r="G120" s="2">
        <v>5</v>
      </c>
      <c r="H120" s="2">
        <v>96.1</v>
      </c>
      <c r="I120" s="2">
        <v>3217</v>
      </c>
      <c r="J120" s="2" t="s">
        <v>39</v>
      </c>
      <c r="K120" s="2">
        <v>2</v>
      </c>
      <c r="L120" s="2" t="s">
        <v>292</v>
      </c>
      <c r="Q120" s="4" t="str">
        <f ca="1">IFERROR(__xludf.DUMMYFUNCTION("TRIM(SUBSTITUTE(SUBSTITUTE(D120, index(SPLIT(D120, "" ""), COLUMNS(SPLIT(D120, "" ""))), """"), index(SPLIT(D120, "" ""), COLUMNS(SPLIT(D120, "" ""))-1), """"))"),"Китайгородська")</f>
        <v>Китайгородська</v>
      </c>
    </row>
    <row r="121" spans="1:17" ht="38">
      <c r="A121" s="2"/>
      <c r="B121" s="2" t="s">
        <v>287</v>
      </c>
      <c r="C121" s="2" t="s">
        <v>288</v>
      </c>
      <c r="D121" s="2" t="s">
        <v>293</v>
      </c>
      <c r="E121" s="2"/>
      <c r="F121" s="2" t="s">
        <v>28</v>
      </c>
      <c r="G121" s="2">
        <v>6</v>
      </c>
      <c r="H121" s="2">
        <v>148.5</v>
      </c>
      <c r="I121" s="2">
        <v>3615</v>
      </c>
      <c r="J121" s="2" t="s">
        <v>39</v>
      </c>
      <c r="K121" s="2">
        <v>2</v>
      </c>
      <c r="L121" s="2" t="s">
        <v>294</v>
      </c>
      <c r="Q121" s="4" t="str">
        <f ca="1">IFERROR(__xludf.DUMMYFUNCTION("TRIM(SUBSTITUTE(SUBSTITUTE(D121, index(SPLIT(D121, "" ""), COLUMNS(SPLIT(D121, "" ""))), """"), index(SPLIT(D121, "" ""), COLUMNS(SPLIT(D121, "" ""))-1), """"))"),"Любимівська")</f>
        <v>Любимівська</v>
      </c>
    </row>
    <row r="122" spans="1:17" ht="38">
      <c r="A122" s="2"/>
      <c r="B122" s="2" t="s">
        <v>287</v>
      </c>
      <c r="C122" s="2" t="s">
        <v>288</v>
      </c>
      <c r="D122" s="2" t="s">
        <v>295</v>
      </c>
      <c r="E122" s="2"/>
      <c r="F122" s="2" t="s">
        <v>28</v>
      </c>
      <c r="G122" s="2">
        <v>9</v>
      </c>
      <c r="H122" s="2">
        <v>83.2</v>
      </c>
      <c r="I122" s="2">
        <v>2070</v>
      </c>
      <c r="J122" s="2" t="s">
        <v>143</v>
      </c>
      <c r="K122" s="2">
        <v>2</v>
      </c>
      <c r="L122" s="2" t="s">
        <v>296</v>
      </c>
      <c r="Q122" s="4" t="str">
        <f ca="1">IFERROR(__xludf.DUMMYFUNCTION("TRIM(SUBSTITUTE(SUBSTITUTE(D122, index(SPLIT(D122, "" ""), COLUMNS(SPLIT(D122, "" ""))), """"), index(SPLIT(D122, "" ""), COLUMNS(SPLIT(D122, "" ""))-1), """"))"),"Ляшківська")</f>
        <v>Ляшківська</v>
      </c>
    </row>
    <row r="123" spans="1:17" ht="38">
      <c r="A123" s="2"/>
      <c r="B123" s="2" t="s">
        <v>287</v>
      </c>
      <c r="C123" s="2" t="s">
        <v>288</v>
      </c>
      <c r="D123" s="2" t="s">
        <v>297</v>
      </c>
      <c r="E123" s="2"/>
      <c r="F123" s="2" t="s">
        <v>28</v>
      </c>
      <c r="G123" s="2">
        <v>10</v>
      </c>
      <c r="H123" s="2">
        <v>370.3</v>
      </c>
      <c r="I123" s="2">
        <v>6634</v>
      </c>
      <c r="J123" s="2" t="s">
        <v>29</v>
      </c>
      <c r="K123" s="2">
        <v>5</v>
      </c>
      <c r="L123" s="2" t="s">
        <v>298</v>
      </c>
      <c r="Q123" s="4" t="str">
        <f ca="1">IFERROR(__xludf.DUMMYFUNCTION("TRIM(SUBSTITUTE(SUBSTITUTE(D123, index(SPLIT(D123, "" ""), COLUMNS(SPLIT(D123, "" ""))), """"), index(SPLIT(D123, "" ""), COLUMNS(SPLIT(D123, "" ""))-1), """"))"),"Миколаївська")</f>
        <v>Миколаївська</v>
      </c>
    </row>
    <row r="124" spans="1:17" ht="38">
      <c r="A124" s="2"/>
      <c r="B124" s="2" t="s">
        <v>287</v>
      </c>
      <c r="C124" s="2" t="s">
        <v>288</v>
      </c>
      <c r="D124" s="2" t="s">
        <v>299</v>
      </c>
      <c r="E124" s="2"/>
      <c r="F124" s="2" t="s">
        <v>28</v>
      </c>
      <c r="G124" s="2">
        <v>12</v>
      </c>
      <c r="H124" s="2">
        <v>243.2</v>
      </c>
      <c r="I124" s="2">
        <v>5971</v>
      </c>
      <c r="J124" s="2" t="s">
        <v>143</v>
      </c>
      <c r="K124" s="2">
        <v>4</v>
      </c>
      <c r="L124" s="2" t="s">
        <v>300</v>
      </c>
      <c r="Q124" s="4" t="str">
        <f ca="1">IFERROR(__xludf.DUMMYFUNCTION("TRIM(SUBSTITUTE(SUBSTITUTE(D124, index(SPLIT(D124, "" ""), COLUMNS(SPLIT(D124, "" ""))), """"), index(SPLIT(D124, "" ""), COLUMNS(SPLIT(D124, "" ""))-1), """"))"),"Могилівська")</f>
        <v>Могилівська</v>
      </c>
    </row>
    <row r="125" spans="1:17" ht="50.5">
      <c r="A125" s="2"/>
      <c r="B125" s="2" t="s">
        <v>287</v>
      </c>
      <c r="C125" s="2" t="s">
        <v>288</v>
      </c>
      <c r="D125" s="2" t="s">
        <v>301</v>
      </c>
      <c r="E125" s="2"/>
      <c r="F125" s="2" t="s">
        <v>28</v>
      </c>
      <c r="G125" s="2">
        <v>12</v>
      </c>
      <c r="H125" s="2">
        <v>252.6</v>
      </c>
      <c r="I125" s="2">
        <v>10653</v>
      </c>
      <c r="J125" s="2" t="s">
        <v>143</v>
      </c>
      <c r="K125" s="2">
        <v>4</v>
      </c>
      <c r="L125" s="2" t="s">
        <v>302</v>
      </c>
      <c r="Q125" s="4" t="str">
        <f ca="1">IFERROR(__xludf.DUMMYFUNCTION("TRIM(SUBSTITUTE(SUBSTITUTE(D125, index(SPLIT(D125, "" ""), COLUMNS(SPLIT(D125, "" ""))), """"), index(SPLIT(D125, "" ""), COLUMNS(SPLIT(D125, "" ""))-1), """"))"),"Новоолександрівська")</f>
        <v>Новоолександрівська</v>
      </c>
    </row>
    <row r="126" spans="1:17" ht="50.5">
      <c r="A126" s="2"/>
      <c r="B126" s="2" t="s">
        <v>287</v>
      </c>
      <c r="C126" s="2" t="s">
        <v>288</v>
      </c>
      <c r="D126" s="2" t="s">
        <v>303</v>
      </c>
      <c r="E126" s="2"/>
      <c r="F126" s="2" t="s">
        <v>32</v>
      </c>
      <c r="G126" s="2">
        <v>33</v>
      </c>
      <c r="H126" s="2">
        <v>530.20000000000005</v>
      </c>
      <c r="I126" s="2">
        <v>7826</v>
      </c>
      <c r="J126" s="2" t="s">
        <v>143</v>
      </c>
      <c r="K126" s="2">
        <v>5</v>
      </c>
      <c r="L126" s="2" t="s">
        <v>304</v>
      </c>
      <c r="Q126" s="4" t="str">
        <f ca="1">IFERROR(__xludf.DUMMYFUNCTION("TRIM(SUBSTITUTE(SUBSTITUTE(D126, index(SPLIT(D126, "" ""), COLUMNS(SPLIT(D126, "" ""))), """"), index(SPLIT(D126, "" ""), COLUMNS(SPLIT(D126, "" ""))-1), """"))"),"Новопокровська")</f>
        <v>Новопокровська</v>
      </c>
    </row>
    <row r="127" spans="1:17" ht="38">
      <c r="A127" s="2"/>
      <c r="B127" s="2" t="s">
        <v>287</v>
      </c>
      <c r="C127" s="2" t="s">
        <v>288</v>
      </c>
      <c r="D127" s="2" t="s">
        <v>305</v>
      </c>
      <c r="E127" s="2"/>
      <c r="F127" s="2" t="s">
        <v>32</v>
      </c>
      <c r="G127" s="2">
        <v>3</v>
      </c>
      <c r="H127" s="2">
        <v>144.69999999999999</v>
      </c>
      <c r="I127" s="2">
        <v>11785</v>
      </c>
      <c r="J127" s="2" t="s">
        <v>163</v>
      </c>
      <c r="K127" s="2">
        <v>2</v>
      </c>
      <c r="L127" s="2" t="s">
        <v>306</v>
      </c>
      <c r="Q127" s="4" t="str">
        <f ca="1">IFERROR(__xludf.DUMMYFUNCTION("TRIM(SUBSTITUTE(SUBSTITUTE(D127, index(SPLIT(D127, "" ""), COLUMNS(SPLIT(D127, "" ""))), """"), index(SPLIT(D127, "" ""), COLUMNS(SPLIT(D127, "" ""))-1), """"))"),"Обухівська")</f>
        <v>Обухівська</v>
      </c>
    </row>
    <row r="128" spans="1:17" ht="38">
      <c r="A128" s="2"/>
      <c r="B128" s="2" t="s">
        <v>287</v>
      </c>
      <c r="C128" s="2" t="s">
        <v>288</v>
      </c>
      <c r="D128" s="2" t="s">
        <v>307</v>
      </c>
      <c r="E128" s="2"/>
      <c r="F128" s="2" t="s">
        <v>32</v>
      </c>
      <c r="G128" s="2">
        <v>19</v>
      </c>
      <c r="H128" s="2">
        <v>841</v>
      </c>
      <c r="I128" s="2">
        <v>23028</v>
      </c>
      <c r="J128" s="2" t="s">
        <v>39</v>
      </c>
      <c r="K128" s="2">
        <v>8</v>
      </c>
      <c r="L128" s="2" t="s">
        <v>308</v>
      </c>
      <c r="Q128" s="4" t="str">
        <f ca="1">IFERROR(__xludf.DUMMYFUNCTION("TRIM(SUBSTITUTE(SUBSTITUTE(D128, index(SPLIT(D128, "" ""), COLUMNS(SPLIT(D128, "" ""))), """"), index(SPLIT(D128, "" ""), COLUMNS(SPLIT(D128, "" ""))-1), """"))"),"Петриківська")</f>
        <v>Петриківська</v>
      </c>
    </row>
    <row r="129" spans="1:17" ht="50.5">
      <c r="A129" s="2"/>
      <c r="B129" s="2" t="s">
        <v>287</v>
      </c>
      <c r="C129" s="2" t="s">
        <v>288</v>
      </c>
      <c r="D129" s="2" t="s">
        <v>309</v>
      </c>
      <c r="E129" s="2"/>
      <c r="F129" s="2" t="s">
        <v>20</v>
      </c>
      <c r="G129" s="2">
        <v>5</v>
      </c>
      <c r="H129" s="2">
        <v>232.4</v>
      </c>
      <c r="I129" s="2">
        <v>23400</v>
      </c>
      <c r="J129" s="2" t="s">
        <v>310</v>
      </c>
      <c r="K129" s="2">
        <v>2</v>
      </c>
      <c r="L129" s="2" t="s">
        <v>311</v>
      </c>
      <c r="Q129" s="4" t="str">
        <f ca="1">IFERROR(__xludf.DUMMYFUNCTION("TRIM(SUBSTITUTE(SUBSTITUTE(D129, index(SPLIT(D129, "" ""), COLUMNS(SPLIT(D129, "" ""))), """"), index(SPLIT(D129, "" ""), COLUMNS(SPLIT(D129, "" ""))-1), """"))"),"Підгородненська")</f>
        <v>Підгородненська</v>
      </c>
    </row>
    <row r="130" spans="1:17" ht="50.5">
      <c r="A130" s="2"/>
      <c r="B130" s="2" t="s">
        <v>287</v>
      </c>
      <c r="C130" s="2" t="s">
        <v>288</v>
      </c>
      <c r="D130" s="2" t="s">
        <v>312</v>
      </c>
      <c r="E130" s="2"/>
      <c r="F130" s="2" t="s">
        <v>28</v>
      </c>
      <c r="G130" s="2">
        <v>23</v>
      </c>
      <c r="H130" s="2">
        <v>306.7</v>
      </c>
      <c r="I130" s="2">
        <v>5023</v>
      </c>
      <c r="J130" s="2" t="s">
        <v>143</v>
      </c>
      <c r="K130" s="2">
        <v>5</v>
      </c>
      <c r="L130" s="2" t="s">
        <v>313</v>
      </c>
      <c r="Q130" s="4" t="str">
        <f ca="1">IFERROR(__xludf.DUMMYFUNCTION("TRIM(SUBSTITUTE(SUBSTITUTE(D130, index(SPLIT(D130, "" ""), COLUMNS(SPLIT(D130, "" ""))), """"), index(SPLIT(D130, "" ""), COLUMNS(SPLIT(D130, "" ""))-1), """"))"),"Святовасилівська")</f>
        <v>Святовасилівська</v>
      </c>
    </row>
    <row r="131" spans="1:17" ht="50.5">
      <c r="A131" s="2"/>
      <c r="B131" s="2" t="s">
        <v>287</v>
      </c>
      <c r="C131" s="2" t="s">
        <v>288</v>
      </c>
      <c r="D131" s="2" t="s">
        <v>314</v>
      </c>
      <c r="E131" s="2"/>
      <c r="F131" s="2" t="s">
        <v>32</v>
      </c>
      <c r="G131" s="2">
        <v>6</v>
      </c>
      <c r="H131" s="2">
        <v>257.60000000000002</v>
      </c>
      <c r="I131" s="2">
        <v>23191</v>
      </c>
      <c r="J131" s="2" t="s">
        <v>143</v>
      </c>
      <c r="K131" s="2">
        <v>5</v>
      </c>
      <c r="L131" s="2" t="s">
        <v>315</v>
      </c>
      <c r="Q131" s="4" t="str">
        <f ca="1">IFERROR(__xludf.DUMMYFUNCTION("TRIM(SUBSTITUTE(SUBSTITUTE(D131, index(SPLIT(D131, "" ""), COLUMNS(SPLIT(D131, "" ""))), """"), index(SPLIT(D131, "" ""), COLUMNS(SPLIT(D131, "" ""))-1), """"))"),"Слобожанська")</f>
        <v>Слобожанська</v>
      </c>
    </row>
    <row r="132" spans="1:17" ht="50.5">
      <c r="A132" s="2"/>
      <c r="B132" s="2" t="s">
        <v>287</v>
      </c>
      <c r="C132" s="2" t="s">
        <v>288</v>
      </c>
      <c r="D132" s="2" t="s">
        <v>316</v>
      </c>
      <c r="E132" s="2"/>
      <c r="F132" s="2" t="s">
        <v>32</v>
      </c>
      <c r="G132" s="2">
        <v>51</v>
      </c>
      <c r="H132" s="2">
        <v>899.7</v>
      </c>
      <c r="I132" s="2">
        <v>24100</v>
      </c>
      <c r="J132" s="2" t="s">
        <v>143</v>
      </c>
      <c r="K132" s="2">
        <v>10</v>
      </c>
      <c r="L132" s="2" t="s">
        <v>317</v>
      </c>
      <c r="Q132" s="4" t="str">
        <f ca="1">IFERROR(__xludf.DUMMYFUNCTION("TRIM(SUBSTITUTE(SUBSTITUTE(D132, index(SPLIT(D132, "" ""), COLUMNS(SPLIT(D132, "" ""))), """"), index(SPLIT(D132, "" ""), COLUMNS(SPLIT(D132, "" ""))-1), """"))"),"Солонянська")</f>
        <v>Солонянська</v>
      </c>
    </row>
    <row r="133" spans="1:17" ht="50.5">
      <c r="A133" s="2"/>
      <c r="B133" s="2" t="s">
        <v>287</v>
      </c>
      <c r="C133" s="2" t="s">
        <v>288</v>
      </c>
      <c r="D133" s="2" t="s">
        <v>318</v>
      </c>
      <c r="E133" s="2"/>
      <c r="F133" s="2" t="s">
        <v>28</v>
      </c>
      <c r="G133" s="2">
        <v>4</v>
      </c>
      <c r="H133" s="2">
        <v>121.6</v>
      </c>
      <c r="I133" s="2">
        <v>5786</v>
      </c>
      <c r="J133" s="2" t="s">
        <v>143</v>
      </c>
      <c r="K133" s="2">
        <v>2</v>
      </c>
      <c r="L133" s="2" t="s">
        <v>319</v>
      </c>
      <c r="Q133" s="4" t="str">
        <f ca="1">IFERROR(__xludf.DUMMYFUNCTION("TRIM(SUBSTITUTE(SUBSTITUTE(D133, index(SPLIT(D133, "" ""), COLUMNS(SPLIT(D133, "" ""))), """"), index(SPLIT(D133, "" ""), COLUMNS(SPLIT(D133, "" ""))-1), """"))"),"Сурсько-Литовська")</f>
        <v>Сурсько-Литовська</v>
      </c>
    </row>
    <row r="134" spans="1:17" ht="38">
      <c r="A134" s="2"/>
      <c r="B134" s="2" t="s">
        <v>287</v>
      </c>
      <c r="C134" s="2" t="s">
        <v>288</v>
      </c>
      <c r="D134" s="2" t="s">
        <v>320</v>
      </c>
      <c r="E134" s="2"/>
      <c r="F134" s="2" t="s">
        <v>32</v>
      </c>
      <c r="G134" s="2">
        <v>23</v>
      </c>
      <c r="H134" s="2">
        <v>478.9</v>
      </c>
      <c r="I134" s="2">
        <v>14473</v>
      </c>
      <c r="J134" s="2" t="s">
        <v>33</v>
      </c>
      <c r="K134" s="2">
        <v>5</v>
      </c>
      <c r="L134" s="2" t="s">
        <v>321</v>
      </c>
      <c r="Q134" s="4" t="str">
        <f ca="1">IFERROR(__xludf.DUMMYFUNCTION("TRIM(SUBSTITUTE(SUBSTITUTE(D134, index(SPLIT(D134, "" ""), COLUMNS(SPLIT(D134, "" ""))), """"), index(SPLIT(D134, "" ""), COLUMNS(SPLIT(D134, "" ""))-1), """"))"),"Царичанська")</f>
        <v>Царичанська</v>
      </c>
    </row>
    <row r="135" spans="1:17" ht="38">
      <c r="A135" s="2"/>
      <c r="B135" s="2" t="s">
        <v>287</v>
      </c>
      <c r="C135" s="2" t="s">
        <v>288</v>
      </c>
      <c r="D135" s="2" t="s">
        <v>322</v>
      </c>
      <c r="E135" s="2"/>
      <c r="F135" s="2" t="s">
        <v>28</v>
      </c>
      <c r="G135" s="2">
        <v>11</v>
      </c>
      <c r="H135" s="2">
        <v>192.9</v>
      </c>
      <c r="I135" s="2">
        <v>4584</v>
      </c>
      <c r="J135" s="2" t="s">
        <v>93</v>
      </c>
      <c r="K135" s="2">
        <v>2</v>
      </c>
      <c r="L135" s="2" t="s">
        <v>323</v>
      </c>
      <c r="Q135" s="4" t="str">
        <f ca="1">IFERROR(__xludf.DUMMYFUNCTION("TRIM(SUBSTITUTE(SUBSTITUTE(D135, index(SPLIT(D135, "" ""), COLUMNS(SPLIT(D135, "" ""))), """"), index(SPLIT(D135, "" ""), COLUMNS(SPLIT(D135, "" ""))-1), """"))"),"Чумаківська")</f>
        <v>Чумаківська</v>
      </c>
    </row>
    <row r="136" spans="1:17" ht="50.5">
      <c r="A136" s="2"/>
      <c r="B136" s="2" t="s">
        <v>287</v>
      </c>
      <c r="C136" s="2" t="s">
        <v>324</v>
      </c>
      <c r="D136" s="2" t="s">
        <v>325</v>
      </c>
      <c r="E136" s="2"/>
      <c r="F136" s="2" t="s">
        <v>32</v>
      </c>
      <c r="G136" s="2">
        <v>42</v>
      </c>
      <c r="H136" s="2">
        <v>606.5</v>
      </c>
      <c r="I136" s="2">
        <v>10624</v>
      </c>
      <c r="J136" s="2" t="s">
        <v>72</v>
      </c>
      <c r="K136" s="2">
        <v>8</v>
      </c>
      <c r="L136" s="2" t="s">
        <v>326</v>
      </c>
      <c r="Q136" s="4" t="str">
        <f ca="1">IFERROR(__xludf.DUMMYFUNCTION("TRIM(SUBSTITUTE(SUBSTITUTE(D136, index(SPLIT(D136, "" ""), COLUMNS(SPLIT(D136, "" ""))), """"), index(SPLIT(D136, "" ""), COLUMNS(SPLIT(D136, "" ""))-1), """"))"),"Божедарівська")</f>
        <v>Божедарівська</v>
      </c>
    </row>
    <row r="137" spans="1:17" ht="63">
      <c r="A137" s="2"/>
      <c r="B137" s="2" t="s">
        <v>287</v>
      </c>
      <c r="C137" s="2" t="s">
        <v>324</v>
      </c>
      <c r="D137" s="2" t="s">
        <v>327</v>
      </c>
      <c r="E137" s="2"/>
      <c r="F137" s="2" t="s">
        <v>20</v>
      </c>
      <c r="G137" s="2">
        <v>48</v>
      </c>
      <c r="H137" s="2">
        <v>1030.5</v>
      </c>
      <c r="I137" s="2">
        <v>37577</v>
      </c>
      <c r="J137" s="2" t="s">
        <v>39</v>
      </c>
      <c r="K137" s="2">
        <v>12</v>
      </c>
      <c r="L137" s="2" t="s">
        <v>328</v>
      </c>
      <c r="Q137" s="4" t="str">
        <f ca="1">IFERROR(__xludf.DUMMYFUNCTION("TRIM(SUBSTITUTE(SUBSTITUTE(D137, index(SPLIT(D137, "" ""), COLUMNS(SPLIT(D137, "" ""))), """"), index(SPLIT(D137, "" ""), COLUMNS(SPLIT(D137, "" ""))-1), """"))"),"Верхньодніпровська")</f>
        <v>Верхньодніпровська</v>
      </c>
    </row>
    <row r="138" spans="1:17" ht="38">
      <c r="A138" s="2"/>
      <c r="B138" s="2" t="s">
        <v>287</v>
      </c>
      <c r="C138" s="2" t="s">
        <v>324</v>
      </c>
      <c r="D138" s="2" t="s">
        <v>329</v>
      </c>
      <c r="E138" s="2"/>
      <c r="F138" s="2" t="s">
        <v>20</v>
      </c>
      <c r="G138" s="2">
        <v>11</v>
      </c>
      <c r="H138" s="2">
        <v>151.19999999999999</v>
      </c>
      <c r="I138" s="2">
        <v>11953</v>
      </c>
      <c r="J138" s="2" t="s">
        <v>29</v>
      </c>
      <c r="K138" s="2">
        <v>2</v>
      </c>
      <c r="L138" s="2" t="s">
        <v>330</v>
      </c>
      <c r="Q138" s="4" t="str">
        <f ca="1">IFERROR(__xludf.DUMMYFUNCTION("TRIM(SUBSTITUTE(SUBSTITUTE(D138, index(SPLIT(D138, "" ""), COLUMNS(SPLIT(D138, "" ""))), """"), index(SPLIT(D138, "" ""), COLUMNS(SPLIT(D138, "" ""))-1), """"))"),"Верхівцівська")</f>
        <v>Верхівцівська</v>
      </c>
    </row>
    <row r="139" spans="1:17" ht="38">
      <c r="A139" s="2"/>
      <c r="B139" s="2" t="s">
        <v>287</v>
      </c>
      <c r="C139" s="2" t="s">
        <v>324</v>
      </c>
      <c r="D139" s="2" t="s">
        <v>212</v>
      </c>
      <c r="E139" s="2"/>
      <c r="F139" s="2" t="s">
        <v>32</v>
      </c>
      <c r="G139" s="2">
        <v>10</v>
      </c>
      <c r="H139" s="2">
        <v>213.2</v>
      </c>
      <c r="I139" s="2">
        <v>4440</v>
      </c>
      <c r="J139" s="2" t="s">
        <v>33</v>
      </c>
      <c r="K139" s="2">
        <v>3</v>
      </c>
      <c r="L139" s="2" t="s">
        <v>331</v>
      </c>
      <c r="Q139" s="4" t="str">
        <f ca="1">IFERROR(__xludf.DUMMYFUNCTION("TRIM(SUBSTITUTE(SUBSTITUTE(D139, index(SPLIT(D139, "" ""), COLUMNS(SPLIT(D139, "" ""))), """"), index(SPLIT(D139, "" ""), COLUMNS(SPLIT(D139, "" ""))-1), """"))"),"Вишнівська")</f>
        <v>Вишнівська</v>
      </c>
    </row>
    <row r="140" spans="1:17" ht="38">
      <c r="A140" s="2"/>
      <c r="B140" s="2" t="s">
        <v>287</v>
      </c>
      <c r="C140" s="2" t="s">
        <v>324</v>
      </c>
      <c r="D140" s="2" t="s">
        <v>332</v>
      </c>
      <c r="E140" s="2"/>
      <c r="F140" s="2" t="s">
        <v>20</v>
      </c>
      <c r="G140" s="2">
        <v>11</v>
      </c>
      <c r="H140" s="2">
        <v>151.9</v>
      </c>
      <c r="I140" s="2">
        <v>23768</v>
      </c>
      <c r="J140" s="2" t="s">
        <v>29</v>
      </c>
      <c r="K140" s="2">
        <v>3</v>
      </c>
      <c r="L140" s="2" t="s">
        <v>333</v>
      </c>
      <c r="Q140" s="4" t="str">
        <f ca="1">IFERROR(__xludf.DUMMYFUNCTION("TRIM(SUBSTITUTE(SUBSTITUTE(D140, index(SPLIT(D140, "" ""), COLUMNS(SPLIT(D140, "" ""))), """"), index(SPLIT(D140, "" ""), COLUMNS(SPLIT(D140, "" ""))-1), """"))"),"Вільногірська")</f>
        <v>Вільногірська</v>
      </c>
    </row>
    <row r="141" spans="1:17" ht="50.5">
      <c r="A141" s="2"/>
      <c r="B141" s="2" t="s">
        <v>287</v>
      </c>
      <c r="C141" s="2" t="s">
        <v>324</v>
      </c>
      <c r="D141" s="2" t="s">
        <v>334</v>
      </c>
      <c r="E141" s="2"/>
      <c r="F141" s="2" t="s">
        <v>20</v>
      </c>
      <c r="G141" s="2">
        <v>4</v>
      </c>
      <c r="H141" s="2">
        <v>79.099999999999994</v>
      </c>
      <c r="I141" s="2">
        <v>44376</v>
      </c>
      <c r="J141" s="2" t="s">
        <v>29</v>
      </c>
      <c r="K141" s="2">
        <v>2</v>
      </c>
      <c r="L141" s="2" t="s">
        <v>335</v>
      </c>
      <c r="Q141" s="4" t="str">
        <f ca="1">IFERROR(__xludf.DUMMYFUNCTION("TRIM(SUBSTITUTE(SUBSTITUTE(D141, index(SPLIT(D141, "" ""), COLUMNS(SPLIT(D141, "" ""))), """"), index(SPLIT(D141, "" ""), COLUMNS(SPLIT(D141, "" ""))-1), """"))"),"Жовтоводська")</f>
        <v>Жовтоводська</v>
      </c>
    </row>
    <row r="142" spans="1:17" ht="50.5">
      <c r="A142" s="2"/>
      <c r="B142" s="2" t="s">
        <v>287</v>
      </c>
      <c r="C142" s="2" t="s">
        <v>324</v>
      </c>
      <c r="D142" s="2" t="s">
        <v>336</v>
      </c>
      <c r="E142" s="2"/>
      <c r="F142" s="2" t="s">
        <v>28</v>
      </c>
      <c r="G142" s="2">
        <v>23</v>
      </c>
      <c r="H142" s="2">
        <v>372.1</v>
      </c>
      <c r="I142" s="2">
        <v>3888</v>
      </c>
      <c r="J142" s="2" t="s">
        <v>163</v>
      </c>
      <c r="K142" s="2">
        <v>3</v>
      </c>
      <c r="L142" s="2" t="s">
        <v>337</v>
      </c>
      <c r="Q142" s="4" t="str">
        <f ca="1">IFERROR(__xludf.DUMMYFUNCTION("TRIM(SUBSTITUTE(SUBSTITUTE(D142, index(SPLIT(D142, "" ""), COLUMNS(SPLIT(D142, "" ""))), """"), index(SPLIT(D142, "" ""), COLUMNS(SPLIT(D142, "" ""))-1), """"))"),"Затишнянська")</f>
        <v>Затишнянська</v>
      </c>
    </row>
    <row r="143" spans="1:17" ht="38">
      <c r="A143" s="2"/>
      <c r="B143" s="2" t="s">
        <v>287</v>
      </c>
      <c r="C143" s="2" t="s">
        <v>324</v>
      </c>
      <c r="D143" s="2" t="s">
        <v>338</v>
      </c>
      <c r="E143" s="2"/>
      <c r="F143" s="2" t="s">
        <v>20</v>
      </c>
      <c r="G143" s="2">
        <v>3</v>
      </c>
      <c r="H143" s="2">
        <v>136.30000000000001</v>
      </c>
      <c r="I143" s="2">
        <v>236672</v>
      </c>
      <c r="J143" s="2" t="s">
        <v>29</v>
      </c>
      <c r="K143" s="2">
        <v>2</v>
      </c>
      <c r="L143" s="2" t="s">
        <v>339</v>
      </c>
      <c r="Q143" s="4" t="str">
        <f ca="1">IFERROR(__xludf.DUMMYFUNCTION("TRIM(SUBSTITUTE(SUBSTITUTE(D143, index(SPLIT(D143, "" ""), COLUMNS(SPLIT(D143, "" ""))), """"), index(SPLIT(D143, "" ""), COLUMNS(SPLIT(D143, "" ""))-1), """"))"),"Кам'янська")</f>
        <v>Кам'янська</v>
      </c>
    </row>
    <row r="144" spans="1:17" ht="50.5">
      <c r="A144" s="2"/>
      <c r="B144" s="2" t="s">
        <v>287</v>
      </c>
      <c r="C144" s="2" t="s">
        <v>324</v>
      </c>
      <c r="D144" s="2" t="s">
        <v>340</v>
      </c>
      <c r="E144" s="2"/>
      <c r="F144" s="2" t="s">
        <v>32</v>
      </c>
      <c r="G144" s="2">
        <v>46</v>
      </c>
      <c r="H144" s="2">
        <v>689.5</v>
      </c>
      <c r="I144" s="2">
        <v>19105</v>
      </c>
      <c r="J144" s="2" t="s">
        <v>72</v>
      </c>
      <c r="K144" s="2">
        <v>11</v>
      </c>
      <c r="L144" s="2" t="s">
        <v>341</v>
      </c>
      <c r="Q144" s="4" t="str">
        <f ca="1">IFERROR(__xludf.DUMMYFUNCTION("TRIM(SUBSTITUTE(SUBSTITUTE(D144, index(SPLIT(D144, "" ""), COLUMNS(SPLIT(D144, "" ""))), """"), index(SPLIT(D144, "" ""), COLUMNS(SPLIT(D144, "" ""))-1), """"))"),"Криничанська")</f>
        <v>Криничанська</v>
      </c>
    </row>
    <row r="145" spans="1:17" ht="38">
      <c r="A145" s="2"/>
      <c r="B145" s="2" t="s">
        <v>287</v>
      </c>
      <c r="C145" s="2" t="s">
        <v>324</v>
      </c>
      <c r="D145" s="2" t="s">
        <v>342</v>
      </c>
      <c r="E145" s="2"/>
      <c r="F145" s="2" t="s">
        <v>32</v>
      </c>
      <c r="G145" s="2">
        <v>26</v>
      </c>
      <c r="H145" s="2">
        <v>466.5</v>
      </c>
      <c r="I145" s="2">
        <v>4846</v>
      </c>
      <c r="J145" s="2" t="s">
        <v>33</v>
      </c>
      <c r="K145" s="2">
        <v>4</v>
      </c>
      <c r="L145" s="2" t="s">
        <v>343</v>
      </c>
      <c r="Q145" s="4" t="str">
        <f ca="1">IFERROR(__xludf.DUMMYFUNCTION("TRIM(SUBSTITUTE(SUBSTITUTE(D145, index(SPLIT(D145, "" ""), COLUMNS(SPLIT(D145, "" ""))), """"), index(SPLIT(D145, "" ""), COLUMNS(SPLIT(D145, "" ""))-1), """"))"),"Лихівська")</f>
        <v>Лихівська</v>
      </c>
    </row>
    <row r="146" spans="1:17" ht="38">
      <c r="A146" s="2"/>
      <c r="B146" s="2" t="s">
        <v>287</v>
      </c>
      <c r="C146" s="2" t="s">
        <v>324</v>
      </c>
      <c r="D146" s="2" t="s">
        <v>344</v>
      </c>
      <c r="E146" s="2"/>
      <c r="F146" s="2" t="s">
        <v>20</v>
      </c>
      <c r="G146" s="2">
        <v>31</v>
      </c>
      <c r="H146" s="2">
        <v>500.3</v>
      </c>
      <c r="I146" s="2">
        <v>25840</v>
      </c>
      <c r="J146" s="2" t="s">
        <v>29</v>
      </c>
      <c r="K146" s="2">
        <v>8</v>
      </c>
      <c r="L146" s="2" t="s">
        <v>345</v>
      </c>
      <c r="Q146" s="4" t="str">
        <f ca="1">IFERROR(__xludf.DUMMYFUNCTION("TRIM(SUBSTITUTE(SUBSTITUTE(D146, index(SPLIT(D146, "" ""), COLUMNS(SPLIT(D146, "" ""))), """"), index(SPLIT(D146, "" ""), COLUMNS(SPLIT(D146, "" ""))-1), """"))"),"П'ятихатська")</f>
        <v>П'ятихатська</v>
      </c>
    </row>
    <row r="147" spans="1:17" ht="38">
      <c r="A147" s="2"/>
      <c r="B147" s="2" t="s">
        <v>287</v>
      </c>
      <c r="C147" s="2" t="s">
        <v>324</v>
      </c>
      <c r="D147" s="2" t="s">
        <v>346</v>
      </c>
      <c r="E147" s="2"/>
      <c r="F147" s="2" t="s">
        <v>28</v>
      </c>
      <c r="G147" s="2">
        <v>19</v>
      </c>
      <c r="H147" s="2">
        <v>406.3</v>
      </c>
      <c r="I147" s="2">
        <v>6977</v>
      </c>
      <c r="J147" s="2" t="s">
        <v>178</v>
      </c>
      <c r="K147" s="2">
        <v>4</v>
      </c>
      <c r="L147" s="2" t="s">
        <v>347</v>
      </c>
      <c r="Q147" s="4" t="str">
        <f ca="1">IFERROR(__xludf.DUMMYFUNCTION("TRIM(SUBSTITUTE(SUBSTITUTE(D147, index(SPLIT(D147, "" ""), COLUMNS(SPLIT(D147, "" ""))), """"), index(SPLIT(D147, "" ""), COLUMNS(SPLIT(D147, "" ""))-1), """"))"),"Саксаганська")</f>
        <v>Саксаганська</v>
      </c>
    </row>
    <row r="148" spans="1:17" ht="50.5">
      <c r="A148" s="2"/>
      <c r="B148" s="2" t="s">
        <v>287</v>
      </c>
      <c r="C148" s="2" t="s">
        <v>348</v>
      </c>
      <c r="D148" s="2" t="s">
        <v>349</v>
      </c>
      <c r="E148" s="2"/>
      <c r="F148" s="2" t="s">
        <v>20</v>
      </c>
      <c r="G148" s="2">
        <v>20</v>
      </c>
      <c r="H148" s="2">
        <v>676.5</v>
      </c>
      <c r="I148" s="2">
        <v>22208</v>
      </c>
      <c r="J148" s="2" t="s">
        <v>143</v>
      </c>
      <c r="K148" s="2">
        <v>5</v>
      </c>
      <c r="L148" s="2" t="s">
        <v>350</v>
      </c>
      <c r="Q148" s="4" t="str">
        <f ca="1">IFERROR(__xludf.DUMMYFUNCTION("TRIM(SUBSTITUTE(SUBSTITUTE(D148, index(SPLIT(D148, "" ""), COLUMNS(SPLIT(D148, "" ""))), """"), index(SPLIT(D148, "" ""), COLUMNS(SPLIT(D148, "" ""))-1), """"))"),"Апостолівська")</f>
        <v>Апостолівська</v>
      </c>
    </row>
    <row r="149" spans="1:17" ht="38">
      <c r="A149" s="2"/>
      <c r="B149" s="2" t="s">
        <v>287</v>
      </c>
      <c r="C149" s="2" t="s">
        <v>348</v>
      </c>
      <c r="D149" s="2" t="s">
        <v>351</v>
      </c>
      <c r="E149" s="2"/>
      <c r="F149" s="2" t="s">
        <v>28</v>
      </c>
      <c r="G149" s="2">
        <v>18</v>
      </c>
      <c r="H149" s="2">
        <v>285.3</v>
      </c>
      <c r="I149" s="2">
        <v>2838</v>
      </c>
      <c r="J149" s="2" t="s">
        <v>143</v>
      </c>
      <c r="K149" s="2">
        <v>3</v>
      </c>
      <c r="L149" s="2" t="s">
        <v>352</v>
      </c>
      <c r="Q149" s="4" t="str">
        <f ca="1">IFERROR(__xludf.DUMMYFUNCTION("TRIM(SUBSTITUTE(SUBSTITUTE(D149, index(SPLIT(D149, "" ""), COLUMNS(SPLIT(D149, "" ""))), """"), index(SPLIT(D149, "" ""), COLUMNS(SPLIT(D149, "" ""))-1), """"))"),"Вакулівська")</f>
        <v>Вакулівська</v>
      </c>
    </row>
    <row r="150" spans="1:17" ht="38">
      <c r="A150" s="2"/>
      <c r="B150" s="2" t="s">
        <v>287</v>
      </c>
      <c r="C150" s="2" t="s">
        <v>348</v>
      </c>
      <c r="D150" s="2" t="s">
        <v>353</v>
      </c>
      <c r="E150" s="2"/>
      <c r="F150" s="2" t="s">
        <v>28</v>
      </c>
      <c r="G150" s="2">
        <v>19</v>
      </c>
      <c r="H150" s="2">
        <v>343.6</v>
      </c>
      <c r="I150" s="2">
        <v>7675</v>
      </c>
      <c r="J150" s="2" t="s">
        <v>163</v>
      </c>
      <c r="K150" s="2">
        <v>4</v>
      </c>
      <c r="L150" s="2" t="s">
        <v>354</v>
      </c>
      <c r="Q150" s="4" t="str">
        <f ca="1">IFERROR(__xludf.DUMMYFUNCTION("TRIM(SUBSTITUTE(SUBSTITUTE(D150, index(SPLIT(D150, "" ""), COLUMNS(SPLIT(D150, "" ""))), """"), index(SPLIT(D150, "" ""), COLUMNS(SPLIT(D150, "" ""))-1), """"))"),"Глеюватська")</f>
        <v>Глеюватська</v>
      </c>
    </row>
    <row r="151" spans="1:17" ht="50.5">
      <c r="A151" s="2"/>
      <c r="B151" s="2" t="s">
        <v>287</v>
      </c>
      <c r="C151" s="2" t="s">
        <v>348</v>
      </c>
      <c r="D151" s="2" t="s">
        <v>355</v>
      </c>
      <c r="E151" s="2"/>
      <c r="F151" s="2" t="s">
        <v>28</v>
      </c>
      <c r="G151" s="2">
        <v>15</v>
      </c>
      <c r="H151" s="2">
        <v>257</v>
      </c>
      <c r="I151" s="2">
        <v>4512</v>
      </c>
      <c r="J151" s="2" t="s">
        <v>33</v>
      </c>
      <c r="K151" s="2">
        <v>3</v>
      </c>
      <c r="L151" s="2" t="s">
        <v>356</v>
      </c>
      <c r="Q151" s="4" t="str">
        <f ca="1">IFERROR(__xludf.DUMMYFUNCTION("TRIM(SUBSTITUTE(SUBSTITUTE(D151, index(SPLIT(D151, "" ""), COLUMNS(SPLIT(D151, "" ""))), """"), index(SPLIT(D151, "" ""), COLUMNS(SPLIT(D151, "" ""))-1), """"))"),"Гречаноподівська")</f>
        <v>Гречаноподівська</v>
      </c>
    </row>
    <row r="152" spans="1:17" ht="38">
      <c r="A152" s="2"/>
      <c r="B152" s="2" t="s">
        <v>287</v>
      </c>
      <c r="C152" s="2" t="s">
        <v>348</v>
      </c>
      <c r="D152" s="2" t="s">
        <v>357</v>
      </c>
      <c r="E152" s="2"/>
      <c r="F152" s="2" t="s">
        <v>28</v>
      </c>
      <c r="G152" s="2">
        <v>7</v>
      </c>
      <c r="H152" s="2">
        <v>268</v>
      </c>
      <c r="I152" s="2">
        <v>6174</v>
      </c>
      <c r="J152" s="2" t="s">
        <v>143</v>
      </c>
      <c r="K152" s="2">
        <v>2</v>
      </c>
      <c r="L152" s="2" t="s">
        <v>358</v>
      </c>
      <c r="Q152" s="4" t="str">
        <f ca="1">IFERROR(__xludf.DUMMYFUNCTION("TRIM(SUBSTITUTE(SUBSTITUTE(D152, index(SPLIT(D152, "" ""), COLUMNS(SPLIT(D152, "" ""))), """"), index(SPLIT(D152, "" ""), COLUMNS(SPLIT(D152, "" ""))-1), """"))"),"Грушівська")</f>
        <v>Грушівська</v>
      </c>
    </row>
    <row r="153" spans="1:17" ht="38">
      <c r="A153" s="2"/>
      <c r="B153" s="2" t="s">
        <v>287</v>
      </c>
      <c r="C153" s="2" t="s">
        <v>348</v>
      </c>
      <c r="D153" s="2" t="s">
        <v>359</v>
      </c>
      <c r="E153" s="2"/>
      <c r="F153" s="2" t="s">
        <v>28</v>
      </c>
      <c r="G153" s="2">
        <v>34</v>
      </c>
      <c r="H153" s="2">
        <v>408.6</v>
      </c>
      <c r="I153" s="2">
        <v>5255</v>
      </c>
      <c r="J153" s="2" t="s">
        <v>178</v>
      </c>
      <c r="K153" s="2">
        <v>4</v>
      </c>
      <c r="L153" s="2" t="s">
        <v>360</v>
      </c>
      <c r="Q153" s="4" t="str">
        <f ca="1">IFERROR(__xludf.DUMMYFUNCTION("TRIM(SUBSTITUTE(SUBSTITUTE(D153, index(SPLIT(D153, "" ""), COLUMNS(SPLIT(D153, "" ""))), """"), index(SPLIT(D153, "" ""), COLUMNS(SPLIT(D153, "" ""))-1), """"))"),"Девладівська")</f>
        <v>Девладівська</v>
      </c>
    </row>
    <row r="154" spans="1:17" ht="50.5">
      <c r="A154" s="2"/>
      <c r="B154" s="2" t="s">
        <v>287</v>
      </c>
      <c r="C154" s="2" t="s">
        <v>348</v>
      </c>
      <c r="D154" s="2" t="s">
        <v>361</v>
      </c>
      <c r="E154" s="2"/>
      <c r="F154" s="2" t="s">
        <v>20</v>
      </c>
      <c r="G154" s="2">
        <v>4</v>
      </c>
      <c r="H154" s="2">
        <v>310.39999999999998</v>
      </c>
      <c r="I154" s="2">
        <v>18637</v>
      </c>
      <c r="J154" s="2" t="s">
        <v>143</v>
      </c>
      <c r="K154" s="2">
        <v>3</v>
      </c>
      <c r="L154" s="2" t="s">
        <v>362</v>
      </c>
      <c r="Q154" s="4" t="str">
        <f ca="1">IFERROR(__xludf.DUMMYFUNCTION("TRIM(SUBSTITUTE(SUBSTITUTE(D154, index(SPLIT(D154, "" ""), COLUMNS(SPLIT(D154, "" ""))), """"), index(SPLIT(D154, "" ""), COLUMNS(SPLIT(D154, "" ""))-1), """"))"),"Зеленодольська")</f>
        <v>Зеленодольська</v>
      </c>
    </row>
    <row r="155" spans="1:17" ht="38">
      <c r="A155" s="2"/>
      <c r="B155" s="2" t="s">
        <v>287</v>
      </c>
      <c r="C155" s="2" t="s">
        <v>348</v>
      </c>
      <c r="D155" s="2" t="s">
        <v>363</v>
      </c>
      <c r="E155" s="2"/>
      <c r="F155" s="2" t="s">
        <v>28</v>
      </c>
      <c r="G155" s="2">
        <v>26</v>
      </c>
      <c r="H155" s="2">
        <v>366.2</v>
      </c>
      <c r="I155" s="2">
        <v>5377</v>
      </c>
      <c r="J155" s="2" t="s">
        <v>39</v>
      </c>
      <c r="K155" s="2">
        <v>3</v>
      </c>
      <c r="L155" s="2" t="s">
        <v>364</v>
      </c>
      <c r="Q155" s="4" t="str">
        <f ca="1">IFERROR(__xludf.DUMMYFUNCTION("TRIM(SUBSTITUTE(SUBSTITUTE(D155, index(SPLIT(D155, "" ""), COLUMNS(SPLIT(D155, "" ""))), """"), index(SPLIT(D155, "" ""), COLUMNS(SPLIT(D155, "" ""))-1), """"))"),"Карпівська")</f>
        <v>Карпівська</v>
      </c>
    </row>
    <row r="156" spans="1:17" ht="38">
      <c r="A156" s="2"/>
      <c r="B156" s="2" t="s">
        <v>287</v>
      </c>
      <c r="C156" s="2" t="s">
        <v>348</v>
      </c>
      <c r="D156" s="2" t="s">
        <v>365</v>
      </c>
      <c r="E156" s="2"/>
      <c r="F156" s="2" t="s">
        <v>20</v>
      </c>
      <c r="G156" s="2">
        <v>6</v>
      </c>
      <c r="H156" s="2">
        <v>431.9</v>
      </c>
      <c r="I156" s="2">
        <v>615492</v>
      </c>
      <c r="J156" s="2" t="s">
        <v>29</v>
      </c>
      <c r="K156" s="2">
        <v>1</v>
      </c>
      <c r="L156" s="2" t="s">
        <v>366</v>
      </c>
      <c r="Q156" s="4" t="str">
        <f ca="1">IFERROR(__xludf.DUMMYFUNCTION("TRIM(SUBSTITUTE(SUBSTITUTE(D156, index(SPLIT(D156, "" ""), COLUMNS(SPLIT(D156, "" ""))), """"), index(SPLIT(D156, "" ""), COLUMNS(SPLIT(D156, "" ""))-1), """"))"),"Криворізька")</f>
        <v>Криворізька</v>
      </c>
    </row>
    <row r="157" spans="1:17" ht="38">
      <c r="A157" s="2"/>
      <c r="B157" s="2" t="s">
        <v>287</v>
      </c>
      <c r="C157" s="2" t="s">
        <v>348</v>
      </c>
      <c r="D157" s="2" t="s">
        <v>367</v>
      </c>
      <c r="E157" s="2"/>
      <c r="F157" s="2" t="s">
        <v>28</v>
      </c>
      <c r="G157" s="2">
        <v>32</v>
      </c>
      <c r="H157" s="2">
        <v>563.79999999999995</v>
      </c>
      <c r="I157" s="2">
        <v>18910</v>
      </c>
      <c r="J157" s="2" t="s">
        <v>29</v>
      </c>
      <c r="K157" s="2">
        <v>8</v>
      </c>
      <c r="L157" s="2" t="s">
        <v>368</v>
      </c>
      <c r="Q157" s="4" t="str">
        <f ca="1">IFERROR(__xludf.DUMMYFUNCTION("TRIM(SUBSTITUTE(SUBSTITUTE(D157, index(SPLIT(D157, "" ""), COLUMNS(SPLIT(D157, "" ""))), """"), index(SPLIT(D157, "" ""), COLUMNS(SPLIT(D157, "" ""))-1), """"))"),"Лозуватська")</f>
        <v>Лозуватська</v>
      </c>
    </row>
    <row r="158" spans="1:17" ht="50.5">
      <c r="A158" s="2"/>
      <c r="B158" s="2" t="s">
        <v>287</v>
      </c>
      <c r="C158" s="2" t="s">
        <v>348</v>
      </c>
      <c r="D158" s="2" t="s">
        <v>369</v>
      </c>
      <c r="E158" s="2"/>
      <c r="F158" s="2" t="s">
        <v>28</v>
      </c>
      <c r="G158" s="2">
        <v>8</v>
      </c>
      <c r="H158" s="2">
        <v>129.30000000000001</v>
      </c>
      <c r="I158" s="2">
        <v>4635</v>
      </c>
      <c r="J158" s="2" t="s">
        <v>143</v>
      </c>
      <c r="K158" s="2">
        <v>2</v>
      </c>
      <c r="L158" s="2" t="s">
        <v>370</v>
      </c>
      <c r="Q158" s="4" t="str">
        <f ca="1">IFERROR(__xludf.DUMMYFUNCTION("TRIM(SUBSTITUTE(SUBSTITUTE(D158, index(SPLIT(D158, "" ""), COLUMNS(SPLIT(D158, "" ""))), """"), index(SPLIT(D158, "" ""), COLUMNS(SPLIT(D158, "" ""))-1), """"))"),"Нивотрудівська")</f>
        <v>Нивотрудівська</v>
      </c>
    </row>
    <row r="159" spans="1:17" ht="50.5">
      <c r="A159" s="2"/>
      <c r="B159" s="2" t="s">
        <v>287</v>
      </c>
      <c r="C159" s="2" t="s">
        <v>348</v>
      </c>
      <c r="D159" s="2" t="s">
        <v>371</v>
      </c>
      <c r="E159" s="2"/>
      <c r="F159" s="2" t="s">
        <v>28</v>
      </c>
      <c r="G159" s="2">
        <v>11</v>
      </c>
      <c r="H159" s="2">
        <v>267.3</v>
      </c>
      <c r="I159" s="2">
        <v>2507</v>
      </c>
      <c r="J159" s="2" t="s">
        <v>33</v>
      </c>
      <c r="K159" s="2">
        <v>3</v>
      </c>
      <c r="L159" s="2" t="s">
        <v>372</v>
      </c>
      <c r="Q159" s="4" t="str">
        <f ca="1">IFERROR(__xludf.DUMMYFUNCTION("TRIM(SUBSTITUTE(SUBSTITUTE(D159, index(SPLIT(D159, "" ""), COLUMNS(SPLIT(D159, "" ""))), """"), index(SPLIT(D159, "" ""), COLUMNS(SPLIT(D159, "" ""))-1), """"))"),"Новолатівська")</f>
        <v>Новолатівська</v>
      </c>
    </row>
    <row r="160" spans="1:17" ht="38">
      <c r="A160" s="2"/>
      <c r="B160" s="2" t="s">
        <v>287</v>
      </c>
      <c r="C160" s="2" t="s">
        <v>348</v>
      </c>
      <c r="D160" s="2" t="s">
        <v>373</v>
      </c>
      <c r="E160" s="2"/>
      <c r="F160" s="2" t="s">
        <v>28</v>
      </c>
      <c r="G160" s="2">
        <v>38</v>
      </c>
      <c r="H160" s="2">
        <v>444.8</v>
      </c>
      <c r="I160" s="2">
        <v>16631</v>
      </c>
      <c r="J160" s="2" t="s">
        <v>29</v>
      </c>
      <c r="K160" s="2">
        <v>7</v>
      </c>
      <c r="L160" s="2" t="s">
        <v>374</v>
      </c>
      <c r="Q160" s="4" t="str">
        <f ca="1">IFERROR(__xludf.DUMMYFUNCTION("TRIM(SUBSTITUTE(SUBSTITUTE(D160, index(SPLIT(D160, "" ""), COLUMNS(SPLIT(D160, "" ""))), """"), index(SPLIT(D160, "" ""), COLUMNS(SPLIT(D160, "" ""))-1), """"))"),"Новопільська")</f>
        <v>Новопільська</v>
      </c>
    </row>
    <row r="161" spans="1:17" ht="38">
      <c r="A161" s="2"/>
      <c r="B161" s="2" t="s">
        <v>287</v>
      </c>
      <c r="C161" s="2" t="s">
        <v>348</v>
      </c>
      <c r="D161" s="2" t="s">
        <v>375</v>
      </c>
      <c r="E161" s="2"/>
      <c r="F161" s="2" t="s">
        <v>32</v>
      </c>
      <c r="G161" s="2">
        <v>29</v>
      </c>
      <c r="H161" s="2">
        <v>667.9</v>
      </c>
      <c r="I161" s="2">
        <v>12074</v>
      </c>
      <c r="J161" s="2" t="s">
        <v>33</v>
      </c>
      <c r="K161" s="2">
        <v>5</v>
      </c>
      <c r="L161" s="2" t="s">
        <v>376</v>
      </c>
      <c r="Q161" s="4" t="str">
        <f ca="1">IFERROR(__xludf.DUMMYFUNCTION("TRIM(SUBSTITUTE(SUBSTITUTE(D161, index(SPLIT(D161, "" ""), COLUMNS(SPLIT(D161, "" ""))), """"), index(SPLIT(D161, "" ""), COLUMNS(SPLIT(D161, "" ""))-1), """"))"),"Софіївська")</f>
        <v>Софіївська</v>
      </c>
    </row>
    <row r="162" spans="1:17" ht="38">
      <c r="A162" s="2"/>
      <c r="B162" s="2" t="s">
        <v>287</v>
      </c>
      <c r="C162" s="2" t="s">
        <v>348</v>
      </c>
      <c r="D162" s="2" t="s">
        <v>377</v>
      </c>
      <c r="E162" s="2"/>
      <c r="F162" s="2" t="s">
        <v>32</v>
      </c>
      <c r="G162" s="2">
        <v>16</v>
      </c>
      <c r="H162" s="2">
        <v>304.3</v>
      </c>
      <c r="I162" s="2">
        <v>12742</v>
      </c>
      <c r="J162" s="2" t="s">
        <v>39</v>
      </c>
      <c r="K162" s="2">
        <v>3</v>
      </c>
      <c r="L162" s="2" t="s">
        <v>378</v>
      </c>
      <c r="Q162" s="4" t="str">
        <f ca="1">IFERROR(__xludf.DUMMYFUNCTION("TRIM(SUBSTITUTE(SUBSTITUTE(D162, index(SPLIT(D162, "" ""), COLUMNS(SPLIT(D162, "" ""))), """"), index(SPLIT(D162, "" ""), COLUMNS(SPLIT(D162, "" ""))-1), """"))"),"Широківська")</f>
        <v>Широківська</v>
      </c>
    </row>
    <row r="163" spans="1:17" ht="38">
      <c r="A163" s="2"/>
      <c r="B163" s="2" t="s">
        <v>287</v>
      </c>
      <c r="C163" s="2" t="s">
        <v>379</v>
      </c>
      <c r="D163" s="2" t="s">
        <v>380</v>
      </c>
      <c r="E163" s="2"/>
      <c r="F163" s="2" t="s">
        <v>32</v>
      </c>
      <c r="G163" s="2">
        <v>25</v>
      </c>
      <c r="H163" s="2">
        <v>748.3</v>
      </c>
      <c r="I163" s="2">
        <v>18173</v>
      </c>
      <c r="J163" s="2" t="s">
        <v>29</v>
      </c>
      <c r="K163" s="2">
        <v>7</v>
      </c>
      <c r="L163" s="2" t="s">
        <v>381</v>
      </c>
      <c r="Q163" s="4" t="str">
        <f ca="1">IFERROR(__xludf.DUMMYFUNCTION("TRIM(SUBSTITUTE(SUBSTITUTE(D163, index(SPLIT(D163, "" ""), COLUMNS(SPLIT(D163, "" ""))), """"), index(SPLIT(D163, "" ""), COLUMNS(SPLIT(D163, "" ""))-1), """"))"),"Губиниська")</f>
        <v>Губиниська</v>
      </c>
    </row>
    <row r="164" spans="1:17" ht="38">
      <c r="A164" s="2"/>
      <c r="B164" s="2" t="s">
        <v>287</v>
      </c>
      <c r="C164" s="2" t="s">
        <v>379</v>
      </c>
      <c r="D164" s="2" t="s">
        <v>382</v>
      </c>
      <c r="E164" s="2"/>
      <c r="F164" s="2" t="s">
        <v>28</v>
      </c>
      <c r="G164" s="2">
        <v>8</v>
      </c>
      <c r="H164" s="2">
        <v>298.10000000000002</v>
      </c>
      <c r="I164" s="2">
        <v>5086</v>
      </c>
      <c r="J164" s="2" t="s">
        <v>93</v>
      </c>
      <c r="K164" s="2">
        <v>3</v>
      </c>
      <c r="L164" s="2" t="s">
        <v>383</v>
      </c>
      <c r="Q164" s="4" t="str">
        <f ca="1">IFERROR(__xludf.DUMMYFUNCTION("TRIM(SUBSTITUTE(SUBSTITUTE(D164, index(SPLIT(D164, "" ""), COLUMNS(SPLIT(D164, "" ""))), """"), index(SPLIT(D164, "" ""), COLUMNS(SPLIT(D164, "" ""))-1), """"))"),"Личківська")</f>
        <v>Личківська</v>
      </c>
    </row>
    <row r="165" spans="1:17" ht="63">
      <c r="A165" s="2"/>
      <c r="B165" s="2" t="s">
        <v>287</v>
      </c>
      <c r="C165" s="2" t="s">
        <v>379</v>
      </c>
      <c r="D165" s="2" t="s">
        <v>384</v>
      </c>
      <c r="E165" s="2"/>
      <c r="F165" s="2" t="s">
        <v>32</v>
      </c>
      <c r="G165" s="2">
        <v>36</v>
      </c>
      <c r="H165" s="2">
        <v>923.4</v>
      </c>
      <c r="I165" s="2">
        <v>21442</v>
      </c>
      <c r="J165" s="2" t="s">
        <v>163</v>
      </c>
      <c r="K165" s="2">
        <v>14</v>
      </c>
      <c r="L165" s="2" t="s">
        <v>385</v>
      </c>
      <c r="Q165" s="4" t="str">
        <f ca="1">IFERROR(__xludf.DUMMYFUNCTION("TRIM(SUBSTITUTE(SUBSTITUTE(D165, index(SPLIT(D165, "" ""), COLUMNS(SPLIT(D165, "" ""))), """"), index(SPLIT(D165, "" ""), COLUMNS(SPLIT(D165, "" ""))-1), """"))"),"Магдалинівська")</f>
        <v>Магдалинівська</v>
      </c>
    </row>
    <row r="166" spans="1:17" ht="50.5">
      <c r="A166" s="2"/>
      <c r="B166" s="2" t="s">
        <v>287</v>
      </c>
      <c r="C166" s="2" t="s">
        <v>379</v>
      </c>
      <c r="D166" s="2" t="s">
        <v>386</v>
      </c>
      <c r="E166" s="2"/>
      <c r="F166" s="2" t="s">
        <v>20</v>
      </c>
      <c r="G166" s="2">
        <v>1</v>
      </c>
      <c r="H166" s="2">
        <v>36</v>
      </c>
      <c r="I166" s="2">
        <v>70230</v>
      </c>
      <c r="J166" s="2" t="s">
        <v>29</v>
      </c>
      <c r="K166" s="2">
        <v>1</v>
      </c>
      <c r="L166" s="2" t="s">
        <v>387</v>
      </c>
      <c r="Q166" s="4" t="str">
        <f ca="1">IFERROR(__xludf.DUMMYFUNCTION("TRIM(SUBSTITUTE(SUBSTITUTE(D166, index(SPLIT(D166, "" ""), COLUMNS(SPLIT(D166, "" ""))), """"), index(SPLIT(D166, "" ""), COLUMNS(SPLIT(D166, "" ""))-1), """"))"),"Новомосковська")</f>
        <v>Новомосковська</v>
      </c>
    </row>
    <row r="167" spans="1:17" ht="50.5">
      <c r="A167" s="2"/>
      <c r="B167" s="2" t="s">
        <v>287</v>
      </c>
      <c r="C167" s="2" t="s">
        <v>379</v>
      </c>
      <c r="D167" s="2" t="s">
        <v>388</v>
      </c>
      <c r="E167" s="2"/>
      <c r="F167" s="2" t="s">
        <v>20</v>
      </c>
      <c r="G167" s="2">
        <v>21</v>
      </c>
      <c r="H167" s="2">
        <v>575.70000000000005</v>
      </c>
      <c r="I167" s="2">
        <v>20639</v>
      </c>
      <c r="J167" s="2" t="s">
        <v>93</v>
      </c>
      <c r="K167" s="2">
        <v>6</v>
      </c>
      <c r="L167" s="2" t="s">
        <v>389</v>
      </c>
      <c r="Q167" s="4" t="str">
        <f ca="1">IFERROR(__xludf.DUMMYFUNCTION("TRIM(SUBSTITUTE(SUBSTITUTE(D167, index(SPLIT(D167, "" ""), COLUMNS(SPLIT(D167, "" ""))), """"), index(SPLIT(D167, "" ""), COLUMNS(SPLIT(D167, "" ""))-1), """"))"),"Перещепинська")</f>
        <v>Перещепинська</v>
      </c>
    </row>
    <row r="168" spans="1:17" ht="38">
      <c r="A168" s="2"/>
      <c r="B168" s="2" t="s">
        <v>287</v>
      </c>
      <c r="C168" s="2" t="s">
        <v>379</v>
      </c>
      <c r="D168" s="2" t="s">
        <v>140</v>
      </c>
      <c r="E168" s="2"/>
      <c r="F168" s="2" t="s">
        <v>28</v>
      </c>
      <c r="G168" s="2">
        <v>9</v>
      </c>
      <c r="H168" s="2">
        <v>399.2</v>
      </c>
      <c r="I168" s="2">
        <v>18668</v>
      </c>
      <c r="J168" s="2" t="s">
        <v>93</v>
      </c>
      <c r="K168" s="2">
        <v>4</v>
      </c>
      <c r="L168" s="2" t="s">
        <v>390</v>
      </c>
      <c r="Q168" s="4" t="str">
        <f ca="1">IFERROR(__xludf.DUMMYFUNCTION("TRIM(SUBSTITUTE(SUBSTITUTE(D168, index(SPLIT(D168, "" ""), COLUMNS(SPLIT(D168, "" ""))), """"), index(SPLIT(D168, "" ""), COLUMNS(SPLIT(D168, "" ""))-1), """"))"),"Піщанська")</f>
        <v>Піщанська</v>
      </c>
    </row>
    <row r="169" spans="1:17" ht="38">
      <c r="A169" s="6" t="s">
        <v>391</v>
      </c>
      <c r="B169" s="2" t="s">
        <v>287</v>
      </c>
      <c r="C169" s="2" t="s">
        <v>379</v>
      </c>
      <c r="D169" s="2" t="s">
        <v>392</v>
      </c>
      <c r="E169" s="2"/>
      <c r="F169" s="2" t="s">
        <v>32</v>
      </c>
      <c r="G169" s="2">
        <v>2</v>
      </c>
      <c r="H169" s="2">
        <v>190.3</v>
      </c>
      <c r="I169" s="2">
        <v>10293</v>
      </c>
      <c r="J169" s="2" t="s">
        <v>310</v>
      </c>
      <c r="K169" s="2">
        <v>2</v>
      </c>
      <c r="L169" s="2" t="s">
        <v>393</v>
      </c>
      <c r="Q169" s="4" t="str">
        <f ca="1">IFERROR(__xludf.DUMMYFUNCTION("TRIM(SUBSTITUTE(SUBSTITUTE(D169, index(SPLIT(D169, "" ""), COLUMNS(SPLIT(D169, "" ""))), """"), index(SPLIT(D169, "" ""), COLUMNS(SPLIT(D169, "" ""))-1), """"))"),"Черкаська")</f>
        <v>Черкаська</v>
      </c>
    </row>
    <row r="170" spans="1:17" ht="50.5">
      <c r="A170" s="2"/>
      <c r="B170" s="2" t="s">
        <v>287</v>
      </c>
      <c r="C170" s="2" t="s">
        <v>379</v>
      </c>
      <c r="D170" s="2" t="s">
        <v>394</v>
      </c>
      <c r="E170" s="2"/>
      <c r="F170" s="2" t="s">
        <v>28</v>
      </c>
      <c r="G170" s="2">
        <v>8</v>
      </c>
      <c r="H170" s="2">
        <v>307.2</v>
      </c>
      <c r="I170" s="2">
        <v>4744</v>
      </c>
      <c r="J170" s="2" t="s">
        <v>163</v>
      </c>
      <c r="K170" s="2">
        <v>4</v>
      </c>
      <c r="L170" s="2" t="s">
        <v>395</v>
      </c>
      <c r="Q170" s="4" t="str">
        <f ca="1">IFERROR(__xludf.DUMMYFUNCTION("TRIM(SUBSTITUTE(SUBSTITUTE(D170, index(SPLIT(D170, "" ""), COLUMNS(SPLIT(D170, "" ""))), """"), index(SPLIT(D170, "" ""), COLUMNS(SPLIT(D170, "" ""))-1), """"))"),"Чернеччинська")</f>
        <v>Чернеччинська</v>
      </c>
    </row>
    <row r="171" spans="1:17" ht="38">
      <c r="A171" s="2"/>
      <c r="B171" s="2" t="s">
        <v>287</v>
      </c>
      <c r="C171" s="2" t="s">
        <v>396</v>
      </c>
      <c r="D171" s="2" t="s">
        <v>397</v>
      </c>
      <c r="E171" s="2"/>
      <c r="F171" s="2" t="s">
        <v>20</v>
      </c>
      <c r="G171" s="2">
        <v>8</v>
      </c>
      <c r="H171" s="2">
        <v>264.10000000000002</v>
      </c>
      <c r="I171" s="2">
        <v>48474</v>
      </c>
      <c r="J171" s="2" t="s">
        <v>398</v>
      </c>
      <c r="K171" s="2">
        <v>2</v>
      </c>
      <c r="L171" s="2" t="s">
        <v>399</v>
      </c>
      <c r="Q171" s="4" t="str">
        <f ca="1">IFERROR(__xludf.DUMMYFUNCTION("TRIM(SUBSTITUTE(SUBSTITUTE(D171, index(SPLIT(D171, "" ""), COLUMNS(SPLIT(D171, "" ""))), """"), index(SPLIT(D171, "" ""), COLUMNS(SPLIT(D171, "" ""))-1), """"))"),"Марганецька")</f>
        <v>Марганецька</v>
      </c>
    </row>
    <row r="172" spans="1:17" ht="38">
      <c r="A172" s="2"/>
      <c r="B172" s="2" t="s">
        <v>287</v>
      </c>
      <c r="C172" s="2" t="s">
        <v>396</v>
      </c>
      <c r="D172" s="2" t="s">
        <v>400</v>
      </c>
      <c r="E172" s="2"/>
      <c r="F172" s="2" t="s">
        <v>28</v>
      </c>
      <c r="G172" s="2">
        <v>15</v>
      </c>
      <c r="H172" s="2">
        <v>321</v>
      </c>
      <c r="I172" s="2">
        <v>7122</v>
      </c>
      <c r="J172" s="2" t="s">
        <v>254</v>
      </c>
      <c r="K172" s="2">
        <v>4</v>
      </c>
      <c r="L172" s="2" t="s">
        <v>401</v>
      </c>
      <c r="Q172" s="4" t="str">
        <f ca="1">IFERROR(__xludf.DUMMYFUNCTION("TRIM(SUBSTITUTE(SUBSTITUTE(D172, index(SPLIT(D172, "" ""), COLUMNS(SPLIT(D172, "" ""))), """"), index(SPLIT(D172, "" ""), COLUMNS(SPLIT(D172, "" ""))-1), """"))"),"Мирівська")</f>
        <v>Мирівська</v>
      </c>
    </row>
    <row r="173" spans="1:17" ht="38">
      <c r="A173" s="2"/>
      <c r="B173" s="2" t="s">
        <v>287</v>
      </c>
      <c r="C173" s="2" t="s">
        <v>396</v>
      </c>
      <c r="D173" s="2" t="s">
        <v>402</v>
      </c>
      <c r="E173" s="2"/>
      <c r="F173" s="2" t="s">
        <v>20</v>
      </c>
      <c r="G173" s="2">
        <v>1</v>
      </c>
      <c r="H173" s="2">
        <v>50.7</v>
      </c>
      <c r="I173" s="2">
        <v>107464</v>
      </c>
      <c r="J173" s="2" t="s">
        <v>29</v>
      </c>
      <c r="K173" s="2">
        <v>1</v>
      </c>
      <c r="L173" s="2" t="s">
        <v>403</v>
      </c>
      <c r="Q173" s="4" t="str">
        <f ca="1">IFERROR(__xludf.DUMMYFUNCTION("TRIM(SUBSTITUTE(SUBSTITUTE(D173, index(SPLIT(D173, "" ""), COLUMNS(SPLIT(D173, "" ""))), """"), index(SPLIT(D173, "" ""), COLUMNS(SPLIT(D173, "" ""))-1), """"))"),"Нікопольська")</f>
        <v>Нікопольська</v>
      </c>
    </row>
    <row r="174" spans="1:17" ht="50.5">
      <c r="A174" s="2"/>
      <c r="B174" s="2" t="s">
        <v>287</v>
      </c>
      <c r="C174" s="2" t="s">
        <v>396</v>
      </c>
      <c r="D174" s="2" t="s">
        <v>404</v>
      </c>
      <c r="E174" s="2"/>
      <c r="F174" s="2" t="s">
        <v>28</v>
      </c>
      <c r="G174" s="2">
        <v>45</v>
      </c>
      <c r="H174" s="2">
        <v>790.9</v>
      </c>
      <c r="I174" s="2">
        <v>12327</v>
      </c>
      <c r="J174" s="2" t="s">
        <v>39</v>
      </c>
      <c r="K174" s="2">
        <v>9</v>
      </c>
      <c r="L174" s="2" t="s">
        <v>405</v>
      </c>
      <c r="Q174" s="4" t="str">
        <f ca="1">IFERROR(__xludf.DUMMYFUNCTION("TRIM(SUBSTITUTE(SUBSTITUTE(D174, index(SPLIT(D174, "" ""), COLUMNS(SPLIT(D174, "" ""))), """"), index(SPLIT(D174, "" ""), COLUMNS(SPLIT(D174, "" ""))-1), """"))"),"Першотравневська")</f>
        <v>Першотравневська</v>
      </c>
    </row>
    <row r="175" spans="1:17" ht="38">
      <c r="A175" s="2"/>
      <c r="B175" s="2" t="s">
        <v>287</v>
      </c>
      <c r="C175" s="2" t="s">
        <v>396</v>
      </c>
      <c r="D175" s="2" t="s">
        <v>406</v>
      </c>
      <c r="E175" s="2"/>
      <c r="F175" s="2" t="s">
        <v>32</v>
      </c>
      <c r="G175" s="2">
        <v>50</v>
      </c>
      <c r="H175" s="2">
        <v>696.7</v>
      </c>
      <c r="I175" s="2">
        <v>20038</v>
      </c>
      <c r="J175" s="2" t="s">
        <v>407</v>
      </c>
      <c r="K175" s="2">
        <v>2</v>
      </c>
      <c r="L175" s="2" t="s">
        <v>408</v>
      </c>
      <c r="Q175" s="4" t="str">
        <f ca="1">IFERROR(__xludf.DUMMYFUNCTION("TRIM(SUBSTITUTE(SUBSTITUTE(D175, index(SPLIT(D175, "" ""), COLUMNS(SPLIT(D175, "" ""))), """"), index(SPLIT(D175, "" ""), COLUMNS(SPLIT(D175, "" ""))-1), """"))"),"Покровська")</f>
        <v>Покровська</v>
      </c>
    </row>
    <row r="176" spans="1:17" ht="38">
      <c r="A176" s="2"/>
      <c r="B176" s="2" t="s">
        <v>287</v>
      </c>
      <c r="C176" s="2" t="s">
        <v>396</v>
      </c>
      <c r="D176" s="2" t="s">
        <v>406</v>
      </c>
      <c r="E176" s="2"/>
      <c r="F176" s="2" t="s">
        <v>20</v>
      </c>
      <c r="G176" s="2">
        <v>6</v>
      </c>
      <c r="H176" s="2">
        <v>170.1</v>
      </c>
      <c r="I176" s="2">
        <v>42875</v>
      </c>
      <c r="J176" s="2" t="s">
        <v>407</v>
      </c>
      <c r="K176" s="2">
        <v>2</v>
      </c>
      <c r="L176" s="2" t="s">
        <v>408</v>
      </c>
      <c r="Q176" s="4" t="str">
        <f ca="1">IFERROR(__xludf.DUMMYFUNCTION("TRIM(SUBSTITUTE(SUBSTITUTE(D176, index(SPLIT(D176, "" ""), COLUMNS(SPLIT(D176, "" ""))), """"), index(SPLIT(D176, "" ""), COLUMNS(SPLIT(D176, "" ""))-1), """"))"),"Покровська")</f>
        <v>Покровська</v>
      </c>
    </row>
    <row r="177" spans="1:17" ht="38">
      <c r="A177" s="2"/>
      <c r="B177" s="2" t="s">
        <v>287</v>
      </c>
      <c r="C177" s="2" t="s">
        <v>396</v>
      </c>
      <c r="D177" s="2" t="s">
        <v>409</v>
      </c>
      <c r="E177" s="2"/>
      <c r="F177" s="2" t="s">
        <v>32</v>
      </c>
      <c r="G177" s="2">
        <v>35</v>
      </c>
      <c r="H177" s="2">
        <v>669</v>
      </c>
      <c r="I177" s="2">
        <v>14416</v>
      </c>
      <c r="J177" s="2" t="s">
        <v>33</v>
      </c>
      <c r="K177" s="2">
        <v>8</v>
      </c>
      <c r="L177" s="2" t="s">
        <v>410</v>
      </c>
      <c r="Q177" s="4" t="str">
        <f ca="1">IFERROR(__xludf.DUMMYFUNCTION("TRIM(SUBSTITUTE(SUBSTITUTE(D177, index(SPLIT(D177, "" ""), COLUMNS(SPLIT(D177, "" ""))), """"), index(SPLIT(D177, "" ""), COLUMNS(SPLIT(D177, "" ""))-1), """"))"),"Томаківська")</f>
        <v>Томаківська</v>
      </c>
    </row>
    <row r="178" spans="1:17" ht="50.5">
      <c r="A178" s="2"/>
      <c r="B178" s="2" t="s">
        <v>287</v>
      </c>
      <c r="C178" s="2" t="s">
        <v>396</v>
      </c>
      <c r="D178" s="2" t="s">
        <v>411</v>
      </c>
      <c r="E178" s="2"/>
      <c r="F178" s="2" t="s">
        <v>32</v>
      </c>
      <c r="G178" s="2">
        <v>7</v>
      </c>
      <c r="H178" s="2">
        <v>442.1</v>
      </c>
      <c r="I178" s="2">
        <v>12511</v>
      </c>
      <c r="J178" s="2" t="s">
        <v>39</v>
      </c>
      <c r="K178" s="2">
        <v>3</v>
      </c>
      <c r="L178" s="2" t="s">
        <v>412</v>
      </c>
      <c r="Q178" s="4" t="str">
        <f ca="1">IFERROR(__xludf.DUMMYFUNCTION("TRIM(SUBSTITUTE(SUBSTITUTE(D178, index(SPLIT(D178, "" ""), COLUMNS(SPLIT(D178, "" ""))), """"), index(SPLIT(D178, "" ""), COLUMNS(SPLIT(D178, "" ""))-1), """"))"),"Червоногригорівська")</f>
        <v>Червоногригорівська</v>
      </c>
    </row>
    <row r="179" spans="1:17" ht="38">
      <c r="A179" s="2"/>
      <c r="B179" s="2" t="s">
        <v>287</v>
      </c>
      <c r="C179" s="2" t="s">
        <v>413</v>
      </c>
      <c r="D179" s="2" t="s">
        <v>414</v>
      </c>
      <c r="E179" s="2"/>
      <c r="F179" s="2" t="s">
        <v>28</v>
      </c>
      <c r="G179" s="2">
        <v>10</v>
      </c>
      <c r="H179" s="2">
        <v>496.9</v>
      </c>
      <c r="I179" s="2">
        <v>9737</v>
      </c>
      <c r="J179" s="2" t="s">
        <v>143</v>
      </c>
      <c r="K179" s="2">
        <v>5</v>
      </c>
      <c r="L179" s="2" t="s">
        <v>415</v>
      </c>
      <c r="Q179" s="4" t="str">
        <f ca="1">IFERROR(__xludf.DUMMYFUNCTION("TRIM(SUBSTITUTE(SUBSTITUTE(D179, index(SPLIT(D179, "" ""), COLUMNS(SPLIT(D179, "" ""))), """"), index(SPLIT(D179, "" ""), COLUMNS(SPLIT(D179, "" ""))-1), """"))"),"Богданівська")</f>
        <v>Богданівська</v>
      </c>
    </row>
    <row r="180" spans="1:17" ht="38">
      <c r="A180" s="2"/>
      <c r="B180" s="2" t="s">
        <v>287</v>
      </c>
      <c r="C180" s="2" t="s">
        <v>413</v>
      </c>
      <c r="D180" s="2" t="s">
        <v>416</v>
      </c>
      <c r="E180" s="2"/>
      <c r="F180" s="2" t="s">
        <v>28</v>
      </c>
      <c r="G180" s="2">
        <v>16</v>
      </c>
      <c r="H180" s="2">
        <v>583.20000000000005</v>
      </c>
      <c r="I180" s="2">
        <v>8097</v>
      </c>
      <c r="J180" s="2" t="s">
        <v>143</v>
      </c>
      <c r="K180" s="2">
        <v>5</v>
      </c>
      <c r="L180" s="2" t="s">
        <v>417</v>
      </c>
      <c r="Q180" s="4" t="str">
        <f ca="1">IFERROR(__xludf.DUMMYFUNCTION("TRIM(SUBSTITUTE(SUBSTITUTE(D180, index(SPLIT(D180, "" ""), COLUMNS(SPLIT(D180, "" ""))), """"), index(SPLIT(D180, "" ""), COLUMNS(SPLIT(D180, "" ""))-1), """"))"),"Вербківська")</f>
        <v>Вербківська</v>
      </c>
    </row>
    <row r="181" spans="1:17" ht="38">
      <c r="A181" s="2"/>
      <c r="B181" s="2" t="s">
        <v>287</v>
      </c>
      <c r="C181" s="2" t="s">
        <v>413</v>
      </c>
      <c r="D181" s="2" t="s">
        <v>418</v>
      </c>
      <c r="E181" s="2"/>
      <c r="F181" s="2" t="s">
        <v>28</v>
      </c>
      <c r="G181" s="2">
        <v>12</v>
      </c>
      <c r="H181" s="2">
        <v>270</v>
      </c>
      <c r="I181" s="2">
        <v>6805</v>
      </c>
      <c r="J181" s="2" t="s">
        <v>39</v>
      </c>
      <c r="K181" s="2">
        <v>3</v>
      </c>
      <c r="L181" s="2" t="s">
        <v>419</v>
      </c>
      <c r="Q181" s="4" t="str">
        <f ca="1">IFERROR(__xludf.DUMMYFUNCTION("TRIM(SUBSTITUTE(SUBSTITUTE(D181, index(SPLIT(D181, "" ""), COLUMNS(SPLIT(D181, "" ""))), """"), index(SPLIT(D181, "" ""), COLUMNS(SPLIT(D181, "" ""))-1), """"))"),"Межиріцька")</f>
        <v>Межиріцька</v>
      </c>
    </row>
    <row r="182" spans="1:17" ht="50.5">
      <c r="A182" s="2"/>
      <c r="B182" s="2" t="s">
        <v>287</v>
      </c>
      <c r="C182" s="2" t="s">
        <v>413</v>
      </c>
      <c r="D182" s="2" t="s">
        <v>420</v>
      </c>
      <c r="E182" s="2"/>
      <c r="F182" s="2" t="s">
        <v>20</v>
      </c>
      <c r="G182" s="2">
        <v>1</v>
      </c>
      <c r="H182" s="2">
        <v>58.8</v>
      </c>
      <c r="I182" s="2">
        <v>103073</v>
      </c>
      <c r="J182" s="2" t="s">
        <v>29</v>
      </c>
      <c r="K182" s="2">
        <v>1</v>
      </c>
      <c r="L182" s="2" t="s">
        <v>421</v>
      </c>
      <c r="Q182" s="4" t="str">
        <f ca="1">IFERROR(__xludf.DUMMYFUNCTION("TRIM(SUBSTITUTE(SUBSTITUTE(D182, index(SPLIT(D182, "" ""), COLUMNS(SPLIT(D182, "" ""))), """"), index(SPLIT(D182, "" ""), COLUMNS(SPLIT(D182, "" ""))-1), """"))"),"Павлоградська")</f>
        <v>Павлоградська</v>
      </c>
    </row>
    <row r="183" spans="1:17" ht="38">
      <c r="A183" s="2"/>
      <c r="B183" s="2" t="s">
        <v>287</v>
      </c>
      <c r="C183" s="2" t="s">
        <v>413</v>
      </c>
      <c r="D183" s="2" t="s">
        <v>422</v>
      </c>
      <c r="E183" s="2"/>
      <c r="F183" s="2" t="s">
        <v>20</v>
      </c>
      <c r="G183" s="2">
        <v>2</v>
      </c>
      <c r="H183" s="2">
        <v>14.3</v>
      </c>
      <c r="I183" s="2">
        <v>27320</v>
      </c>
      <c r="J183" s="2" t="s">
        <v>423</v>
      </c>
      <c r="K183" s="2">
        <v>1</v>
      </c>
      <c r="L183" s="2" t="s">
        <v>424</v>
      </c>
      <c r="Q183" s="4" t="str">
        <f ca="1">IFERROR(__xludf.DUMMYFUNCTION("TRIM(SUBSTITUTE(SUBSTITUTE(D183, index(SPLIT(D183, "" ""), COLUMNS(SPLIT(D183, "" ""))), """"), index(SPLIT(D183, "" ""), COLUMNS(SPLIT(D183, "" ""))-1), """"))"),"Тернівська")</f>
        <v>Тернівська</v>
      </c>
    </row>
    <row r="184" spans="1:17" ht="38">
      <c r="A184" s="2"/>
      <c r="B184" s="2" t="s">
        <v>287</v>
      </c>
      <c r="C184" s="2" t="s">
        <v>413</v>
      </c>
      <c r="D184" s="2" t="s">
        <v>425</v>
      </c>
      <c r="E184" s="2"/>
      <c r="F184" s="2" t="s">
        <v>28</v>
      </c>
      <c r="G184" s="2">
        <v>10</v>
      </c>
      <c r="H184" s="2">
        <v>237.9</v>
      </c>
      <c r="I184" s="2">
        <v>3450</v>
      </c>
      <c r="J184" s="2" t="s">
        <v>39</v>
      </c>
      <c r="K184" s="2">
        <v>3</v>
      </c>
      <c r="L184" s="2" t="s">
        <v>426</v>
      </c>
      <c r="Q184" s="4" t="str">
        <f ca="1">IFERROR(__xludf.DUMMYFUNCTION("TRIM(SUBSTITUTE(SUBSTITUTE(D184, index(SPLIT(D184, "" ""), COLUMNS(SPLIT(D184, "" ""))), """"), index(SPLIT(D184, "" ""), COLUMNS(SPLIT(D184, "" ""))-1), """"))"),"Троїцька")</f>
        <v>Троїцька</v>
      </c>
    </row>
    <row r="185" spans="1:17" ht="50.5">
      <c r="A185" s="2"/>
      <c r="B185" s="2" t="s">
        <v>287</v>
      </c>
      <c r="C185" s="2" t="s">
        <v>413</v>
      </c>
      <c r="D185" s="2" t="s">
        <v>427</v>
      </c>
      <c r="E185" s="2"/>
      <c r="F185" s="2" t="s">
        <v>32</v>
      </c>
      <c r="G185" s="2">
        <v>47</v>
      </c>
      <c r="H185" s="2">
        <v>769</v>
      </c>
      <c r="I185" s="2">
        <v>11768</v>
      </c>
      <c r="J185" s="2" t="s">
        <v>39</v>
      </c>
      <c r="K185" s="2">
        <v>10</v>
      </c>
      <c r="L185" s="2" t="s">
        <v>428</v>
      </c>
      <c r="Q185" s="4" t="str">
        <f ca="1">IFERROR(__xludf.DUMMYFUNCTION("TRIM(SUBSTITUTE(SUBSTITUTE(D185, index(SPLIT(D185, "" ""), COLUMNS(SPLIT(D185, "" ""))), """"), index(SPLIT(D185, "" ""), COLUMNS(SPLIT(D185, "" ""))-1), """"))"),"Юр’ївська")</f>
        <v>Юр’ївська</v>
      </c>
    </row>
    <row r="186" spans="1:17" ht="38">
      <c r="A186" s="2"/>
      <c r="B186" s="2" t="s">
        <v>287</v>
      </c>
      <c r="C186" s="2" t="s">
        <v>429</v>
      </c>
      <c r="D186" s="2" t="s">
        <v>430</v>
      </c>
      <c r="E186" s="2"/>
      <c r="F186" s="2" t="s">
        <v>32</v>
      </c>
      <c r="G186" s="2">
        <v>17</v>
      </c>
      <c r="H186" s="2">
        <v>235.4</v>
      </c>
      <c r="I186" s="2">
        <v>12995</v>
      </c>
      <c r="J186" s="2" t="s">
        <v>39</v>
      </c>
      <c r="K186" s="2">
        <v>4</v>
      </c>
      <c r="L186" s="2" t="s">
        <v>431</v>
      </c>
      <c r="Q186" s="4" t="str">
        <f ca="1">IFERROR(__xludf.DUMMYFUNCTION("TRIM(SUBSTITUTE(SUBSTITUTE(D186, index(SPLIT(D186, "" ""), COLUMNS(SPLIT(D186, "" ""))), """"), index(SPLIT(D186, "" ""), COLUMNS(SPLIT(D186, "" ""))-1), """"))"),"Іларіонівська")</f>
        <v>Іларіонівська</v>
      </c>
    </row>
    <row r="187" spans="1:17" ht="38">
      <c r="A187" s="2"/>
      <c r="B187" s="2" t="s">
        <v>287</v>
      </c>
      <c r="C187" s="2" t="s">
        <v>429</v>
      </c>
      <c r="D187" s="2" t="s">
        <v>432</v>
      </c>
      <c r="E187" s="2"/>
      <c r="F187" s="2" t="s">
        <v>28</v>
      </c>
      <c r="G187" s="2">
        <v>18</v>
      </c>
      <c r="H187" s="2">
        <v>323.7</v>
      </c>
      <c r="I187" s="2">
        <v>3892</v>
      </c>
      <c r="J187" s="2" t="s">
        <v>29</v>
      </c>
      <c r="K187" s="2">
        <v>5</v>
      </c>
      <c r="L187" s="2" t="s">
        <v>433</v>
      </c>
      <c r="Q187" s="4" t="str">
        <f ca="1">IFERROR(__xludf.DUMMYFUNCTION("TRIM(SUBSTITUTE(SUBSTITUTE(D187, index(SPLIT(D187, "" ""), COLUMNS(SPLIT(D187, "" ""))), """"), index(SPLIT(D187, "" ""), COLUMNS(SPLIT(D187, "" ""))-1), """"))"),"Брагинівська")</f>
        <v>Брагинівська</v>
      </c>
    </row>
    <row r="188" spans="1:17" ht="50.5">
      <c r="A188" s="2"/>
      <c r="B188" s="2" t="s">
        <v>287</v>
      </c>
      <c r="C188" s="2" t="s">
        <v>429</v>
      </c>
      <c r="D188" s="2" t="s">
        <v>434</v>
      </c>
      <c r="E188" s="2"/>
      <c r="F188" s="2" t="s">
        <v>32</v>
      </c>
      <c r="G188" s="2">
        <v>56</v>
      </c>
      <c r="H188" s="2">
        <v>882.4</v>
      </c>
      <c r="I188" s="2">
        <v>21999</v>
      </c>
      <c r="J188" s="2" t="s">
        <v>33</v>
      </c>
      <c r="K188" s="2">
        <v>8</v>
      </c>
      <c r="L188" s="2" t="s">
        <v>435</v>
      </c>
      <c r="Q188" s="4" t="str">
        <f ca="1">IFERROR(__xludf.DUMMYFUNCTION("TRIM(SUBSTITUTE(SUBSTITUTE(D188, index(SPLIT(D188, "" ""), COLUMNS(SPLIT(D188, "" ""))), """"), index(SPLIT(D188, "" ""), COLUMNS(SPLIT(D188, "" ""))-1), """"))"),"Васильківська")</f>
        <v>Васильківська</v>
      </c>
    </row>
    <row r="189" spans="1:17" ht="50.5">
      <c r="A189" s="2"/>
      <c r="B189" s="2" t="s">
        <v>287</v>
      </c>
      <c r="C189" s="2" t="s">
        <v>429</v>
      </c>
      <c r="D189" s="2" t="s">
        <v>436</v>
      </c>
      <c r="E189" s="2"/>
      <c r="F189" s="2" t="s">
        <v>28</v>
      </c>
      <c r="G189" s="2">
        <v>16</v>
      </c>
      <c r="H189" s="2">
        <v>271</v>
      </c>
      <c r="I189" s="2">
        <v>3779</v>
      </c>
      <c r="J189" s="2" t="s">
        <v>33</v>
      </c>
      <c r="K189" s="2">
        <v>2</v>
      </c>
      <c r="L189" s="2" t="s">
        <v>437</v>
      </c>
      <c r="Q189" s="4" t="str">
        <f ca="1">IFERROR(__xludf.DUMMYFUNCTION("TRIM(SUBSTITUTE(SUBSTITUTE(D189, index(SPLIT(D189, "" ""), COLUMNS(SPLIT(D189, "" ""))), """"), index(SPLIT(D189, "" ""), COLUMNS(SPLIT(D189, "" ""))-1), """"))"),"Великомихайлівська")</f>
        <v>Великомихайлівська</v>
      </c>
    </row>
    <row r="190" spans="1:17" ht="50.5">
      <c r="A190" s="2"/>
      <c r="B190" s="2" t="s">
        <v>287</v>
      </c>
      <c r="C190" s="2" t="s">
        <v>429</v>
      </c>
      <c r="D190" s="2" t="s">
        <v>438</v>
      </c>
      <c r="E190" s="2"/>
      <c r="F190" s="2" t="s">
        <v>28</v>
      </c>
      <c r="G190" s="2">
        <v>27</v>
      </c>
      <c r="H190" s="2">
        <v>448.6</v>
      </c>
      <c r="I190" s="2">
        <v>8670</v>
      </c>
      <c r="J190" s="2" t="s">
        <v>39</v>
      </c>
      <c r="K190" s="2">
        <v>5</v>
      </c>
      <c r="L190" s="2" t="s">
        <v>439</v>
      </c>
      <c r="Q190" s="4" t="str">
        <f ca="1">IFERROR(__xludf.DUMMYFUNCTION("TRIM(SUBSTITUTE(SUBSTITUTE(D190, index(SPLIT(D190, "" ""), COLUMNS(SPLIT(D190, "" ""))), """"), index(SPLIT(D190, "" ""), COLUMNS(SPLIT(D190, "" ""))-1), """"))"),"Дубовиківська")</f>
        <v>Дубовиківська</v>
      </c>
    </row>
    <row r="191" spans="1:17" ht="38">
      <c r="A191" s="2"/>
      <c r="B191" s="2" t="s">
        <v>287</v>
      </c>
      <c r="C191" s="2" t="s">
        <v>429</v>
      </c>
      <c r="D191" s="2" t="s">
        <v>440</v>
      </c>
      <c r="E191" s="2"/>
      <c r="F191" s="2" t="s">
        <v>28</v>
      </c>
      <c r="G191" s="2">
        <v>15</v>
      </c>
      <c r="H191" s="2">
        <v>257</v>
      </c>
      <c r="I191" s="2">
        <v>3410</v>
      </c>
      <c r="J191" s="2" t="s">
        <v>39</v>
      </c>
      <c r="K191" s="2">
        <v>3</v>
      </c>
      <c r="L191" s="2" t="s">
        <v>441</v>
      </c>
      <c r="Q191" s="4" t="str">
        <f ca="1">IFERROR(__xludf.DUMMYFUNCTION("TRIM(SUBSTITUTE(SUBSTITUTE(D191, index(SPLIT(D191, "" ""), COLUMNS(SPLIT(D191, "" ""))), """"), index(SPLIT(D191, "" ""), COLUMNS(SPLIT(D191, "" ""))-1), """"))"),"Зайцівська")</f>
        <v>Зайцівська</v>
      </c>
    </row>
    <row r="192" spans="1:17" ht="50.5">
      <c r="A192" s="2"/>
      <c r="B192" s="2" t="s">
        <v>287</v>
      </c>
      <c r="C192" s="2" t="s">
        <v>429</v>
      </c>
      <c r="D192" s="2" t="s">
        <v>442</v>
      </c>
      <c r="E192" s="2"/>
      <c r="F192" s="2" t="s">
        <v>28</v>
      </c>
      <c r="G192" s="2">
        <v>5</v>
      </c>
      <c r="H192" s="2">
        <v>243.6</v>
      </c>
      <c r="I192" s="2">
        <v>8722</v>
      </c>
      <c r="J192" s="2" t="s">
        <v>33</v>
      </c>
      <c r="K192" s="2">
        <v>3</v>
      </c>
      <c r="L192" s="2" t="s">
        <v>443</v>
      </c>
      <c r="Q192" s="4" t="str">
        <f ca="1">IFERROR(__xludf.DUMMYFUNCTION("TRIM(SUBSTITUTE(SUBSTITUTE(D192, index(SPLIT(D192, "" ""), COLUMNS(SPLIT(D192, "" ""))), """"), index(SPLIT(D192, "" ""), COLUMNS(SPLIT(D192, "" ""))-1), """"))"),"Маломихайлівська")</f>
        <v>Маломихайлівська</v>
      </c>
    </row>
    <row r="193" spans="1:17" ht="38">
      <c r="A193" s="2"/>
      <c r="B193" s="2" t="s">
        <v>287</v>
      </c>
      <c r="C193" s="2" t="s">
        <v>429</v>
      </c>
      <c r="D193" s="2" t="s">
        <v>444</v>
      </c>
      <c r="E193" s="2"/>
      <c r="F193" s="2" t="s">
        <v>32</v>
      </c>
      <c r="G193" s="2">
        <v>30</v>
      </c>
      <c r="H193" s="2">
        <v>631.4</v>
      </c>
      <c r="I193" s="2">
        <v>14946</v>
      </c>
      <c r="J193" s="2" t="s">
        <v>39</v>
      </c>
      <c r="K193" s="2">
        <v>7</v>
      </c>
      <c r="L193" s="2" t="s">
        <v>445</v>
      </c>
      <c r="Q193" s="4" t="str">
        <f ca="1">IFERROR(__xludf.DUMMYFUNCTION("TRIM(SUBSTITUTE(SUBSTITUTE(D193, index(SPLIT(D193, "" ""), COLUMNS(SPLIT(D193, "" ""))), """"), index(SPLIT(D193, "" ""), COLUMNS(SPLIT(D193, "" ""))-1), """"))"),"Межівська")</f>
        <v>Межівська</v>
      </c>
    </row>
    <row r="194" spans="1:17" ht="38">
      <c r="A194" s="2"/>
      <c r="B194" s="2" t="s">
        <v>287</v>
      </c>
      <c r="C194" s="2" t="s">
        <v>429</v>
      </c>
      <c r="D194" s="2" t="s">
        <v>297</v>
      </c>
      <c r="E194" s="2"/>
      <c r="F194" s="2" t="s">
        <v>28</v>
      </c>
      <c r="G194" s="2">
        <v>17</v>
      </c>
      <c r="H194" s="2">
        <v>459.5</v>
      </c>
      <c r="I194" s="2">
        <v>9764</v>
      </c>
      <c r="J194" s="2" t="s">
        <v>29</v>
      </c>
      <c r="K194" s="2">
        <v>5</v>
      </c>
      <c r="L194" s="2" t="s">
        <v>298</v>
      </c>
      <c r="Q194" s="4" t="str">
        <f ca="1">IFERROR(__xludf.DUMMYFUNCTION("TRIM(SUBSTITUTE(SUBSTITUTE(D194, index(SPLIT(D194, "" ""), COLUMNS(SPLIT(D194, "" ""))), """"), index(SPLIT(D194, "" ""), COLUMNS(SPLIT(D194, "" ""))-1), """"))"),"Миколаївська")</f>
        <v>Миколаївська</v>
      </c>
    </row>
    <row r="195" spans="1:17" ht="50.5">
      <c r="A195" s="2"/>
      <c r="B195" s="2" t="s">
        <v>287</v>
      </c>
      <c r="C195" s="2" t="s">
        <v>429</v>
      </c>
      <c r="D195" s="2" t="s">
        <v>446</v>
      </c>
      <c r="E195" s="2"/>
      <c r="F195" s="2" t="s">
        <v>28</v>
      </c>
      <c r="G195" s="2">
        <v>11</v>
      </c>
      <c r="H195" s="2">
        <v>327.10000000000002</v>
      </c>
      <c r="I195" s="2">
        <v>3901</v>
      </c>
      <c r="J195" s="2" t="s">
        <v>33</v>
      </c>
      <c r="K195" s="2">
        <v>2</v>
      </c>
      <c r="L195" s="2" t="s">
        <v>447</v>
      </c>
      <c r="Q195" s="4" t="str">
        <f ca="1">IFERROR(__xludf.DUMMYFUNCTION("TRIM(SUBSTITUTE(SUBSTITUTE(D195, index(SPLIT(D195, "" ""), COLUMNS(SPLIT(D195, "" ""))), """"), index(SPLIT(D195, "" ""), COLUMNS(SPLIT(D195, "" ""))-1), """"))"),"Новопавлівська")</f>
        <v>Новопавлівська</v>
      </c>
    </row>
    <row r="196" spans="1:17" ht="50.5">
      <c r="A196" s="2"/>
      <c r="B196" s="2" t="s">
        <v>287</v>
      </c>
      <c r="C196" s="2" t="s">
        <v>429</v>
      </c>
      <c r="D196" s="2" t="s">
        <v>448</v>
      </c>
      <c r="E196" s="2"/>
      <c r="F196" s="2" t="s">
        <v>20</v>
      </c>
      <c r="G196" s="2">
        <v>1</v>
      </c>
      <c r="H196" s="2">
        <v>2.9</v>
      </c>
      <c r="I196" s="2">
        <v>27573</v>
      </c>
      <c r="J196" s="2" t="s">
        <v>29</v>
      </c>
      <c r="K196" s="2">
        <v>1</v>
      </c>
      <c r="L196" s="2" t="s">
        <v>449</v>
      </c>
      <c r="Q196" s="4" t="str">
        <f ca="1">IFERROR(__xludf.DUMMYFUNCTION("TRIM(SUBSTITUTE(SUBSTITUTE(D196, index(SPLIT(D196, "" ""), COLUMNS(SPLIT(D196, "" ""))), """"), index(SPLIT(D196, "" ""), COLUMNS(SPLIT(D196, "" ""))-1), """"))"),"Першотравенська")</f>
        <v>Першотравенська</v>
      </c>
    </row>
    <row r="197" spans="1:17" ht="50.5">
      <c r="A197" s="2"/>
      <c r="B197" s="2" t="s">
        <v>287</v>
      </c>
      <c r="C197" s="2" t="s">
        <v>429</v>
      </c>
      <c r="D197" s="2" t="s">
        <v>450</v>
      </c>
      <c r="E197" s="2"/>
      <c r="F197" s="2" t="s">
        <v>32</v>
      </c>
      <c r="G197" s="2">
        <v>8</v>
      </c>
      <c r="H197" s="2">
        <v>207.1</v>
      </c>
      <c r="I197" s="2">
        <v>8489</v>
      </c>
      <c r="J197" s="2" t="s">
        <v>29</v>
      </c>
      <c r="K197" s="2">
        <v>3</v>
      </c>
      <c r="L197" s="2" t="s">
        <v>451</v>
      </c>
      <c r="Q197" s="4" t="str">
        <f ca="1">IFERROR(__xludf.DUMMYFUNCTION("TRIM(SUBSTITUTE(SUBSTITUTE(D197, index(SPLIT(D197, "" ""), COLUMNS(SPLIT(D197, "" ""))), """"), index(SPLIT(D197, "" ""), COLUMNS(SPLIT(D197, "" ""))-1), """"))"),"Петропавлівська")</f>
        <v>Петропавлівська</v>
      </c>
    </row>
    <row r="198" spans="1:17" ht="38">
      <c r="A198" s="2"/>
      <c r="B198" s="2" t="s">
        <v>287</v>
      </c>
      <c r="C198" s="2" t="s">
        <v>429</v>
      </c>
      <c r="D198" s="2" t="s">
        <v>406</v>
      </c>
      <c r="E198" s="2"/>
      <c r="F198" s="2" t="s">
        <v>28</v>
      </c>
      <c r="G198" s="2">
        <v>13</v>
      </c>
      <c r="H198" s="2">
        <v>538.79999999999995</v>
      </c>
      <c r="I198" s="2">
        <v>10316</v>
      </c>
      <c r="J198" s="2" t="s">
        <v>407</v>
      </c>
      <c r="K198" s="2">
        <v>2</v>
      </c>
      <c r="L198" s="2" t="s">
        <v>408</v>
      </c>
      <c r="Q198" s="4" t="str">
        <f ca="1">IFERROR(__xludf.DUMMYFUNCTION("TRIM(SUBSTITUTE(SUBSTITUTE(D198, index(SPLIT(D198, "" ""), COLUMNS(SPLIT(D198, "" ""))), """"), index(SPLIT(D198, "" ""), COLUMNS(SPLIT(D198, "" ""))-1), """"))"),"Покровська")</f>
        <v>Покровська</v>
      </c>
    </row>
    <row r="199" spans="1:17" ht="50.5">
      <c r="A199" s="2"/>
      <c r="B199" s="2" t="s">
        <v>287</v>
      </c>
      <c r="C199" s="2" t="s">
        <v>429</v>
      </c>
      <c r="D199" s="2" t="s">
        <v>452</v>
      </c>
      <c r="E199" s="2"/>
      <c r="F199" s="2" t="s">
        <v>28</v>
      </c>
      <c r="G199" s="2">
        <v>47</v>
      </c>
      <c r="H199" s="2">
        <v>677.3</v>
      </c>
      <c r="I199" s="2">
        <v>10501</v>
      </c>
      <c r="J199" s="2" t="s">
        <v>39</v>
      </c>
      <c r="K199" s="2">
        <v>10</v>
      </c>
      <c r="L199" s="2" t="s">
        <v>453</v>
      </c>
      <c r="Q199" s="4" t="str">
        <f ca="1">IFERROR(__xludf.DUMMYFUNCTION("TRIM(SUBSTITUTE(SUBSTITUTE(D199, index(SPLIT(D199, "" ""), COLUMNS(SPLIT(D199, "" ""))), """"), index(SPLIT(D199, "" ""), COLUMNS(SPLIT(D199, "" ""))-1), """"))"),"Раївська")</f>
        <v>Раївська</v>
      </c>
    </row>
    <row r="200" spans="1:17" ht="38">
      <c r="A200" s="2"/>
      <c r="B200" s="2" t="s">
        <v>287</v>
      </c>
      <c r="C200" s="2" t="s">
        <v>429</v>
      </c>
      <c r="D200" s="2" t="s">
        <v>454</v>
      </c>
      <c r="E200" s="2"/>
      <c r="F200" s="2" t="s">
        <v>32</v>
      </c>
      <c r="G200" s="2">
        <v>10</v>
      </c>
      <c r="H200" s="2">
        <v>145.6</v>
      </c>
      <c r="I200" s="2">
        <v>3062</v>
      </c>
      <c r="J200" s="2" t="s">
        <v>33</v>
      </c>
      <c r="K200" s="2">
        <v>2</v>
      </c>
      <c r="L200" s="2" t="s">
        <v>455</v>
      </c>
      <c r="Q200" s="4" t="str">
        <f ca="1">IFERROR(__xludf.DUMMYFUNCTION("TRIM(SUBSTITUTE(SUBSTITUTE(D200, index(SPLIT(D200, "" ""), COLUMNS(SPLIT(D200, "" ""))), """"), index(SPLIT(D200, "" ""), COLUMNS(SPLIT(D200, "" ""))-1), """"))"),"Роздорська")</f>
        <v>Роздорська</v>
      </c>
    </row>
    <row r="201" spans="1:17" ht="50.5">
      <c r="A201" s="2"/>
      <c r="B201" s="2" t="s">
        <v>287</v>
      </c>
      <c r="C201" s="2" t="s">
        <v>429</v>
      </c>
      <c r="D201" s="2" t="s">
        <v>456</v>
      </c>
      <c r="E201" s="2"/>
      <c r="F201" s="2" t="s">
        <v>20</v>
      </c>
      <c r="G201" s="2">
        <v>1</v>
      </c>
      <c r="H201" s="2">
        <v>23.9</v>
      </c>
      <c r="I201" s="2">
        <v>30021</v>
      </c>
      <c r="J201" s="2" t="s">
        <v>29</v>
      </c>
      <c r="K201" s="2">
        <v>1</v>
      </c>
      <c r="L201" s="2" t="s">
        <v>457</v>
      </c>
      <c r="Q201" s="4" t="str">
        <f ca="1">IFERROR(__xludf.DUMMYFUNCTION("TRIM(SUBSTITUTE(SUBSTITUTE(D201, index(SPLIT(D201, "" ""), COLUMNS(SPLIT(D201, "" ""))), """"), index(SPLIT(D201, "" ""), COLUMNS(SPLIT(D201, "" ""))-1), """"))"),"Синельниківська")</f>
        <v>Синельниківська</v>
      </c>
    </row>
    <row r="202" spans="1:17" ht="50.5">
      <c r="A202" s="2"/>
      <c r="B202" s="2" t="s">
        <v>287</v>
      </c>
      <c r="C202" s="2" t="s">
        <v>429</v>
      </c>
      <c r="D202" s="2" t="s">
        <v>458</v>
      </c>
      <c r="E202" s="2"/>
      <c r="F202" s="2" t="s">
        <v>32</v>
      </c>
      <c r="G202" s="2">
        <v>24</v>
      </c>
      <c r="H202" s="2">
        <v>239.8</v>
      </c>
      <c r="I202" s="2">
        <v>5044</v>
      </c>
      <c r="J202" s="2" t="s">
        <v>39</v>
      </c>
      <c r="K202" s="2">
        <v>4</v>
      </c>
      <c r="L202" s="2" t="s">
        <v>459</v>
      </c>
      <c r="Q202" s="4" t="str">
        <f ca="1">IFERROR(__xludf.DUMMYFUNCTION("TRIM(SUBSTITUTE(SUBSTITUTE(D202, index(SPLIT(D202, "" ""), COLUMNS(SPLIT(D202, "" ""))), """"), index(SPLIT(D202, "" ""), COLUMNS(SPLIT(D202, "" ""))-1), """"))"),"Славгородська")</f>
        <v>Славгородська</v>
      </c>
    </row>
    <row r="203" spans="1:17" ht="38">
      <c r="A203" s="2"/>
      <c r="B203" s="2" t="s">
        <v>287</v>
      </c>
      <c r="C203" s="2" t="s">
        <v>429</v>
      </c>
      <c r="D203" s="2" t="s">
        <v>460</v>
      </c>
      <c r="E203" s="2"/>
      <c r="F203" s="2" t="s">
        <v>28</v>
      </c>
      <c r="G203" s="2">
        <v>11</v>
      </c>
      <c r="H203" s="2">
        <v>293.3</v>
      </c>
      <c r="I203" s="2">
        <v>3371</v>
      </c>
      <c r="J203" s="2" t="s">
        <v>29</v>
      </c>
      <c r="K203" s="2">
        <v>2</v>
      </c>
      <c r="L203" s="2" t="s">
        <v>461</v>
      </c>
      <c r="Q203" s="4" t="str">
        <f ca="1">IFERROR(__xludf.DUMMYFUNCTION("TRIM(SUBSTITUTE(SUBSTITUTE(D203, index(SPLIT(D203, "" ""), COLUMNS(SPLIT(D203, "" ""))), """"), index(SPLIT(D203, "" ""), COLUMNS(SPLIT(D203, "" ""))-1), """"))"),"Слов'янська")</f>
        <v>Слов'янська</v>
      </c>
    </row>
    <row r="204" spans="1:17" ht="38">
      <c r="A204" s="2"/>
      <c r="B204" s="2" t="s">
        <v>287</v>
      </c>
      <c r="C204" s="2" t="s">
        <v>429</v>
      </c>
      <c r="D204" s="2" t="s">
        <v>462</v>
      </c>
      <c r="E204" s="2"/>
      <c r="F204" s="2" t="s">
        <v>28</v>
      </c>
      <c r="G204" s="2">
        <v>8</v>
      </c>
      <c r="H204" s="2">
        <v>258.8</v>
      </c>
      <c r="I204" s="2">
        <v>2534</v>
      </c>
      <c r="J204" s="2" t="s">
        <v>178</v>
      </c>
      <c r="K204" s="2">
        <v>2</v>
      </c>
      <c r="L204" s="2" t="s">
        <v>463</v>
      </c>
      <c r="Q204" s="4" t="str">
        <f ca="1">IFERROR(__xludf.DUMMYFUNCTION("TRIM(SUBSTITUTE(SUBSTITUTE(D204, index(SPLIT(D204, "" ""), COLUMNS(SPLIT(D204, "" ""))), """"), index(SPLIT(D204, "" ""), COLUMNS(SPLIT(D204, "" ""))-1), """"))"),"Українська")</f>
        <v>Українська</v>
      </c>
    </row>
    <row r="205" spans="1:17" ht="38">
      <c r="A205" s="2"/>
      <c r="B205" s="2" t="s">
        <v>464</v>
      </c>
      <c r="C205" s="2" t="s">
        <v>465</v>
      </c>
      <c r="D205" s="2" t="s">
        <v>466</v>
      </c>
      <c r="E205" s="2"/>
      <c r="F205" s="2" t="s">
        <v>20</v>
      </c>
      <c r="G205" s="2">
        <v>19</v>
      </c>
      <c r="H205" s="2">
        <v>439.8</v>
      </c>
      <c r="I205" s="2">
        <v>80377</v>
      </c>
      <c r="J205" s="2" t="s">
        <v>29</v>
      </c>
      <c r="K205" s="2">
        <v>7</v>
      </c>
      <c r="L205" s="2" t="s">
        <v>467</v>
      </c>
      <c r="Q205" s="4" t="str">
        <f ca="1">IFERROR(__xludf.DUMMYFUNCTION("TRIM(SUBSTITUTE(SUBSTITUTE(D205, index(SPLIT(D205, "" ""), COLUMNS(SPLIT(D205, "" ""))), """"), index(SPLIT(D205, "" ""), COLUMNS(SPLIT(D205, "" ""))-1), """"))"),"Бахмутська")</f>
        <v>Бахмутська</v>
      </c>
    </row>
    <row r="206" spans="1:17" ht="38">
      <c r="A206" s="2"/>
      <c r="B206" s="2" t="s">
        <v>464</v>
      </c>
      <c r="C206" s="2" t="s">
        <v>465</v>
      </c>
      <c r="D206" s="2" t="s">
        <v>468</v>
      </c>
      <c r="E206" s="2"/>
      <c r="F206" s="2" t="s">
        <v>28</v>
      </c>
      <c r="G206" s="2">
        <v>6</v>
      </c>
      <c r="H206" s="2">
        <v>115.5</v>
      </c>
      <c r="I206" s="2">
        <v>2418</v>
      </c>
      <c r="J206" s="2" t="s">
        <v>39</v>
      </c>
      <c r="K206" s="2">
        <v>2</v>
      </c>
      <c r="L206" s="2" t="s">
        <v>469</v>
      </c>
      <c r="Q206" s="4" t="str">
        <f ca="1">IFERROR(__xludf.DUMMYFUNCTION("TRIM(SUBSTITUTE(SUBSTITUTE(D206, index(SPLIT(D206, "" ""), COLUMNS(SPLIT(D206, "" ""))), """"), index(SPLIT(D206, "" ""), COLUMNS(SPLIT(D206, "" ""))-1), """"))"),"Званівська")</f>
        <v>Званівська</v>
      </c>
    </row>
    <row r="207" spans="1:17" ht="50.5">
      <c r="A207" s="2"/>
      <c r="B207" s="2" t="s">
        <v>464</v>
      </c>
      <c r="C207" s="2" t="s">
        <v>465</v>
      </c>
      <c r="D207" s="2" t="s">
        <v>470</v>
      </c>
      <c r="E207" s="2"/>
      <c r="F207" s="2" t="s">
        <v>20</v>
      </c>
      <c r="G207" s="2">
        <v>19</v>
      </c>
      <c r="H207" s="2">
        <v>297.7</v>
      </c>
      <c r="I207" s="2">
        <v>29167</v>
      </c>
      <c r="J207" s="2" t="s">
        <v>471</v>
      </c>
      <c r="K207" s="2">
        <v>6</v>
      </c>
      <c r="L207" s="2" t="s">
        <v>472</v>
      </c>
      <c r="Q207" s="4" t="str">
        <f ca="1">IFERROR(__xludf.DUMMYFUNCTION("TRIM(SUBSTITUTE(SUBSTITUTE(D207, index(SPLIT(D207, "" ""), COLUMNS(SPLIT(D207, "" ""))), """"), index(SPLIT(D207, "" ""), COLUMNS(SPLIT(D207, "" ""))-1), """"))"),"Світлодарська")</f>
        <v>Світлодарська</v>
      </c>
    </row>
    <row r="208" spans="1:17" ht="50.5">
      <c r="A208" s="2"/>
      <c r="B208" s="2" t="s">
        <v>464</v>
      </c>
      <c r="C208" s="2" t="s">
        <v>465</v>
      </c>
      <c r="D208" s="2" t="s">
        <v>473</v>
      </c>
      <c r="E208" s="2"/>
      <c r="F208" s="2" t="s">
        <v>20</v>
      </c>
      <c r="G208" s="2">
        <v>37</v>
      </c>
      <c r="H208" s="2">
        <v>567.1</v>
      </c>
      <c r="I208" s="2">
        <v>19753</v>
      </c>
      <c r="J208" s="2" t="s">
        <v>33</v>
      </c>
      <c r="K208" s="2">
        <v>10</v>
      </c>
      <c r="L208" s="2" t="s">
        <v>474</v>
      </c>
      <c r="Q208" s="4" t="str">
        <f ca="1">IFERROR(__xludf.DUMMYFUNCTION("TRIM(SUBSTITUTE(SUBSTITUTE(D208, index(SPLIT(D208, "" ""), COLUMNS(SPLIT(D208, "" ""))), """"), index(SPLIT(D208, "" ""), COLUMNS(SPLIT(D208, "" ""))-1), """"))"),"Соледарська")</f>
        <v>Соледарська</v>
      </c>
    </row>
    <row r="209" spans="1:17" ht="38">
      <c r="A209" s="2"/>
      <c r="B209" s="2" t="s">
        <v>464</v>
      </c>
      <c r="C209" s="2" t="s">
        <v>465</v>
      </c>
      <c r="D209" s="2" t="s">
        <v>475</v>
      </c>
      <c r="E209" s="2"/>
      <c r="F209" s="2" t="s">
        <v>20</v>
      </c>
      <c r="G209" s="2">
        <v>7</v>
      </c>
      <c r="H209" s="2">
        <v>195.4</v>
      </c>
      <c r="I209" s="2">
        <v>13244</v>
      </c>
      <c r="J209" s="2" t="s">
        <v>63</v>
      </c>
      <c r="K209" s="2">
        <v>4</v>
      </c>
      <c r="L209" s="2" t="s">
        <v>476</v>
      </c>
      <c r="Q209" s="4" t="str">
        <f ca="1">IFERROR(__xludf.DUMMYFUNCTION("TRIM(SUBSTITUTE(SUBSTITUTE(D209, index(SPLIT(D209, "" ""), COLUMNS(SPLIT(D209, "" ""))), """"), index(SPLIT(D209, "" ""), COLUMNS(SPLIT(D209, "" ""))-1), """"))"),"Сіверська")</f>
        <v>Сіверська</v>
      </c>
    </row>
    <row r="210" spans="1:17" ht="38">
      <c r="A210" s="2"/>
      <c r="B210" s="2" t="s">
        <v>464</v>
      </c>
      <c r="C210" s="2" t="s">
        <v>465</v>
      </c>
      <c r="D210" s="2" t="s">
        <v>477</v>
      </c>
      <c r="E210" s="2"/>
      <c r="F210" s="2" t="s">
        <v>20</v>
      </c>
      <c r="G210" s="2">
        <v>19</v>
      </c>
      <c r="H210" s="2">
        <v>67.5</v>
      </c>
      <c r="I210" s="2">
        <v>66369</v>
      </c>
      <c r="J210" s="2" t="s">
        <v>478</v>
      </c>
      <c r="K210" s="2">
        <v>5</v>
      </c>
      <c r="L210" s="2" t="s">
        <v>479</v>
      </c>
      <c r="Q210" s="4" t="str">
        <f ca="1">IFERROR(__xludf.DUMMYFUNCTION("TRIM(SUBSTITUTE(SUBSTITUTE(D210, index(SPLIT(D210, "" ""), COLUMNS(SPLIT(D210, "" ""))), """"), index(SPLIT(D210, "" ""), COLUMNS(SPLIT(D210, "" ""))-1), """"))"),"Торецька")</f>
        <v>Торецька</v>
      </c>
    </row>
    <row r="211" spans="1:17" ht="50.5">
      <c r="A211" s="2"/>
      <c r="B211" s="2" t="s">
        <v>464</v>
      </c>
      <c r="C211" s="2" t="s">
        <v>465</v>
      </c>
      <c r="D211" s="2" t="s">
        <v>480</v>
      </c>
      <c r="E211" s="2"/>
      <c r="F211" s="2" t="s">
        <v>20</v>
      </c>
      <c r="G211" s="2">
        <v>4</v>
      </c>
      <c r="H211" s="2">
        <v>65.3</v>
      </c>
      <c r="I211" s="2">
        <v>13200</v>
      </c>
      <c r="J211" s="2" t="s">
        <v>481</v>
      </c>
      <c r="K211" s="2">
        <v>2</v>
      </c>
      <c r="L211" s="2" t="s">
        <v>482</v>
      </c>
      <c r="Q211" s="4" t="str">
        <f ca="1">IFERROR(__xludf.DUMMYFUNCTION("TRIM(SUBSTITUTE(SUBSTITUTE(D211, index(SPLIT(D211, "" ""), COLUMNS(SPLIT(D211, "" ""))), """"), index(SPLIT(D211, "" ""), COLUMNS(SPLIT(D211, "" ""))-1), """"))"),"Часовоярська")</f>
        <v>Часовоярська</v>
      </c>
    </row>
    <row r="212" spans="1:17" ht="50.5">
      <c r="A212" s="2"/>
      <c r="B212" s="2" t="s">
        <v>464</v>
      </c>
      <c r="C212" s="2" t="s">
        <v>483</v>
      </c>
      <c r="D212" s="2" t="s">
        <v>484</v>
      </c>
      <c r="E212" s="2"/>
      <c r="F212" s="2" t="s">
        <v>32</v>
      </c>
      <c r="G212" s="2">
        <v>29</v>
      </c>
      <c r="H212" s="2">
        <v>907.9</v>
      </c>
      <c r="I212" s="2">
        <v>18710</v>
      </c>
      <c r="J212" s="2" t="s">
        <v>485</v>
      </c>
      <c r="K212" s="2">
        <v>8</v>
      </c>
      <c r="L212" s="2" t="s">
        <v>486</v>
      </c>
      <c r="Q212" s="4" t="str">
        <f ca="1">IFERROR(__xludf.DUMMYFUNCTION("TRIM(SUBSTITUTE(SUBSTITUTE(D212, index(SPLIT(D212, "" ""), COLUMNS(SPLIT(D212, "" ""))), """"), index(SPLIT(D212, "" ""), COLUMNS(SPLIT(D212, "" ""))-1), """"))"),"Великоновосілківська")</f>
        <v>Великоновосілківська</v>
      </c>
    </row>
    <row r="213" spans="1:17" ht="50.5">
      <c r="A213" s="2"/>
      <c r="B213" s="2" t="s">
        <v>464</v>
      </c>
      <c r="C213" s="2" t="s">
        <v>483</v>
      </c>
      <c r="D213" s="2" t="s">
        <v>487</v>
      </c>
      <c r="E213" s="2"/>
      <c r="F213" s="2" t="s">
        <v>20</v>
      </c>
      <c r="G213" s="2">
        <v>23</v>
      </c>
      <c r="H213" s="2">
        <v>538.4</v>
      </c>
      <c r="I213" s="2">
        <v>36134</v>
      </c>
      <c r="J213" s="2" t="s">
        <v>29</v>
      </c>
      <c r="K213" s="2">
        <v>10</v>
      </c>
      <c r="L213" s="2" t="s">
        <v>488</v>
      </c>
      <c r="Q213" s="4" t="str">
        <f ca="1">IFERROR(__xludf.DUMMYFUNCTION("TRIM(SUBSTITUTE(SUBSTITUTE(D213, index(SPLIT(D213, "" ""), COLUMNS(SPLIT(D213, "" ""))), """"), index(SPLIT(D213, "" ""), COLUMNS(SPLIT(D213, "" ""))-1), """"))"),"Волноваська")</f>
        <v>Волноваська</v>
      </c>
    </row>
    <row r="214" spans="1:17" ht="38">
      <c r="A214" s="2"/>
      <c r="B214" s="2" t="s">
        <v>464</v>
      </c>
      <c r="C214" s="2" t="s">
        <v>483</v>
      </c>
      <c r="D214" s="2" t="s">
        <v>489</v>
      </c>
      <c r="E214" s="2"/>
      <c r="F214" s="2" t="s">
        <v>20</v>
      </c>
      <c r="G214" s="2">
        <v>15</v>
      </c>
      <c r="H214" s="2">
        <v>596.5</v>
      </c>
      <c r="I214" s="2">
        <v>25980</v>
      </c>
      <c r="J214" s="2" t="s">
        <v>29</v>
      </c>
      <c r="K214" s="2">
        <v>8</v>
      </c>
      <c r="L214" s="2" t="s">
        <v>490</v>
      </c>
      <c r="Q214" s="4" t="str">
        <f ca="1">IFERROR(__xludf.DUMMYFUNCTION("TRIM(SUBSTITUTE(SUBSTITUTE(D214, index(SPLIT(D214, "" ""), COLUMNS(SPLIT(D214, "" ""))), """"), index(SPLIT(D214, "" ""), COLUMNS(SPLIT(D214, "" ""))-1), """"))"),"Вугледарська")</f>
        <v>Вугледарська</v>
      </c>
    </row>
    <row r="215" spans="1:17" ht="38">
      <c r="A215" s="2"/>
      <c r="B215" s="2" t="s">
        <v>464</v>
      </c>
      <c r="C215" s="2" t="s">
        <v>483</v>
      </c>
      <c r="D215" s="2" t="s">
        <v>491</v>
      </c>
      <c r="E215" s="2"/>
      <c r="F215" s="2" t="s">
        <v>28</v>
      </c>
      <c r="G215" s="2">
        <v>24</v>
      </c>
      <c r="H215" s="2">
        <v>423.2</v>
      </c>
      <c r="I215" s="2">
        <v>6948</v>
      </c>
      <c r="J215" s="2" t="s">
        <v>492</v>
      </c>
      <c r="K215" s="2">
        <v>4</v>
      </c>
      <c r="L215" s="2" t="s">
        <v>493</v>
      </c>
      <c r="Q215" s="4" t="str">
        <f ca="1">IFERROR(__xludf.DUMMYFUNCTION("TRIM(SUBSTITUTE(SUBSTITUTE(D215, index(SPLIT(D215, "" ""), COLUMNS(SPLIT(D215, "" ""))), """"), index(SPLIT(D215, "" ""), COLUMNS(SPLIT(D215, "" ""))-1), """"))"),"Комарська")</f>
        <v>Комарська</v>
      </c>
    </row>
    <row r="216" spans="1:17" ht="38">
      <c r="A216" s="2"/>
      <c r="B216" s="2" t="s">
        <v>464</v>
      </c>
      <c r="C216" s="2" t="s">
        <v>483</v>
      </c>
      <c r="D216" s="2" t="s">
        <v>494</v>
      </c>
      <c r="E216" s="2"/>
      <c r="F216" s="2" t="s">
        <v>32</v>
      </c>
      <c r="G216" s="2">
        <v>15</v>
      </c>
      <c r="H216" s="2">
        <v>415.6</v>
      </c>
      <c r="I216" s="2">
        <v>11845</v>
      </c>
      <c r="J216" s="2" t="s">
        <v>495</v>
      </c>
      <c r="K216" s="2">
        <v>5</v>
      </c>
      <c r="L216" s="2" t="s">
        <v>496</v>
      </c>
      <c r="Q216" s="4" t="str">
        <f ca="1">IFERROR(__xludf.DUMMYFUNCTION("TRIM(SUBSTITUTE(SUBSTITUTE(D216, index(SPLIT(D216, "" ""), COLUMNS(SPLIT(D216, "" ""))), """"), index(SPLIT(D216, "" ""), COLUMNS(SPLIT(D216, "" ""))-1), """"))"),"Мирненська")</f>
        <v>Мирненська</v>
      </c>
    </row>
    <row r="217" spans="1:17" ht="38">
      <c r="A217" s="2"/>
      <c r="B217" s="2" t="s">
        <v>464</v>
      </c>
      <c r="C217" s="2" t="s">
        <v>483</v>
      </c>
      <c r="D217" s="2" t="s">
        <v>497</v>
      </c>
      <c r="E217" s="2"/>
      <c r="F217" s="2" t="s">
        <v>32</v>
      </c>
      <c r="G217" s="2">
        <v>11</v>
      </c>
      <c r="H217" s="2">
        <v>341.8</v>
      </c>
      <c r="I217" s="2">
        <v>19174</v>
      </c>
      <c r="J217" s="2" t="s">
        <v>29</v>
      </c>
      <c r="K217" s="2">
        <v>5</v>
      </c>
      <c r="L217" s="2" t="s">
        <v>498</v>
      </c>
      <c r="Q217" s="4" t="str">
        <f ca="1">IFERROR(__xludf.DUMMYFUNCTION("TRIM(SUBSTITUTE(SUBSTITUTE(D217, index(SPLIT(D217, "" ""), COLUMNS(SPLIT(D217, "" ""))), """"), index(SPLIT(D217, "" ""), COLUMNS(SPLIT(D217, "" ""))-1), """"))"),"Ольгинська")</f>
        <v>Ольгинська</v>
      </c>
    </row>
    <row r="218" spans="1:17" ht="50.5">
      <c r="A218" s="2"/>
      <c r="B218" s="2" t="s">
        <v>464</v>
      </c>
      <c r="C218" s="2" t="s">
        <v>483</v>
      </c>
      <c r="D218" s="2" t="s">
        <v>499</v>
      </c>
      <c r="E218" s="2"/>
      <c r="F218" s="2" t="s">
        <v>28</v>
      </c>
      <c r="G218" s="2">
        <v>14</v>
      </c>
      <c r="H218" s="2">
        <v>571.79999999999995</v>
      </c>
      <c r="I218" s="2">
        <v>10800</v>
      </c>
      <c r="J218" s="2" t="s">
        <v>500</v>
      </c>
      <c r="K218" s="2">
        <v>5</v>
      </c>
      <c r="L218" s="2" t="s">
        <v>501</v>
      </c>
      <c r="Q218" s="4" t="str">
        <f ca="1">IFERROR(__xludf.DUMMYFUNCTION("TRIM(SUBSTITUTE(SUBSTITUTE(D218, index(SPLIT(D218, "" ""), COLUMNS(SPLIT(D218, "" ""))), """"), index(SPLIT(D218, "" ""), COLUMNS(SPLIT(D218, "" ""))-1), """"))"),"Старомлинівська")</f>
        <v>Старомлинівська</v>
      </c>
    </row>
    <row r="219" spans="1:17" ht="63">
      <c r="A219" s="2"/>
      <c r="B219" s="2" t="s">
        <v>464</v>
      </c>
      <c r="C219" s="2" t="s">
        <v>483</v>
      </c>
      <c r="D219" s="2" t="s">
        <v>502</v>
      </c>
      <c r="E219" s="2"/>
      <c r="F219" s="2" t="s">
        <v>28</v>
      </c>
      <c r="G219" s="2">
        <v>27</v>
      </c>
      <c r="H219" s="2">
        <v>662.2</v>
      </c>
      <c r="I219" s="2">
        <v>12206</v>
      </c>
      <c r="J219" s="2" t="s">
        <v>29</v>
      </c>
      <c r="K219" s="2">
        <v>13</v>
      </c>
      <c r="L219" s="2" t="s">
        <v>503</v>
      </c>
      <c r="Q219" s="4" t="str">
        <f ca="1">IFERROR(__xludf.DUMMYFUNCTION("TRIM(SUBSTITUTE(SUBSTITUTE(D219, index(SPLIT(D219, "" ""), COLUMNS(SPLIT(D219, "" ""))), """"), index(SPLIT(D219, "" ""), COLUMNS(SPLIT(D219, "" ""))-1), """"))"),"Хлібодарівська")</f>
        <v>Хлібодарівська</v>
      </c>
    </row>
    <row r="220" spans="1:17" ht="50.5">
      <c r="A220" s="2"/>
      <c r="B220" s="2" t="s">
        <v>464</v>
      </c>
      <c r="C220" s="2" t="s">
        <v>504</v>
      </c>
      <c r="D220" s="2" t="s">
        <v>505</v>
      </c>
      <c r="E220" s="2"/>
      <c r="F220" s="2" t="s">
        <v>28</v>
      </c>
      <c r="G220" s="2">
        <v>25</v>
      </c>
      <c r="H220" s="2">
        <v>523.29999999999995</v>
      </c>
      <c r="I220" s="2">
        <v>8897</v>
      </c>
      <c r="J220" s="2" t="s">
        <v>33</v>
      </c>
      <c r="K220" s="2">
        <v>9</v>
      </c>
      <c r="L220" s="2" t="s">
        <v>506</v>
      </c>
      <c r="Q220" s="4" t="str">
        <f ca="1">IFERROR(__xludf.DUMMYFUNCTION("TRIM(SUBSTITUTE(SUBSTITUTE(D220, index(SPLIT(D220, "" ""), COLUMNS(SPLIT(D220, "" ""))), """"), index(SPLIT(D220, "" ""), COLUMNS(SPLIT(D220, "" ""))-1), """"))"),"Іллінівська")</f>
        <v>Іллінівська</v>
      </c>
    </row>
    <row r="221" spans="1:17" ht="38">
      <c r="A221" s="2"/>
      <c r="B221" s="2" t="s">
        <v>464</v>
      </c>
      <c r="C221" s="2" t="s">
        <v>504</v>
      </c>
      <c r="D221" s="2" t="s">
        <v>507</v>
      </c>
      <c r="E221" s="2"/>
      <c r="F221" s="2" t="s">
        <v>28</v>
      </c>
      <c r="G221" s="2">
        <v>5</v>
      </c>
      <c r="H221" s="2">
        <v>159.6</v>
      </c>
      <c r="I221" s="2">
        <v>2230</v>
      </c>
      <c r="J221" s="2" t="s">
        <v>39</v>
      </c>
      <c r="K221" s="2">
        <v>2</v>
      </c>
      <c r="L221" s="2" t="s">
        <v>508</v>
      </c>
      <c r="Q221" s="4" t="str">
        <f ca="1">IFERROR(__xludf.DUMMYFUNCTION("TRIM(SUBSTITUTE(SUBSTITUTE(D221, index(SPLIT(D221, "" ""), COLUMNS(SPLIT(D221, "" ""))), """"), index(SPLIT(D221, "" ""), COLUMNS(SPLIT(D221, "" ""))-1), """"))"),"Андріївська")</f>
        <v>Андріївська</v>
      </c>
    </row>
    <row r="222" spans="1:17" ht="38">
      <c r="A222" s="2"/>
      <c r="B222" s="2" t="s">
        <v>464</v>
      </c>
      <c r="C222" s="2" t="s">
        <v>504</v>
      </c>
      <c r="D222" s="2" t="s">
        <v>509</v>
      </c>
      <c r="E222" s="2"/>
      <c r="F222" s="2" t="s">
        <v>20</v>
      </c>
      <c r="G222" s="2">
        <v>20</v>
      </c>
      <c r="H222" s="2">
        <v>289.3</v>
      </c>
      <c r="I222" s="2">
        <v>66823</v>
      </c>
      <c r="J222" s="2" t="s">
        <v>510</v>
      </c>
      <c r="K222" s="2">
        <v>7</v>
      </c>
      <c r="L222" s="2" t="s">
        <v>511</v>
      </c>
      <c r="Q222" s="4" t="str">
        <f ca="1">IFERROR(__xludf.DUMMYFUNCTION("TRIM(SUBSTITUTE(SUBSTITUTE(D222, index(SPLIT(D222, "" ""), COLUMNS(SPLIT(D222, "" ""))), """"), index(SPLIT(D222, "" ""), COLUMNS(SPLIT(D222, "" ""))-1), """"))"),"Дружківська")</f>
        <v>Дружківська</v>
      </c>
    </row>
    <row r="223" spans="1:17" ht="50.5">
      <c r="A223" s="2"/>
      <c r="B223" s="2" t="s">
        <v>464</v>
      </c>
      <c r="C223" s="2" t="s">
        <v>504</v>
      </c>
      <c r="D223" s="2" t="s">
        <v>512</v>
      </c>
      <c r="E223" s="2"/>
      <c r="F223" s="2" t="s">
        <v>20</v>
      </c>
      <c r="G223" s="2">
        <v>24</v>
      </c>
      <c r="H223" s="2">
        <v>467.4</v>
      </c>
      <c r="I223" s="2">
        <v>73979</v>
      </c>
      <c r="J223" s="2" t="s">
        <v>513</v>
      </c>
      <c r="K223" s="2">
        <v>8</v>
      </c>
      <c r="L223" s="2" t="s">
        <v>514</v>
      </c>
      <c r="Q223" s="4" t="str">
        <f ca="1">IFERROR(__xludf.DUMMYFUNCTION("TRIM(SUBSTITUTE(SUBSTITUTE(D223, index(SPLIT(D223, "" ""), COLUMNS(SPLIT(D223, "" ""))), """"), index(SPLIT(D223, "" ""), COLUMNS(SPLIT(D223, "" ""))-1), """"))"),"Костянтинівська")</f>
        <v>Костянтинівська</v>
      </c>
    </row>
    <row r="224" spans="1:17" ht="50.5">
      <c r="A224" s="2"/>
      <c r="B224" s="2" t="s">
        <v>464</v>
      </c>
      <c r="C224" s="2" t="s">
        <v>504</v>
      </c>
      <c r="D224" s="2" t="s">
        <v>515</v>
      </c>
      <c r="E224" s="2"/>
      <c r="F224" s="2" t="s">
        <v>20</v>
      </c>
      <c r="G224" s="2">
        <v>15</v>
      </c>
      <c r="H224" s="2">
        <v>412.7</v>
      </c>
      <c r="I224" s="2">
        <v>183946</v>
      </c>
      <c r="J224" s="2" t="s">
        <v>516</v>
      </c>
      <c r="K224" s="2">
        <v>6</v>
      </c>
      <c r="L224" s="2" t="s">
        <v>517</v>
      </c>
      <c r="Q224" s="4" t="str">
        <f ca="1">IFERROR(__xludf.DUMMYFUNCTION("TRIM(SUBSTITUTE(SUBSTITUTE(D224, index(SPLIT(D224, "" ""), COLUMNS(SPLIT(D224, "" ""))), """"), index(SPLIT(D224, "" ""), COLUMNS(SPLIT(D224, "" ""))-1), """"))"),"Краматорська")</f>
        <v>Краматорська</v>
      </c>
    </row>
    <row r="225" spans="1:17" ht="63">
      <c r="A225" s="2"/>
      <c r="B225" s="2" t="s">
        <v>464</v>
      </c>
      <c r="C225" s="2" t="s">
        <v>504</v>
      </c>
      <c r="D225" s="2" t="s">
        <v>518</v>
      </c>
      <c r="E225" s="2"/>
      <c r="F225" s="2" t="s">
        <v>20</v>
      </c>
      <c r="G225" s="2">
        <v>40</v>
      </c>
      <c r="H225" s="2">
        <v>1205.4000000000001</v>
      </c>
      <c r="I225" s="2">
        <v>41066</v>
      </c>
      <c r="J225" s="2" t="s">
        <v>143</v>
      </c>
      <c r="K225" s="2">
        <v>13</v>
      </c>
      <c r="L225" s="2" t="s">
        <v>519</v>
      </c>
      <c r="Q225" s="4" t="str">
        <f ca="1">IFERROR(__xludf.DUMMYFUNCTION("TRIM(SUBSTITUTE(SUBSTITUTE(D225, index(SPLIT(D225, "" ""), COLUMNS(SPLIT(D225, "" ""))), """"), index(SPLIT(D225, "" ""), COLUMNS(SPLIT(D225, "" ""))-1), """"))"),"Лиманська")</f>
        <v>Лиманська</v>
      </c>
    </row>
    <row r="226" spans="1:17" ht="38">
      <c r="A226" s="2"/>
      <c r="B226" s="2" t="s">
        <v>464</v>
      </c>
      <c r="C226" s="2" t="s">
        <v>504</v>
      </c>
      <c r="D226" s="2" t="s">
        <v>297</v>
      </c>
      <c r="E226" s="2"/>
      <c r="F226" s="2" t="s">
        <v>20</v>
      </c>
      <c r="G226" s="2">
        <v>15</v>
      </c>
      <c r="H226" s="2">
        <v>334.3</v>
      </c>
      <c r="I226" s="2">
        <v>20943</v>
      </c>
      <c r="J226" s="2" t="s">
        <v>33</v>
      </c>
      <c r="K226" s="2">
        <v>4</v>
      </c>
      <c r="L226" s="2" t="s">
        <v>520</v>
      </c>
      <c r="Q226" s="4" t="str">
        <f ca="1">IFERROR(__xludf.DUMMYFUNCTION("TRIM(SUBSTITUTE(SUBSTITUTE(D226, index(SPLIT(D226, "" ""), COLUMNS(SPLIT(D226, "" ""))), """"), index(SPLIT(D226, "" ""), COLUMNS(SPLIT(D226, "" ""))-1), """"))"),"Миколаївська")</f>
        <v>Миколаївська</v>
      </c>
    </row>
    <row r="227" spans="1:17" ht="50.5">
      <c r="A227" s="2"/>
      <c r="B227" s="2" t="s">
        <v>464</v>
      </c>
      <c r="C227" s="2" t="s">
        <v>504</v>
      </c>
      <c r="D227" s="2" t="s">
        <v>521</v>
      </c>
      <c r="E227" s="2"/>
      <c r="F227" s="2" t="s">
        <v>32</v>
      </c>
      <c r="G227" s="2">
        <v>20</v>
      </c>
      <c r="H227" s="2">
        <v>280</v>
      </c>
      <c r="I227" s="2">
        <v>10723</v>
      </c>
      <c r="J227" s="2" t="s">
        <v>29</v>
      </c>
      <c r="K227" s="2">
        <v>6</v>
      </c>
      <c r="L227" s="2" t="s">
        <v>522</v>
      </c>
      <c r="Q227" s="4" t="str">
        <f ca="1">IFERROR(__xludf.DUMMYFUNCTION("TRIM(SUBSTITUTE(SUBSTITUTE(D227, index(SPLIT(D227, "" ""), COLUMNS(SPLIT(D227, "" ""))), """"), index(SPLIT(D227, "" ""), COLUMNS(SPLIT(D227, "" ""))-1), """"))"),"Новодонецька")</f>
        <v>Новодонецька</v>
      </c>
    </row>
    <row r="228" spans="1:17" ht="63">
      <c r="A228" s="2"/>
      <c r="B228" s="2" t="s">
        <v>464</v>
      </c>
      <c r="C228" s="2" t="s">
        <v>504</v>
      </c>
      <c r="D228" s="2" t="s">
        <v>523</v>
      </c>
      <c r="E228" s="2"/>
      <c r="F228" s="2" t="s">
        <v>32</v>
      </c>
      <c r="G228" s="2">
        <v>42</v>
      </c>
      <c r="H228" s="2">
        <v>732.8</v>
      </c>
      <c r="I228" s="2">
        <v>12320</v>
      </c>
      <c r="J228" s="2" t="s">
        <v>93</v>
      </c>
      <c r="K228" s="2">
        <v>11</v>
      </c>
      <c r="L228" s="2" t="s">
        <v>524</v>
      </c>
      <c r="Q228" s="4" t="str">
        <f ca="1">IFERROR(__xludf.DUMMYFUNCTION("TRIM(SUBSTITUTE(SUBSTITUTE(D228, index(SPLIT(D228, "" ""), COLUMNS(SPLIT(D228, "" ""))), """"), index(SPLIT(D228, "" ""), COLUMNS(SPLIT(D228, "" ""))-1), """"))"),"Олександрівська")</f>
        <v>Олександрівська</v>
      </c>
    </row>
    <row r="229" spans="1:17" ht="38">
      <c r="A229" s="2"/>
      <c r="B229" s="2" t="s">
        <v>464</v>
      </c>
      <c r="C229" s="2" t="s">
        <v>504</v>
      </c>
      <c r="D229" s="2" t="s">
        <v>525</v>
      </c>
      <c r="E229" s="2"/>
      <c r="F229" s="2" t="s">
        <v>20</v>
      </c>
      <c r="G229" s="2">
        <v>13</v>
      </c>
      <c r="H229" s="2">
        <v>375.7</v>
      </c>
      <c r="I229" s="2">
        <v>8903</v>
      </c>
      <c r="J229" s="2" t="s">
        <v>526</v>
      </c>
      <c r="K229" s="2">
        <v>4</v>
      </c>
      <c r="L229" s="2" t="s">
        <v>527</v>
      </c>
      <c r="Q229" s="4" t="str">
        <f ca="1">IFERROR(__xludf.DUMMYFUNCTION("TRIM(SUBSTITUTE(SUBSTITUTE(D229, index(SPLIT(D229, "" ""), COLUMNS(SPLIT(D229, "" ""))), """"), index(SPLIT(D229, "" ""), COLUMNS(SPLIT(D229, "" ""))-1), """"))"),"Святогірська")</f>
        <v>Святогірська</v>
      </c>
    </row>
    <row r="230" spans="1:17" ht="38">
      <c r="A230" s="2"/>
      <c r="B230" s="2" t="s">
        <v>464</v>
      </c>
      <c r="C230" s="2" t="s">
        <v>504</v>
      </c>
      <c r="D230" s="2" t="s">
        <v>460</v>
      </c>
      <c r="E230" s="2"/>
      <c r="F230" s="2" t="s">
        <v>20</v>
      </c>
      <c r="G230" s="2">
        <v>5</v>
      </c>
      <c r="H230" s="2">
        <v>119</v>
      </c>
      <c r="I230" s="2">
        <v>115026</v>
      </c>
      <c r="J230" s="2" t="s">
        <v>528</v>
      </c>
      <c r="K230" s="2">
        <v>3</v>
      </c>
      <c r="L230" s="2" t="s">
        <v>529</v>
      </c>
      <c r="Q230" s="4" t="str">
        <f ca="1">IFERROR(__xludf.DUMMYFUNCTION("TRIM(SUBSTITUTE(SUBSTITUTE(D230, index(SPLIT(D230, "" ""), COLUMNS(SPLIT(D230, "" ""))), """"), index(SPLIT(D230, "" ""), COLUMNS(SPLIT(D230, "" ""))-1), """"))"),"Слов'янська")</f>
        <v>Слов'янська</v>
      </c>
    </row>
    <row r="231" spans="1:17" ht="38">
      <c r="A231" s="2"/>
      <c r="B231" s="2" t="s">
        <v>464</v>
      </c>
      <c r="C231" s="2" t="s">
        <v>504</v>
      </c>
      <c r="D231" s="2" t="s">
        <v>392</v>
      </c>
      <c r="E231" s="2"/>
      <c r="F231" s="2" t="s">
        <v>32</v>
      </c>
      <c r="G231" s="2">
        <v>11</v>
      </c>
      <c r="H231" s="2">
        <v>294.60000000000002</v>
      </c>
      <c r="I231" s="2">
        <v>8703</v>
      </c>
      <c r="J231" s="2" t="s">
        <v>143</v>
      </c>
      <c r="K231" s="2">
        <v>4</v>
      </c>
      <c r="L231" s="2" t="s">
        <v>530</v>
      </c>
      <c r="Q231" s="4" t="str">
        <f ca="1">IFERROR(__xludf.DUMMYFUNCTION("TRIM(SUBSTITUTE(SUBSTITUTE(D231, index(SPLIT(D231, "" ""), COLUMNS(SPLIT(D231, "" ""))), """"), index(SPLIT(D231, "" ""), COLUMNS(SPLIT(D231, "" ""))-1), """"))"),"Черкаська")</f>
        <v>Черкаська</v>
      </c>
    </row>
    <row r="232" spans="1:17" ht="38">
      <c r="A232" s="2"/>
      <c r="B232" s="2" t="s">
        <v>464</v>
      </c>
      <c r="C232" s="2" t="s">
        <v>531</v>
      </c>
      <c r="D232" s="2" t="s">
        <v>532</v>
      </c>
      <c r="E232" s="2"/>
      <c r="F232" s="2" t="s">
        <v>28</v>
      </c>
      <c r="G232" s="2">
        <v>16</v>
      </c>
      <c r="H232" s="2">
        <v>440.1</v>
      </c>
      <c r="I232" s="2">
        <v>9894</v>
      </c>
      <c r="J232" s="2" t="s">
        <v>533</v>
      </c>
      <c r="K232" s="2">
        <v>4</v>
      </c>
      <c r="L232" s="2" t="s">
        <v>534</v>
      </c>
      <c r="Q232" s="4" t="str">
        <f ca="1">IFERROR(__xludf.DUMMYFUNCTION("TRIM(SUBSTITUTE(SUBSTITUTE(D232, index(SPLIT(D232, "" ""), COLUMNS(SPLIT(D232, "" ""))), """"), index(SPLIT(D232, "" ""), COLUMNS(SPLIT(D232, "" ""))-1), """"))"),"Кальчицька")</f>
        <v>Кальчицька</v>
      </c>
    </row>
    <row r="233" spans="1:17" ht="38">
      <c r="A233" s="2"/>
      <c r="B233" s="2" t="s">
        <v>464</v>
      </c>
      <c r="C233" s="2" t="s">
        <v>531</v>
      </c>
      <c r="D233" s="2" t="s">
        <v>535</v>
      </c>
      <c r="E233" s="2"/>
      <c r="F233" s="2" t="s">
        <v>32</v>
      </c>
      <c r="G233" s="2">
        <v>17</v>
      </c>
      <c r="H233" s="2">
        <v>637.79999999999995</v>
      </c>
      <c r="I233" s="2">
        <v>21307</v>
      </c>
      <c r="J233" s="2" t="s">
        <v>536</v>
      </c>
      <c r="K233" s="2">
        <v>6</v>
      </c>
      <c r="L233" s="2" t="s">
        <v>537</v>
      </c>
      <c r="Q233" s="4" t="str">
        <f ca="1">IFERROR(__xludf.DUMMYFUNCTION("TRIM(SUBSTITUTE(SUBSTITUTE(D233, index(SPLIT(D233, "" ""), COLUMNS(SPLIT(D233, "" ""))), """"), index(SPLIT(D233, "" ""), COLUMNS(SPLIT(D233, "" ""))-1), """"))"),"Мангушська")</f>
        <v>Мангушська</v>
      </c>
    </row>
    <row r="234" spans="1:17" ht="50.5">
      <c r="A234" s="2"/>
      <c r="B234" s="2" t="s">
        <v>464</v>
      </c>
      <c r="C234" s="2" t="s">
        <v>531</v>
      </c>
      <c r="D234" s="2" t="s">
        <v>538</v>
      </c>
      <c r="E234" s="2"/>
      <c r="F234" s="2" t="s">
        <v>20</v>
      </c>
      <c r="G234" s="2">
        <v>11</v>
      </c>
      <c r="H234" s="2">
        <v>375.3</v>
      </c>
      <c r="I234" s="2">
        <v>441489</v>
      </c>
      <c r="J234" s="2" t="s">
        <v>539</v>
      </c>
      <c r="K234" s="2">
        <v>5</v>
      </c>
      <c r="L234" s="2" t="s">
        <v>540</v>
      </c>
      <c r="Q234" s="4" t="str">
        <f ca="1">IFERROR(__xludf.DUMMYFUNCTION("TRIM(SUBSTITUTE(SUBSTITUTE(D234, index(SPLIT(D234, "" ""), COLUMNS(SPLIT(D234, "" ""))), """"), index(SPLIT(D234, "" ""), COLUMNS(SPLIT(D234, "" ""))-1), """"))"),"Маріупольська")</f>
        <v>Маріупольська</v>
      </c>
    </row>
    <row r="235" spans="1:17" ht="38">
      <c r="A235" s="2"/>
      <c r="B235" s="2" t="s">
        <v>464</v>
      </c>
      <c r="C235" s="2" t="s">
        <v>531</v>
      </c>
      <c r="D235" s="2" t="s">
        <v>541</v>
      </c>
      <c r="E235" s="2"/>
      <c r="F235" s="2" t="s">
        <v>32</v>
      </c>
      <c r="G235" s="2">
        <v>27</v>
      </c>
      <c r="H235" s="2">
        <v>784.7</v>
      </c>
      <c r="I235" s="2">
        <v>16999</v>
      </c>
      <c r="J235" s="2" t="s">
        <v>542</v>
      </c>
      <c r="K235" s="2">
        <v>7</v>
      </c>
      <c r="L235" s="2" t="s">
        <v>543</v>
      </c>
      <c r="Q235" s="4" t="str">
        <f ca="1">IFERROR(__xludf.DUMMYFUNCTION("TRIM(SUBSTITUTE(SUBSTITUTE(D235, index(SPLIT(D235, "" ""), COLUMNS(SPLIT(D235, "" ""))), """"), index(SPLIT(D235, "" ""), COLUMNS(SPLIT(D235, "" ""))-1), """"))"),"Нікольська")</f>
        <v>Нікольська</v>
      </c>
    </row>
    <row r="236" spans="1:17" ht="38">
      <c r="A236" s="2"/>
      <c r="B236" s="2" t="s">
        <v>464</v>
      </c>
      <c r="C236" s="2" t="s">
        <v>531</v>
      </c>
      <c r="D236" s="2" t="s">
        <v>544</v>
      </c>
      <c r="E236" s="2"/>
      <c r="F236" s="2" t="s">
        <v>32</v>
      </c>
      <c r="G236" s="2">
        <v>18</v>
      </c>
      <c r="H236" s="2">
        <v>396.3</v>
      </c>
      <c r="I236" s="2">
        <v>20736</v>
      </c>
      <c r="J236" s="2" t="s">
        <v>545</v>
      </c>
      <c r="K236" s="2">
        <v>7</v>
      </c>
      <c r="L236" s="2" t="s">
        <v>546</v>
      </c>
      <c r="Q236" s="4" t="str">
        <f ca="1">IFERROR(__xludf.DUMMYFUNCTION("TRIM(SUBSTITUTE(SUBSTITUTE(D236, index(SPLIT(D236, "" ""), COLUMNS(SPLIT(D236, "" ""))), """"), index(SPLIT(D236, "" ""), COLUMNS(SPLIT(D236, "" ""))-1), """"))"),"Сартанська")</f>
        <v>Сартанська</v>
      </c>
    </row>
    <row r="237" spans="1:17" ht="38">
      <c r="A237" s="2"/>
      <c r="B237" s="2" t="s">
        <v>464</v>
      </c>
      <c r="C237" s="2" t="s">
        <v>547</v>
      </c>
      <c r="D237" s="2" t="s">
        <v>548</v>
      </c>
      <c r="E237" s="2"/>
      <c r="F237" s="2" t="s">
        <v>20</v>
      </c>
      <c r="G237" s="2">
        <v>2</v>
      </c>
      <c r="H237" s="2">
        <v>30.2</v>
      </c>
      <c r="I237" s="2">
        <v>32579</v>
      </c>
      <c r="J237" s="2" t="s">
        <v>549</v>
      </c>
      <c r="K237" s="2">
        <v>2</v>
      </c>
      <c r="L237" s="2" t="s">
        <v>550</v>
      </c>
      <c r="Q237" s="4" t="str">
        <f ca="1">IFERROR(__xludf.DUMMYFUNCTION("TRIM(SUBSTITUTE(SUBSTITUTE(D237, index(SPLIT(D237, "" ""), COLUMNS(SPLIT(D237, "" ""))), """"), index(SPLIT(D237, "" ""), COLUMNS(SPLIT(D237, "" ""))-1), """"))"),"Авдіївська")</f>
        <v>Авдіївська</v>
      </c>
    </row>
    <row r="238" spans="1:17" ht="38">
      <c r="A238" s="2"/>
      <c r="B238" s="2" t="s">
        <v>464</v>
      </c>
      <c r="C238" s="2" t="s">
        <v>547</v>
      </c>
      <c r="D238" s="2" t="s">
        <v>551</v>
      </c>
      <c r="E238" s="2"/>
      <c r="F238" s="2" t="s">
        <v>20</v>
      </c>
      <c r="G238" s="2">
        <v>7</v>
      </c>
      <c r="H238" s="2">
        <v>68.7</v>
      </c>
      <c r="I238" s="2">
        <v>15738</v>
      </c>
      <c r="J238" s="2" t="s">
        <v>29</v>
      </c>
      <c r="K238" s="2">
        <v>2</v>
      </c>
      <c r="L238" s="2" t="s">
        <v>552</v>
      </c>
      <c r="Q238" s="4" t="str">
        <f ca="1">IFERROR(__xludf.DUMMYFUNCTION("TRIM(SUBSTITUTE(SUBSTITUTE(D238, index(SPLIT(D238, "" ""), COLUMNS(SPLIT(D238, "" ""))), """"), index(SPLIT(D238, "" ""), COLUMNS(SPLIT(D238, "" ""))-1), """"))"),"Білозерська")</f>
        <v>Білозерська</v>
      </c>
    </row>
    <row r="239" spans="1:17" ht="38">
      <c r="A239" s="2"/>
      <c r="B239" s="2" t="s">
        <v>464</v>
      </c>
      <c r="C239" s="2" t="s">
        <v>547</v>
      </c>
      <c r="D239" s="2" t="s">
        <v>553</v>
      </c>
      <c r="E239" s="2"/>
      <c r="F239" s="2" t="s">
        <v>32</v>
      </c>
      <c r="G239" s="2">
        <v>32</v>
      </c>
      <c r="H239" s="2">
        <v>340.3</v>
      </c>
      <c r="I239" s="2">
        <v>9518</v>
      </c>
      <c r="J239" s="2" t="s">
        <v>554</v>
      </c>
      <c r="K239" s="2">
        <v>6</v>
      </c>
      <c r="L239" s="2" t="s">
        <v>555</v>
      </c>
      <c r="Q239" s="4" t="str">
        <f ca="1">IFERROR(__xludf.DUMMYFUNCTION("TRIM(SUBSTITUTE(SUBSTITUTE(D239, index(SPLIT(D239, "" ""), COLUMNS(SPLIT(D239, "" ""))), """"), index(SPLIT(D239, "" ""), COLUMNS(SPLIT(D239, "" ""))-1), """"))"),"Гродівська")</f>
        <v>Гродівська</v>
      </c>
    </row>
    <row r="240" spans="1:17" ht="50.5">
      <c r="A240" s="2"/>
      <c r="B240" s="2" t="s">
        <v>464</v>
      </c>
      <c r="C240" s="2" t="s">
        <v>547</v>
      </c>
      <c r="D240" s="2" t="s">
        <v>556</v>
      </c>
      <c r="E240" s="2"/>
      <c r="F240" s="2" t="s">
        <v>20</v>
      </c>
      <c r="G240" s="2">
        <v>16</v>
      </c>
      <c r="H240" s="2">
        <v>265.5</v>
      </c>
      <c r="I240" s="2">
        <v>43827</v>
      </c>
      <c r="J240" s="2" t="s">
        <v>29</v>
      </c>
      <c r="K240" s="2">
        <v>5</v>
      </c>
      <c r="L240" s="2" t="s">
        <v>557</v>
      </c>
      <c r="Q240" s="4" t="str">
        <f ca="1">IFERROR(__xludf.DUMMYFUNCTION("TRIM(SUBSTITUTE(SUBSTITUTE(D240, index(SPLIT(D240, "" ""), COLUMNS(SPLIT(D240, "" ""))), """"), index(SPLIT(D240, "" ""), COLUMNS(SPLIT(D240, "" ""))-1), """"))"),"Добропільська")</f>
        <v>Добропільська</v>
      </c>
    </row>
    <row r="241" spans="1:17" ht="38">
      <c r="A241" s="2"/>
      <c r="B241" s="2" t="s">
        <v>464</v>
      </c>
      <c r="C241" s="2" t="s">
        <v>547</v>
      </c>
      <c r="D241" s="2" t="s">
        <v>365</v>
      </c>
      <c r="E241" s="2"/>
      <c r="F241" s="2" t="s">
        <v>28</v>
      </c>
      <c r="G241" s="2">
        <v>22</v>
      </c>
      <c r="H241" s="2">
        <v>276.5</v>
      </c>
      <c r="I241" s="2">
        <v>4011</v>
      </c>
      <c r="J241" s="2" t="s">
        <v>163</v>
      </c>
      <c r="K241" s="2">
        <v>3</v>
      </c>
      <c r="L241" s="2" t="s">
        <v>558</v>
      </c>
      <c r="Q241" s="4" t="str">
        <f ca="1">IFERROR(__xludf.DUMMYFUNCTION("TRIM(SUBSTITUTE(SUBSTITUTE(D241, index(SPLIT(D241, "" ""), COLUMNS(SPLIT(D241, "" ""))), """"), index(SPLIT(D241, "" ""), COLUMNS(SPLIT(D241, "" ""))-1), """"))"),"Криворізька")</f>
        <v>Криворізька</v>
      </c>
    </row>
    <row r="242" spans="1:17" ht="38">
      <c r="A242" s="2"/>
      <c r="B242" s="2" t="s">
        <v>464</v>
      </c>
      <c r="C242" s="2" t="s">
        <v>547</v>
      </c>
      <c r="D242" s="2" t="s">
        <v>559</v>
      </c>
      <c r="E242" s="2"/>
      <c r="F242" s="2" t="s">
        <v>20</v>
      </c>
      <c r="G242" s="2">
        <v>28</v>
      </c>
      <c r="H242" s="2">
        <v>351.6</v>
      </c>
      <c r="I242" s="2">
        <v>38776</v>
      </c>
      <c r="J242" s="2" t="s">
        <v>560</v>
      </c>
      <c r="K242" s="2">
        <v>7</v>
      </c>
      <c r="L242" s="2" t="s">
        <v>561</v>
      </c>
      <c r="Q242" s="4" t="str">
        <f ca="1">IFERROR(__xludf.DUMMYFUNCTION("TRIM(SUBSTITUTE(SUBSTITUTE(D242, index(SPLIT(D242, "" ""), COLUMNS(SPLIT(D242, "" ""))), """"), index(SPLIT(D242, "" ""), COLUMNS(SPLIT(D242, "" ""))-1), """"))"),"Курахівська")</f>
        <v>Курахівська</v>
      </c>
    </row>
    <row r="243" spans="1:17" ht="38">
      <c r="A243" s="2"/>
      <c r="B243" s="2" t="s">
        <v>464</v>
      </c>
      <c r="C243" s="2" t="s">
        <v>547</v>
      </c>
      <c r="D243" s="2" t="s">
        <v>562</v>
      </c>
      <c r="E243" s="2"/>
      <c r="F243" s="2" t="s">
        <v>20</v>
      </c>
      <c r="G243" s="2">
        <v>17</v>
      </c>
      <c r="H243" s="2">
        <v>485.3</v>
      </c>
      <c r="I243" s="2">
        <v>33643</v>
      </c>
      <c r="J243" s="2" t="s">
        <v>563</v>
      </c>
      <c r="K243" s="2">
        <v>8</v>
      </c>
      <c r="L243" s="2" t="s">
        <v>564</v>
      </c>
      <c r="Q243" s="4" t="str">
        <f ca="1">IFERROR(__xludf.DUMMYFUNCTION("TRIM(SUBSTITUTE(SUBSTITUTE(D243, index(SPLIT(D243, "" ""), COLUMNS(SPLIT(D243, "" ""))), """"), index(SPLIT(D243, "" ""), COLUMNS(SPLIT(D243, "" ""))-1), """"))"),"Мар'їнська")</f>
        <v>Мар'їнська</v>
      </c>
    </row>
    <row r="244" spans="1:17" ht="50.5">
      <c r="A244" s="2"/>
      <c r="B244" s="2" t="s">
        <v>464</v>
      </c>
      <c r="C244" s="2" t="s">
        <v>547</v>
      </c>
      <c r="D244" s="2" t="s">
        <v>565</v>
      </c>
      <c r="E244" s="2"/>
      <c r="F244" s="2" t="s">
        <v>20</v>
      </c>
      <c r="G244" s="2">
        <v>5</v>
      </c>
      <c r="H244" s="2">
        <v>66.7</v>
      </c>
      <c r="I244" s="2">
        <v>48894</v>
      </c>
      <c r="J244" s="2" t="s">
        <v>566</v>
      </c>
      <c r="K244" s="2">
        <v>2</v>
      </c>
      <c r="L244" s="2" t="s">
        <v>567</v>
      </c>
      <c r="Q244" s="4" t="str">
        <f ca="1">IFERROR(__xludf.DUMMYFUNCTION("TRIM(SUBSTITUTE(SUBSTITUTE(D244, index(SPLIT(D244, "" ""), COLUMNS(SPLIT(D244, "" ""))), """"), index(SPLIT(D244, "" ""), COLUMNS(SPLIT(D244, "" ""))-1), """"))"),"Мирноградська")</f>
        <v>Мирноградська</v>
      </c>
    </row>
    <row r="245" spans="1:17" ht="50.5">
      <c r="A245" s="2"/>
      <c r="B245" s="2" t="s">
        <v>464</v>
      </c>
      <c r="C245" s="2" t="s">
        <v>547</v>
      </c>
      <c r="D245" s="2" t="s">
        <v>568</v>
      </c>
      <c r="E245" s="2"/>
      <c r="F245" s="2" t="s">
        <v>20</v>
      </c>
      <c r="G245" s="2">
        <v>15</v>
      </c>
      <c r="H245" s="2">
        <v>157.19999999999999</v>
      </c>
      <c r="I245" s="2">
        <v>19380</v>
      </c>
      <c r="J245" s="2" t="s">
        <v>569</v>
      </c>
      <c r="K245" s="2">
        <v>4</v>
      </c>
      <c r="L245" s="2" t="s">
        <v>570</v>
      </c>
      <c r="Q245" s="4" t="str">
        <f ca="1">IFERROR(__xludf.DUMMYFUNCTION("TRIM(SUBSTITUTE(SUBSTITUTE(D245, index(SPLIT(D245, "" ""), COLUMNS(SPLIT(D245, "" ""))), """"), index(SPLIT(D245, "" ""), COLUMNS(SPLIT(D245, "" ""))-1), """"))"),"Новогродівська")</f>
        <v>Новогродівська</v>
      </c>
    </row>
    <row r="246" spans="1:17" ht="50.5">
      <c r="A246" s="2"/>
      <c r="B246" s="2" t="s">
        <v>464</v>
      </c>
      <c r="C246" s="2" t="s">
        <v>547</v>
      </c>
      <c r="D246" s="2" t="s">
        <v>571</v>
      </c>
      <c r="E246" s="2"/>
      <c r="F246" s="2" t="s">
        <v>32</v>
      </c>
      <c r="G246" s="2">
        <v>40</v>
      </c>
      <c r="H246" s="2">
        <v>726</v>
      </c>
      <c r="I246" s="2">
        <v>21399</v>
      </c>
      <c r="J246" s="2" t="s">
        <v>572</v>
      </c>
      <c r="K246" s="2">
        <v>11</v>
      </c>
      <c r="L246" s="2" t="s">
        <v>573</v>
      </c>
      <c r="Q246" s="4" t="str">
        <f ca="1">IFERROR(__xludf.DUMMYFUNCTION("TRIM(SUBSTITUTE(SUBSTITUTE(D246, index(SPLIT(D246, "" ""), COLUMNS(SPLIT(D246, "" ""))), """"), index(SPLIT(D246, "" ""), COLUMNS(SPLIT(D246, "" ""))-1), """"))"),"Очеретинська")</f>
        <v>Очеретинська</v>
      </c>
    </row>
    <row r="247" spans="1:17" ht="38">
      <c r="A247" s="2"/>
      <c r="B247" s="2" t="s">
        <v>464</v>
      </c>
      <c r="C247" s="2" t="s">
        <v>547</v>
      </c>
      <c r="D247" s="2" t="s">
        <v>406</v>
      </c>
      <c r="E247" s="2"/>
      <c r="F247" s="2" t="s">
        <v>20</v>
      </c>
      <c r="G247" s="2">
        <v>41</v>
      </c>
      <c r="H247" s="2">
        <v>515.5</v>
      </c>
      <c r="I247" s="2">
        <v>82388</v>
      </c>
      <c r="J247" s="2" t="s">
        <v>574</v>
      </c>
      <c r="K247" s="2">
        <v>9</v>
      </c>
      <c r="L247" s="2" t="s">
        <v>575</v>
      </c>
      <c r="Q247" s="4" t="str">
        <f ca="1">IFERROR(__xludf.DUMMYFUNCTION("TRIM(SUBSTITUTE(SUBSTITUTE(D247, index(SPLIT(D247, "" ""), COLUMNS(SPLIT(D247, "" ""))), """"), index(SPLIT(D247, "" ""), COLUMNS(SPLIT(D247, "" ""))-1), """"))"),"Покровська")</f>
        <v>Покровська</v>
      </c>
    </row>
    <row r="248" spans="1:17" ht="38">
      <c r="A248" s="2"/>
      <c r="B248" s="2" t="s">
        <v>464</v>
      </c>
      <c r="C248" s="2" t="s">
        <v>547</v>
      </c>
      <c r="D248" s="2" t="s">
        <v>576</v>
      </c>
      <c r="E248" s="2"/>
      <c r="F248" s="2" t="s">
        <v>20</v>
      </c>
      <c r="G248" s="2">
        <v>9</v>
      </c>
      <c r="H248" s="2">
        <v>150.19999999999999</v>
      </c>
      <c r="I248" s="2">
        <v>35403</v>
      </c>
      <c r="J248" s="2" t="s">
        <v>577</v>
      </c>
      <c r="K248" s="2">
        <v>4</v>
      </c>
      <c r="L248" s="2" t="s">
        <v>578</v>
      </c>
      <c r="Q248" s="4" t="str">
        <f ca="1">IFERROR(__xludf.DUMMYFUNCTION("TRIM(SUBSTITUTE(SUBSTITUTE(D248, index(SPLIT(D248, "" ""), COLUMNS(SPLIT(D248, "" ""))), """"), index(SPLIT(D248, "" ""), COLUMNS(SPLIT(D248, "" ""))-1), """"))"),"Селидівська")</f>
        <v>Селидівська</v>
      </c>
    </row>
    <row r="249" spans="1:17" ht="38">
      <c r="A249" s="2"/>
      <c r="B249" s="2" t="s">
        <v>464</v>
      </c>
      <c r="C249" s="2" t="s">
        <v>547</v>
      </c>
      <c r="D249" s="2" t="s">
        <v>579</v>
      </c>
      <c r="E249" s="2"/>
      <c r="F249" s="2" t="s">
        <v>32</v>
      </c>
      <c r="G249" s="2">
        <v>7</v>
      </c>
      <c r="H249" s="2">
        <v>216</v>
      </c>
      <c r="I249" s="2">
        <v>3910</v>
      </c>
      <c r="J249" s="2" t="s">
        <v>580</v>
      </c>
      <c r="K249" s="2">
        <v>2</v>
      </c>
      <c r="L249" s="2" t="s">
        <v>581</v>
      </c>
      <c r="Q249" s="4" t="str">
        <f ca="1">IFERROR(__xludf.DUMMYFUNCTION("TRIM(SUBSTITUTE(SUBSTITUTE(D249, index(SPLIT(D249, "" ""), COLUMNS(SPLIT(D249, "" ""))), """"), index(SPLIT(D249, "" ""), COLUMNS(SPLIT(D249, "" ""))-1), """"))"),"Удачненська")</f>
        <v>Удачненська</v>
      </c>
    </row>
    <row r="250" spans="1:17" ht="38">
      <c r="A250" s="2"/>
      <c r="B250" s="2" t="s">
        <v>464</v>
      </c>
      <c r="C250" s="2" t="s">
        <v>547</v>
      </c>
      <c r="D250" s="2" t="s">
        <v>582</v>
      </c>
      <c r="E250" s="2"/>
      <c r="F250" s="2" t="s">
        <v>28</v>
      </c>
      <c r="G250" s="2">
        <v>22</v>
      </c>
      <c r="H250" s="2">
        <v>354.4</v>
      </c>
      <c r="I250" s="2">
        <v>4021</v>
      </c>
      <c r="J250" s="2" t="s">
        <v>143</v>
      </c>
      <c r="K250" s="2">
        <v>4</v>
      </c>
      <c r="L250" s="2" t="s">
        <v>583</v>
      </c>
      <c r="Q250" s="4" t="str">
        <f ca="1">IFERROR(__xludf.DUMMYFUNCTION("TRIM(SUBSTITUTE(SUBSTITUTE(D250, index(SPLIT(D250, "" ""), COLUMNS(SPLIT(D250, "" ""))), """"), index(SPLIT(D250, "" ""), COLUMNS(SPLIT(D250, "" ""))-1), """"))"),"Шахівська")</f>
        <v>Шахівська</v>
      </c>
    </row>
    <row r="251" spans="1:17" ht="75.5">
      <c r="A251" s="2"/>
      <c r="B251" s="2" t="s">
        <v>584</v>
      </c>
      <c r="C251" s="2" t="s">
        <v>585</v>
      </c>
      <c r="D251" s="2" t="s">
        <v>586</v>
      </c>
      <c r="E251" s="2"/>
      <c r="F251" s="2" t="s">
        <v>20</v>
      </c>
      <c r="G251" s="2">
        <v>25</v>
      </c>
      <c r="H251" s="2">
        <v>615.4</v>
      </c>
      <c r="I251" s="2">
        <v>19923</v>
      </c>
      <c r="J251" s="2" t="s">
        <v>587</v>
      </c>
      <c r="K251" s="2">
        <v>17</v>
      </c>
      <c r="L251" s="2" t="s">
        <v>588</v>
      </c>
      <c r="Q251" s="4" t="str">
        <f ca="1">IFERROR(__xludf.DUMMYFUNCTION("TRIM(SUBSTITUTE(SUBSTITUTE(D251, index(SPLIT(D251, "" ""), COLUMNS(SPLIT(D251, "" ""))), """"), index(SPLIT(D251, "" ""), COLUMNS(SPLIT(D251, "" ""))-1), """"))"),"Андрушівська")</f>
        <v>Андрушівська</v>
      </c>
    </row>
    <row r="252" spans="1:17" ht="38">
      <c r="A252" s="2"/>
      <c r="B252" s="2" t="s">
        <v>584</v>
      </c>
      <c r="C252" s="2" t="s">
        <v>585</v>
      </c>
      <c r="D252" s="2" t="s">
        <v>589</v>
      </c>
      <c r="E252" s="2"/>
      <c r="F252" s="2" t="s">
        <v>20</v>
      </c>
      <c r="G252" s="2">
        <v>3</v>
      </c>
      <c r="H252" s="2">
        <v>82.4</v>
      </c>
      <c r="I252" s="2">
        <v>75236</v>
      </c>
      <c r="J252" s="2" t="s">
        <v>590</v>
      </c>
      <c r="K252" s="2">
        <v>2</v>
      </c>
      <c r="L252" s="2" t="s">
        <v>591</v>
      </c>
      <c r="Q252" s="4" t="str">
        <f ca="1">IFERROR(__xludf.DUMMYFUNCTION("TRIM(SUBSTITUTE(SUBSTITUTE(D252, index(SPLIT(D252, "" ""), COLUMNS(SPLIT(D252, "" ""))), """"), index(SPLIT(D252, "" ""), COLUMNS(SPLIT(D252, "" ""))-1), """"))"),"Бердичівська")</f>
        <v>Бердичівська</v>
      </c>
    </row>
    <row r="253" spans="1:17" ht="50.5">
      <c r="A253" s="2"/>
      <c r="B253" s="2" t="s">
        <v>584</v>
      </c>
      <c r="C253" s="2" t="s">
        <v>585</v>
      </c>
      <c r="D253" s="2" t="s">
        <v>592</v>
      </c>
      <c r="E253" s="2"/>
      <c r="F253" s="2" t="s">
        <v>28</v>
      </c>
      <c r="G253" s="2">
        <v>13</v>
      </c>
      <c r="H253" s="2">
        <v>270.89999999999998</v>
      </c>
      <c r="I253" s="2">
        <v>5101</v>
      </c>
      <c r="J253" s="2" t="s">
        <v>249</v>
      </c>
      <c r="K253" s="2">
        <v>9</v>
      </c>
      <c r="L253" s="2" t="s">
        <v>593</v>
      </c>
      <c r="Q253" s="4" t="str">
        <f ca="1">IFERROR(__xludf.DUMMYFUNCTION("TRIM(SUBSTITUTE(SUBSTITUTE(D253, index(SPLIT(D253, "" ""), COLUMNS(SPLIT(D253, "" ""))), """"), index(SPLIT(D253, "" ""), COLUMNS(SPLIT(D253, "" ""))-1), """"))"),"Вчорайшенська")</f>
        <v>Вчорайшенська</v>
      </c>
    </row>
    <row r="254" spans="1:17" ht="50.5">
      <c r="A254" s="2"/>
      <c r="B254" s="2" t="s">
        <v>584</v>
      </c>
      <c r="C254" s="2" t="s">
        <v>585</v>
      </c>
      <c r="D254" s="2" t="s">
        <v>594</v>
      </c>
      <c r="E254" s="2"/>
      <c r="F254" s="2" t="s">
        <v>32</v>
      </c>
      <c r="G254" s="2">
        <v>17</v>
      </c>
      <c r="H254" s="2">
        <v>216.6</v>
      </c>
      <c r="I254" s="2">
        <v>9657</v>
      </c>
      <c r="J254" s="2" t="s">
        <v>249</v>
      </c>
      <c r="K254" s="2">
        <v>8</v>
      </c>
      <c r="L254" s="2" t="s">
        <v>595</v>
      </c>
      <c r="Q254" s="4" t="str">
        <f ca="1">IFERROR(__xludf.DUMMYFUNCTION("TRIM(SUBSTITUTE(SUBSTITUTE(D254, index(SPLIT(D254, "" ""), COLUMNS(SPLIT(D254, "" ""))), """"), index(SPLIT(D254, "" ""), COLUMNS(SPLIT(D254, "" ""))-1), """"))"),"Гришковецька")</f>
        <v>Гришковецька</v>
      </c>
    </row>
    <row r="255" spans="1:17" ht="50.5">
      <c r="A255" s="2"/>
      <c r="B255" s="2" t="s">
        <v>584</v>
      </c>
      <c r="C255" s="2" t="s">
        <v>585</v>
      </c>
      <c r="D255" s="2" t="s">
        <v>76</v>
      </c>
      <c r="E255" s="2"/>
      <c r="F255" s="2" t="s">
        <v>28</v>
      </c>
      <c r="G255" s="2">
        <v>17</v>
      </c>
      <c r="H255" s="2">
        <v>337.6</v>
      </c>
      <c r="I255" s="2">
        <v>7585</v>
      </c>
      <c r="J255" s="2" t="s">
        <v>33</v>
      </c>
      <c r="K255" s="2">
        <v>8</v>
      </c>
      <c r="L255" s="2" t="s">
        <v>596</v>
      </c>
      <c r="Q255" s="4" t="str">
        <f ca="1">IFERROR(__xludf.DUMMYFUNCTION("TRIM(SUBSTITUTE(SUBSTITUTE(D255, index(SPLIT(D255, "" ""), COLUMNS(SPLIT(D255, "" ""))), """"), index(SPLIT(D255, "" ""), COLUMNS(SPLIT(D255, "" ""))-1), """"))"),"Краснопільська")</f>
        <v>Краснопільська</v>
      </c>
    </row>
    <row r="256" spans="1:17" ht="50.5">
      <c r="A256" s="2"/>
      <c r="B256" s="2" t="s">
        <v>584</v>
      </c>
      <c r="C256" s="2" t="s">
        <v>585</v>
      </c>
      <c r="D256" s="2" t="s">
        <v>86</v>
      </c>
      <c r="E256" s="2"/>
      <c r="F256" s="2" t="s">
        <v>28</v>
      </c>
      <c r="G256" s="2">
        <v>21</v>
      </c>
      <c r="H256" s="2">
        <v>252</v>
      </c>
      <c r="I256" s="2">
        <v>7047</v>
      </c>
      <c r="J256" s="2" t="s">
        <v>249</v>
      </c>
      <c r="K256" s="2">
        <v>9</v>
      </c>
      <c r="L256" s="2" t="s">
        <v>597</v>
      </c>
      <c r="Q256" s="4" t="str">
        <f ca="1">IFERROR(__xludf.DUMMYFUNCTION("TRIM(SUBSTITUTE(SUBSTITUTE(D256, index(SPLIT(D256, "" ""), COLUMNS(SPLIT(D256, "" ""))), """"), index(SPLIT(D256, "" ""), COLUMNS(SPLIT(D256, "" ""))-1), """"))"),"Райгородська")</f>
        <v>Райгородська</v>
      </c>
    </row>
    <row r="257" spans="1:17" ht="100.5">
      <c r="A257" s="2"/>
      <c r="B257" s="2" t="s">
        <v>584</v>
      </c>
      <c r="C257" s="2" t="s">
        <v>585</v>
      </c>
      <c r="D257" s="2" t="s">
        <v>598</v>
      </c>
      <c r="E257" s="2"/>
      <c r="F257" s="2" t="s">
        <v>32</v>
      </c>
      <c r="G257" s="2">
        <v>37</v>
      </c>
      <c r="H257" s="2">
        <v>731.4</v>
      </c>
      <c r="I257" s="2">
        <v>19850</v>
      </c>
      <c r="J257" s="2" t="s">
        <v>599</v>
      </c>
      <c r="K257" s="2">
        <v>23</v>
      </c>
      <c r="L257" s="2" t="s">
        <v>600</v>
      </c>
      <c r="Q257" s="4" t="str">
        <f ca="1">IFERROR(__xludf.DUMMYFUNCTION("TRIM(SUBSTITUTE(SUBSTITUTE(D257, index(SPLIT(D257, "" ""), COLUMNS(SPLIT(D257, "" ""))), """"), index(SPLIT(D257, "" ""), COLUMNS(SPLIT(D257, "" ""))-1), """"))"),"Ружинська")</f>
        <v>Ружинська</v>
      </c>
    </row>
    <row r="258" spans="1:17" ht="38">
      <c r="A258" s="2"/>
      <c r="B258" s="2" t="s">
        <v>584</v>
      </c>
      <c r="C258" s="2" t="s">
        <v>585</v>
      </c>
      <c r="D258" s="2" t="s">
        <v>601</v>
      </c>
      <c r="E258" s="2"/>
      <c r="F258" s="2" t="s">
        <v>28</v>
      </c>
      <c r="G258" s="2">
        <v>14</v>
      </c>
      <c r="H258" s="2">
        <v>217.7</v>
      </c>
      <c r="I258" s="2">
        <v>5100</v>
      </c>
      <c r="J258" s="2" t="s">
        <v>33</v>
      </c>
      <c r="K258" s="2">
        <v>7</v>
      </c>
      <c r="L258" s="2" t="s">
        <v>602</v>
      </c>
      <c r="Q258" s="4" t="str">
        <f ca="1">IFERROR(__xludf.DUMMYFUNCTION("TRIM(SUBSTITUTE(SUBSTITUTE(D258, index(SPLIT(D258, "" ""), COLUMNS(SPLIT(D258, "" ""))), """"), index(SPLIT(D258, "" ""), COLUMNS(SPLIT(D258, "" ""))-1), """"))"),"Семенівська")</f>
        <v>Семенівська</v>
      </c>
    </row>
    <row r="259" spans="1:17" ht="50.5">
      <c r="A259" s="2"/>
      <c r="B259" s="2" t="s">
        <v>584</v>
      </c>
      <c r="C259" s="2" t="s">
        <v>585</v>
      </c>
      <c r="D259" s="2" t="s">
        <v>603</v>
      </c>
      <c r="E259" s="2"/>
      <c r="F259" s="2" t="s">
        <v>32</v>
      </c>
      <c r="G259" s="2">
        <v>7</v>
      </c>
      <c r="H259" s="2">
        <v>157.80000000000001</v>
      </c>
      <c r="I259" s="2">
        <v>5476</v>
      </c>
      <c r="J259" s="2" t="s">
        <v>143</v>
      </c>
      <c r="K259" s="2">
        <v>6</v>
      </c>
      <c r="L259" s="2" t="s">
        <v>604</v>
      </c>
      <c r="Q259" s="4" t="str">
        <f ca="1">IFERROR(__xludf.DUMMYFUNCTION("TRIM(SUBSTITUTE(SUBSTITUTE(D259, index(SPLIT(D259, "" ""), COLUMNS(SPLIT(D259, "" ""))), """"), index(SPLIT(D259, "" ""), COLUMNS(SPLIT(D259, "" ""))-1), """"))"),"Червоненська")</f>
        <v>Червоненська</v>
      </c>
    </row>
    <row r="260" spans="1:17" ht="38">
      <c r="A260" s="2"/>
      <c r="B260" s="2" t="s">
        <v>584</v>
      </c>
      <c r="C260" s="2" t="s">
        <v>585</v>
      </c>
      <c r="D260" s="2" t="s">
        <v>605</v>
      </c>
      <c r="E260" s="2"/>
      <c r="F260" s="2" t="s">
        <v>28</v>
      </c>
      <c r="G260" s="2">
        <v>8</v>
      </c>
      <c r="H260" s="2">
        <v>132.19999999999999</v>
      </c>
      <c r="I260" s="2">
        <v>4189</v>
      </c>
      <c r="J260" s="2" t="s">
        <v>249</v>
      </c>
      <c r="K260" s="2">
        <v>5</v>
      </c>
      <c r="L260" s="2" t="s">
        <v>606</v>
      </c>
      <c r="Q260" s="4" t="str">
        <f ca="1">IFERROR(__xludf.DUMMYFUNCTION("TRIM(SUBSTITUTE(SUBSTITUTE(D260, index(SPLIT(D260, "" ""), COLUMNS(SPLIT(D260, "" ""))), """"), index(SPLIT(D260, "" ""), COLUMNS(SPLIT(D260, "" ""))-1), """"))"),"Швайківська")</f>
        <v>Швайківська</v>
      </c>
    </row>
    <row r="261" spans="1:17" ht="50.5">
      <c r="A261" s="2"/>
      <c r="B261" s="2" t="s">
        <v>584</v>
      </c>
      <c r="C261" s="2" t="s">
        <v>607</v>
      </c>
      <c r="D261" s="2" t="s">
        <v>608</v>
      </c>
      <c r="E261" s="2"/>
      <c r="F261" s="2" t="s">
        <v>28</v>
      </c>
      <c r="G261" s="2">
        <v>6</v>
      </c>
      <c r="H261" s="2">
        <v>138.19999999999999</v>
      </c>
      <c r="I261" s="2">
        <v>3831</v>
      </c>
      <c r="J261" s="2" t="s">
        <v>33</v>
      </c>
      <c r="K261" s="2">
        <v>5</v>
      </c>
      <c r="L261" s="2" t="s">
        <v>609</v>
      </c>
      <c r="Q261" s="4" t="str">
        <f ca="1">IFERROR(__xludf.DUMMYFUNCTION("TRIM(SUBSTITUTE(SUBSTITUTE(D261, index(SPLIT(D261, "" ""), COLUMNS(SPLIT(D261, "" ""))), """"), index(SPLIT(D261, "" ""), COLUMNS(SPLIT(D261, "" ""))-1), """"))"),"Андрушківська")</f>
        <v>Андрушківська</v>
      </c>
    </row>
    <row r="262" spans="1:17" ht="38">
      <c r="A262" s="2"/>
      <c r="B262" s="2" t="s">
        <v>584</v>
      </c>
      <c r="C262" s="2" t="s">
        <v>607</v>
      </c>
      <c r="D262" s="2" t="s">
        <v>610</v>
      </c>
      <c r="E262" s="2"/>
      <c r="F262" s="2" t="s">
        <v>28</v>
      </c>
      <c r="G262" s="2">
        <v>16</v>
      </c>
      <c r="H262" s="2">
        <v>229</v>
      </c>
      <c r="I262" s="2">
        <v>9060</v>
      </c>
      <c r="J262" s="2" t="s">
        <v>611</v>
      </c>
      <c r="K262" s="2">
        <v>5</v>
      </c>
      <c r="L262" s="2" t="s">
        <v>612</v>
      </c>
      <c r="Q262" s="4" t="str">
        <f ca="1">IFERROR(__xludf.DUMMYFUNCTION("TRIM(SUBSTITUTE(SUBSTITUTE(D262, index(SPLIT(D262, "" ""), COLUMNS(SPLIT(D262, "" ""))), """"), index(SPLIT(D262, "" ""), COLUMNS(SPLIT(D262, "" ""))-1), """"))"),"Березівська")</f>
        <v>Березівська</v>
      </c>
    </row>
    <row r="263" spans="1:17" ht="88">
      <c r="A263" s="2"/>
      <c r="B263" s="2" t="s">
        <v>584</v>
      </c>
      <c r="C263" s="2" t="s">
        <v>607</v>
      </c>
      <c r="D263" s="2" t="s">
        <v>613</v>
      </c>
      <c r="E263" s="2"/>
      <c r="F263" s="2" t="s">
        <v>32</v>
      </c>
      <c r="G263" s="2">
        <v>37</v>
      </c>
      <c r="H263" s="2">
        <v>626.9</v>
      </c>
      <c r="I263" s="2">
        <v>14272</v>
      </c>
      <c r="J263" s="2" t="s">
        <v>33</v>
      </c>
      <c r="K263" s="2">
        <v>19</v>
      </c>
      <c r="L263" s="2" t="s">
        <v>614</v>
      </c>
      <c r="Q263" s="4" t="str">
        <f ca="1">IFERROR(__xludf.DUMMYFUNCTION("TRIM(SUBSTITUTE(SUBSTITUTE(D263, index(SPLIT(D263, "" ""), COLUMNS(SPLIT(D263, "" ""))), """"), index(SPLIT(D263, "" ""), COLUMNS(SPLIT(D263, "" ""))-1), """"))"),"Брусилівська")</f>
        <v>Брусилівська</v>
      </c>
    </row>
    <row r="264" spans="1:17" ht="38">
      <c r="A264" s="2"/>
      <c r="B264" s="2" t="s">
        <v>584</v>
      </c>
      <c r="C264" s="2" t="s">
        <v>607</v>
      </c>
      <c r="D264" s="2" t="s">
        <v>615</v>
      </c>
      <c r="E264" s="2"/>
      <c r="F264" s="2" t="s">
        <v>28</v>
      </c>
      <c r="G264" s="2">
        <v>5</v>
      </c>
      <c r="H264" s="2">
        <v>96.9</v>
      </c>
      <c r="I264" s="2">
        <v>2348</v>
      </c>
      <c r="J264" s="2" t="s">
        <v>143</v>
      </c>
      <c r="K264" s="2">
        <v>3</v>
      </c>
      <c r="L264" s="2" t="s">
        <v>616</v>
      </c>
      <c r="Q264" s="4" t="str">
        <f ca="1">IFERROR(__xludf.DUMMYFUNCTION("TRIM(SUBSTITUTE(SUBSTITUTE(D264, index(SPLIT(D264, "" ""), COLUMNS(SPLIT(D264, "" ""))), """"), index(SPLIT(D264, "" ""), COLUMNS(SPLIT(D264, "" ""))-1), """"))"),"Високівська")</f>
        <v>Високівська</v>
      </c>
    </row>
    <row r="265" spans="1:17" ht="38">
      <c r="A265" s="2"/>
      <c r="B265" s="2" t="s">
        <v>584</v>
      </c>
      <c r="C265" s="2" t="s">
        <v>607</v>
      </c>
      <c r="D265" s="2" t="s">
        <v>617</v>
      </c>
      <c r="E265" s="2"/>
      <c r="F265" s="2" t="s">
        <v>28</v>
      </c>
      <c r="G265" s="2">
        <v>7</v>
      </c>
      <c r="H265" s="2">
        <v>146.9</v>
      </c>
      <c r="I265" s="2">
        <v>3129</v>
      </c>
      <c r="J265" s="2" t="s">
        <v>143</v>
      </c>
      <c r="K265" s="2">
        <v>5</v>
      </c>
      <c r="L265" s="2" t="s">
        <v>618</v>
      </c>
      <c r="Q265" s="4" t="str">
        <f ca="1">IFERROR(__xludf.DUMMYFUNCTION("TRIM(SUBSTITUTE(SUBSTITUTE(D265, index(SPLIT(D265, "" ""), COLUMNS(SPLIT(D265, "" ""))), """"), index(SPLIT(D265, "" ""), COLUMNS(SPLIT(D265, "" ""))-1), """"))"),"Вишевицька")</f>
        <v>Вишевицька</v>
      </c>
    </row>
    <row r="266" spans="1:17" ht="38">
      <c r="A266" s="2"/>
      <c r="B266" s="2" t="s">
        <v>584</v>
      </c>
      <c r="C266" s="2" t="s">
        <v>607</v>
      </c>
      <c r="D266" s="2" t="s">
        <v>619</v>
      </c>
      <c r="E266" s="2"/>
      <c r="F266" s="2" t="s">
        <v>28</v>
      </c>
      <c r="G266" s="2">
        <v>8</v>
      </c>
      <c r="H266" s="2">
        <v>160.80000000000001</v>
      </c>
      <c r="I266" s="2">
        <v>5459</v>
      </c>
      <c r="J266" s="2" t="s">
        <v>620</v>
      </c>
      <c r="K266" s="2">
        <v>5</v>
      </c>
      <c r="L266" s="2" t="s">
        <v>621</v>
      </c>
      <c r="Q266" s="4" t="str">
        <f ca="1">IFERROR(__xludf.DUMMYFUNCTION("TRIM(SUBSTITUTE(SUBSTITUTE(D266, index(SPLIT(D266, "" ""), COLUMNS(SPLIT(D266, "" ""))), """"), index(SPLIT(D266, "" ""), COLUMNS(SPLIT(D266, "" ""))-1), """"))"),"Волицька")</f>
        <v>Волицька</v>
      </c>
    </row>
    <row r="267" spans="1:17" ht="38">
      <c r="A267" s="2"/>
      <c r="B267" s="2" t="s">
        <v>584</v>
      </c>
      <c r="C267" s="2" t="s">
        <v>607</v>
      </c>
      <c r="D267" s="2" t="s">
        <v>622</v>
      </c>
      <c r="E267" s="2"/>
      <c r="F267" s="2" t="s">
        <v>28</v>
      </c>
      <c r="G267" s="2">
        <v>12</v>
      </c>
      <c r="H267" s="2">
        <v>222.7</v>
      </c>
      <c r="I267" s="2">
        <v>6459</v>
      </c>
      <c r="J267" s="2" t="s">
        <v>249</v>
      </c>
      <c r="K267" s="2">
        <v>7</v>
      </c>
      <c r="L267" s="2" t="s">
        <v>623</v>
      </c>
      <c r="Q267" s="4" t="str">
        <f ca="1">IFERROR(__xludf.DUMMYFUNCTION("TRIM(SUBSTITUTE(SUBSTITUTE(D267, index(SPLIT(D267, "" ""), COLUMNS(SPLIT(D267, "" ""))), """"), index(SPLIT(D267, "" ""), COLUMNS(SPLIT(D267, "" ""))-1), """"))"),"Вільшанська")</f>
        <v>Вільшанська</v>
      </c>
    </row>
    <row r="268" spans="1:17" ht="38">
      <c r="A268" s="2"/>
      <c r="B268" s="2" t="s">
        <v>584</v>
      </c>
      <c r="C268" s="2" t="s">
        <v>607</v>
      </c>
      <c r="D268" s="2" t="s">
        <v>624</v>
      </c>
      <c r="E268" s="2"/>
      <c r="F268" s="2" t="s">
        <v>28</v>
      </c>
      <c r="G268" s="2">
        <v>13</v>
      </c>
      <c r="H268" s="2">
        <v>184.8</v>
      </c>
      <c r="I268" s="2">
        <v>10888</v>
      </c>
      <c r="J268" s="2" t="s">
        <v>39</v>
      </c>
      <c r="K268" s="2">
        <v>4</v>
      </c>
      <c r="L268" s="2" t="s">
        <v>625</v>
      </c>
      <c r="Q268" s="4" t="str">
        <f ca="1">IFERROR(__xludf.DUMMYFUNCTION("TRIM(SUBSTITUTE(SUBSTITUTE(D268, index(SPLIT(D268, "" ""), COLUMNS(SPLIT(D268, "" ""))), """"), index(SPLIT(D268, "" ""), COLUMNS(SPLIT(D268, "" ""))-1), """"))"),"Глибочицька")</f>
        <v>Глибочицька</v>
      </c>
    </row>
    <row r="269" spans="1:17" ht="38">
      <c r="A269" s="2"/>
      <c r="B269" s="2" t="s">
        <v>584</v>
      </c>
      <c r="C269" s="2" t="s">
        <v>607</v>
      </c>
      <c r="D269" s="2" t="s">
        <v>626</v>
      </c>
      <c r="E269" s="2"/>
      <c r="F269" s="2" t="s">
        <v>32</v>
      </c>
      <c r="G269" s="2">
        <v>3</v>
      </c>
      <c r="H269" s="2">
        <v>37.5</v>
      </c>
      <c r="I269" s="2">
        <v>3640</v>
      </c>
      <c r="J269" s="2" t="s">
        <v>627</v>
      </c>
      <c r="K269" s="2">
        <v>2</v>
      </c>
      <c r="L269" s="2" t="s">
        <v>628</v>
      </c>
      <c r="Q269" s="4" t="str">
        <f ca="1">IFERROR(__xludf.DUMMYFUNCTION("TRIM(SUBSTITUTE(SUBSTITUTE(D269, index(SPLIT(D269, "" ""), COLUMNS(SPLIT(D269, "" ""))), """"), index(SPLIT(D269, "" ""), COLUMNS(SPLIT(D269, "" ""))-1), """"))"),"Городоцька")</f>
        <v>Городоцька</v>
      </c>
    </row>
    <row r="270" spans="1:17" ht="38">
      <c r="A270" s="2"/>
      <c r="B270" s="2" t="s">
        <v>584</v>
      </c>
      <c r="C270" s="2" t="s">
        <v>607</v>
      </c>
      <c r="D270" s="2" t="s">
        <v>629</v>
      </c>
      <c r="E270" s="2"/>
      <c r="F270" s="2" t="s">
        <v>20</v>
      </c>
      <c r="G270" s="2">
        <v>2</v>
      </c>
      <c r="H270" s="2">
        <v>91.5</v>
      </c>
      <c r="I270" s="2">
        <v>265126</v>
      </c>
      <c r="J270" s="2" t="s">
        <v>630</v>
      </c>
      <c r="K270" s="2">
        <v>2</v>
      </c>
      <c r="L270" s="2" t="s">
        <v>631</v>
      </c>
      <c r="Q270" s="4" t="str">
        <f ca="1">IFERROR(__xludf.DUMMYFUNCTION("TRIM(SUBSTITUTE(SUBSTITUTE(D270, index(SPLIT(D270, "" ""), COLUMNS(SPLIT(D270, "" ""))), """"), index(SPLIT(D270, "" ""), COLUMNS(SPLIT(D270, "" ""))-1), """"))"),"Житомирська")</f>
        <v>Житомирська</v>
      </c>
    </row>
    <row r="271" spans="1:17" ht="38">
      <c r="A271" s="2"/>
      <c r="B271" s="2" t="s">
        <v>584</v>
      </c>
      <c r="C271" s="2" t="s">
        <v>607</v>
      </c>
      <c r="D271" s="2" t="s">
        <v>632</v>
      </c>
      <c r="E271" s="2"/>
      <c r="F271" s="2" t="s">
        <v>28</v>
      </c>
      <c r="G271" s="2">
        <v>9</v>
      </c>
      <c r="H271" s="2">
        <v>159.5</v>
      </c>
      <c r="I271" s="2">
        <v>4050</v>
      </c>
      <c r="J271" s="2" t="s">
        <v>33</v>
      </c>
      <c r="K271" s="2">
        <v>5</v>
      </c>
      <c r="L271" s="2" t="s">
        <v>633</v>
      </c>
      <c r="Q271" s="4" t="str">
        <f ca="1">IFERROR(__xludf.DUMMYFUNCTION("TRIM(SUBSTITUTE(SUBSTITUTE(D271, index(SPLIT(D271, "" ""), COLUMNS(SPLIT(D271, "" ""))), """"), index(SPLIT(D271, "" ""), COLUMNS(SPLIT(D271, "" ""))-1), """"))"),"Квітнева")</f>
        <v>Квітнева</v>
      </c>
    </row>
    <row r="272" spans="1:17" ht="38">
      <c r="A272" s="2"/>
      <c r="B272" s="2" t="s">
        <v>584</v>
      </c>
      <c r="C272" s="2" t="s">
        <v>607</v>
      </c>
      <c r="D272" s="2" t="s">
        <v>634</v>
      </c>
      <c r="E272" s="2"/>
      <c r="F272" s="2" t="s">
        <v>32</v>
      </c>
      <c r="G272" s="2">
        <v>10</v>
      </c>
      <c r="H272" s="2">
        <v>240.3</v>
      </c>
      <c r="I272" s="2">
        <v>5465</v>
      </c>
      <c r="J272" s="2" t="s">
        <v>254</v>
      </c>
      <c r="K272" s="2">
        <v>6</v>
      </c>
      <c r="L272" s="2" t="s">
        <v>635</v>
      </c>
      <c r="Q272" s="4" t="str">
        <f ca="1">IFERROR(__xludf.DUMMYFUNCTION("TRIM(SUBSTITUTE(SUBSTITUTE(D272, index(SPLIT(D272, "" ""), COLUMNS(SPLIT(D272, "" ""))), """"), index(SPLIT(D272, "" ""), COLUMNS(SPLIT(D272, "" ""))-1), """"))"),"Корнинська")</f>
        <v>Корнинська</v>
      </c>
    </row>
    <row r="273" spans="1:17" ht="50.5">
      <c r="A273" s="2"/>
      <c r="B273" s="2" t="s">
        <v>584</v>
      </c>
      <c r="C273" s="2" t="s">
        <v>607</v>
      </c>
      <c r="D273" s="2" t="s">
        <v>636</v>
      </c>
      <c r="E273" s="2"/>
      <c r="F273" s="2" t="s">
        <v>20</v>
      </c>
      <c r="G273" s="2">
        <v>29</v>
      </c>
      <c r="H273" s="2">
        <v>426.7</v>
      </c>
      <c r="I273" s="2">
        <v>29737</v>
      </c>
      <c r="J273" s="2" t="s">
        <v>33</v>
      </c>
      <c r="K273" s="2">
        <v>10</v>
      </c>
      <c r="L273" s="2" t="s">
        <v>637</v>
      </c>
      <c r="Q273" s="4" t="str">
        <f ca="1">IFERROR(__xludf.DUMMYFUNCTION("TRIM(SUBSTITUTE(SUBSTITUTE(D273, index(SPLIT(D273, "" ""), COLUMNS(SPLIT(D273, "" ""))), """"), index(SPLIT(D273, "" ""), COLUMNS(SPLIT(D273, "" ""))-1), """"))"),"Коростишівська")</f>
        <v>Коростишівська</v>
      </c>
    </row>
    <row r="274" spans="1:17" ht="38">
      <c r="A274" s="2"/>
      <c r="B274" s="2" t="s">
        <v>584</v>
      </c>
      <c r="C274" s="2" t="s">
        <v>607</v>
      </c>
      <c r="D274" s="2" t="s">
        <v>638</v>
      </c>
      <c r="E274" s="2"/>
      <c r="F274" s="2" t="s">
        <v>28</v>
      </c>
      <c r="G274" s="2">
        <v>27</v>
      </c>
      <c r="H274" s="2">
        <v>325.2</v>
      </c>
      <c r="I274" s="2">
        <v>7924</v>
      </c>
      <c r="J274" s="2" t="s">
        <v>39</v>
      </c>
      <c r="K274" s="2">
        <v>9</v>
      </c>
      <c r="L274" s="2" t="s">
        <v>639</v>
      </c>
      <c r="Q274" s="4" t="str">
        <f ca="1">IFERROR(__xludf.DUMMYFUNCTION("TRIM(SUBSTITUTE(SUBSTITUTE(D274, index(SPLIT(D274, "" ""), COLUMNS(SPLIT(D274, "" ""))), """"), index(SPLIT(D274, "" ""), COLUMNS(SPLIT(D274, "" ""))-1), """"))"),"Курненська")</f>
        <v>Курненська</v>
      </c>
    </row>
    <row r="275" spans="1:17" ht="113">
      <c r="A275" s="2"/>
      <c r="B275" s="2" t="s">
        <v>584</v>
      </c>
      <c r="C275" s="2" t="s">
        <v>607</v>
      </c>
      <c r="D275" s="2" t="s">
        <v>640</v>
      </c>
      <c r="E275" s="2"/>
      <c r="F275" s="2" t="s">
        <v>32</v>
      </c>
      <c r="G275" s="2">
        <v>48</v>
      </c>
      <c r="H275" s="2">
        <v>756.7</v>
      </c>
      <c r="I275" s="2">
        <v>25675</v>
      </c>
      <c r="J275" s="2" t="s">
        <v>39</v>
      </c>
      <c r="K275" s="2">
        <v>25</v>
      </c>
      <c r="L275" s="2" t="s">
        <v>641</v>
      </c>
      <c r="Q275" s="4" t="str">
        <f ca="1">IFERROR(__xludf.DUMMYFUNCTION("TRIM(SUBSTITUTE(SUBSTITUTE(D275, index(SPLIT(D275, "" ""), COLUMNS(SPLIT(D275, "" ""))), """"), index(SPLIT(D275, "" ""), COLUMNS(SPLIT(D275, "" ""))-1), """"))"),"Любарська")</f>
        <v>Любарська</v>
      </c>
    </row>
    <row r="276" spans="1:17" ht="50.5">
      <c r="A276" s="2"/>
      <c r="B276" s="2" t="s">
        <v>584</v>
      </c>
      <c r="C276" s="2" t="s">
        <v>607</v>
      </c>
      <c r="D276" s="2" t="s">
        <v>642</v>
      </c>
      <c r="E276" s="2"/>
      <c r="F276" s="2" t="s">
        <v>32</v>
      </c>
      <c r="G276" s="2">
        <v>8</v>
      </c>
      <c r="H276" s="2">
        <v>164.4</v>
      </c>
      <c r="I276" s="2">
        <v>7068</v>
      </c>
      <c r="J276" s="2" t="s">
        <v>33</v>
      </c>
      <c r="K276" s="2">
        <v>4</v>
      </c>
      <c r="L276" s="2" t="s">
        <v>643</v>
      </c>
      <c r="Q276" s="4" t="str">
        <f ca="1">IFERROR(__xludf.DUMMYFUNCTION("TRIM(SUBSTITUTE(SUBSTITUTE(D276, index(SPLIT(D276, "" ""), COLUMNS(SPLIT(D276, "" ""))), """"), index(SPLIT(D276, "" ""), COLUMNS(SPLIT(D276, "" ""))-1), """"))"),"Миропільська")</f>
        <v>Миропільська</v>
      </c>
    </row>
    <row r="277" spans="1:17" ht="50.5">
      <c r="A277" s="2"/>
      <c r="B277" s="2" t="s">
        <v>584</v>
      </c>
      <c r="C277" s="2" t="s">
        <v>607</v>
      </c>
      <c r="D277" s="2" t="s">
        <v>644</v>
      </c>
      <c r="E277" s="2"/>
      <c r="F277" s="2" t="s">
        <v>32</v>
      </c>
      <c r="G277" s="2">
        <v>18</v>
      </c>
      <c r="H277" s="2">
        <v>210.3</v>
      </c>
      <c r="I277" s="2">
        <v>8289</v>
      </c>
      <c r="J277" s="2" t="s">
        <v>143</v>
      </c>
      <c r="K277" s="2">
        <v>5</v>
      </c>
      <c r="L277" s="2" t="s">
        <v>645</v>
      </c>
      <c r="Q277" s="4" t="str">
        <f ca="1">IFERROR(__xludf.DUMMYFUNCTION("TRIM(SUBSTITUTE(SUBSTITUTE(D277, index(SPLIT(D277, "" ""), COLUMNS(SPLIT(D277, "" ""))), """"), index(SPLIT(D277, "" ""), COLUMNS(SPLIT(D277, "" ""))-1), """"))"),"Новоборівська")</f>
        <v>Новоборівська</v>
      </c>
    </row>
    <row r="278" spans="1:17" ht="50.5">
      <c r="A278" s="2"/>
      <c r="B278" s="2" t="s">
        <v>584</v>
      </c>
      <c r="C278" s="2" t="s">
        <v>607</v>
      </c>
      <c r="D278" s="2" t="s">
        <v>646</v>
      </c>
      <c r="E278" s="2"/>
      <c r="F278" s="2" t="s">
        <v>32</v>
      </c>
      <c r="G278" s="2">
        <v>24</v>
      </c>
      <c r="H278" s="2">
        <v>423.3</v>
      </c>
      <c r="I278" s="2">
        <v>23720</v>
      </c>
      <c r="J278" s="2" t="s">
        <v>647</v>
      </c>
      <c r="K278" s="2">
        <v>8</v>
      </c>
      <c r="L278" s="2" t="s">
        <v>648</v>
      </c>
      <c r="Q278" s="4" t="str">
        <f ca="1">IFERROR(__xludf.DUMMYFUNCTION("TRIM(SUBSTITUTE(SUBSTITUTE(D278, index(SPLIT(D278, "" ""), COLUMNS(SPLIT(D278, "" ""))), """"), index(SPLIT(D278, "" ""), COLUMNS(SPLIT(D278, "" ""))-1), """"))"),"Новогуйвинська")</f>
        <v>Новогуйвинська</v>
      </c>
    </row>
    <row r="279" spans="1:17" ht="38">
      <c r="A279" s="2"/>
      <c r="B279" s="2" t="s">
        <v>584</v>
      </c>
      <c r="C279" s="2" t="s">
        <v>607</v>
      </c>
      <c r="D279" s="2" t="s">
        <v>649</v>
      </c>
      <c r="E279" s="2"/>
      <c r="F279" s="2" t="s">
        <v>28</v>
      </c>
      <c r="G279" s="2">
        <v>21</v>
      </c>
      <c r="H279" s="2">
        <v>302.3</v>
      </c>
      <c r="I279" s="2">
        <v>8250</v>
      </c>
      <c r="J279" s="2" t="s">
        <v>39</v>
      </c>
      <c r="K279" s="2">
        <v>7</v>
      </c>
      <c r="L279" s="2" t="s">
        <v>650</v>
      </c>
      <c r="Q279" s="4" t="str">
        <f ca="1">IFERROR(__xludf.DUMMYFUNCTION("TRIM(SUBSTITUTE(SUBSTITUTE(D279, index(SPLIT(D279, "" ""), COLUMNS(SPLIT(D279, "" ""))), """"), index(SPLIT(D279, "" ""), COLUMNS(SPLIT(D279, "" ""))-1), """"))"),"Оліївська")</f>
        <v>Оліївська</v>
      </c>
    </row>
    <row r="280" spans="1:17" ht="75.5">
      <c r="A280" s="2"/>
      <c r="B280" s="2" t="s">
        <v>584</v>
      </c>
      <c r="C280" s="2" t="s">
        <v>607</v>
      </c>
      <c r="D280" s="2" t="s">
        <v>651</v>
      </c>
      <c r="E280" s="2"/>
      <c r="F280" s="2" t="s">
        <v>28</v>
      </c>
      <c r="G280" s="2">
        <v>23</v>
      </c>
      <c r="H280" s="2">
        <v>499.5</v>
      </c>
      <c r="I280" s="2">
        <v>16362</v>
      </c>
      <c r="J280" s="2" t="s">
        <v>33</v>
      </c>
      <c r="K280" s="2">
        <v>16</v>
      </c>
      <c r="L280" s="2" t="s">
        <v>652</v>
      </c>
      <c r="Q280" s="4" t="str">
        <f ca="1">IFERROR(__xludf.DUMMYFUNCTION("TRIM(SUBSTITUTE(SUBSTITUTE(D280, index(SPLIT(D280, "" ""), COLUMNS(SPLIT(D280, "" ""))), """"), index(SPLIT(D280, "" ""), COLUMNS(SPLIT(D280, "" ""))-1), """"))"),"Попільнянська")</f>
        <v>Попільнянська</v>
      </c>
    </row>
    <row r="281" spans="1:17" ht="38">
      <c r="A281" s="2"/>
      <c r="B281" s="2" t="s">
        <v>584</v>
      </c>
      <c r="C281" s="2" t="s">
        <v>607</v>
      </c>
      <c r="D281" s="2" t="s">
        <v>653</v>
      </c>
      <c r="E281" s="2"/>
      <c r="F281" s="2" t="s">
        <v>28</v>
      </c>
      <c r="G281" s="2">
        <v>24</v>
      </c>
      <c r="H281" s="2">
        <v>258.8</v>
      </c>
      <c r="I281" s="2">
        <v>3420</v>
      </c>
      <c r="J281" s="2" t="s">
        <v>143</v>
      </c>
      <c r="K281" s="2">
        <v>5</v>
      </c>
      <c r="L281" s="2" t="s">
        <v>654</v>
      </c>
      <c r="Q281" s="4" t="str">
        <f ca="1">IFERROR(__xludf.DUMMYFUNCTION("TRIM(SUBSTITUTE(SUBSTITUTE(D281, index(SPLIT(D281, "" ""), COLUMNS(SPLIT(D281, "" ""))), """"), index(SPLIT(D281, "" ""), COLUMNS(SPLIT(D281, "" ""))-1), """"))"),"Потіївська")</f>
        <v>Потіївська</v>
      </c>
    </row>
    <row r="282" spans="1:17" ht="50.5">
      <c r="A282" s="2"/>
      <c r="B282" s="2" t="s">
        <v>584</v>
      </c>
      <c r="C282" s="2" t="s">
        <v>607</v>
      </c>
      <c r="D282" s="2" t="s">
        <v>655</v>
      </c>
      <c r="E282" s="2"/>
      <c r="F282" s="2" t="s">
        <v>32</v>
      </c>
      <c r="G282" s="2">
        <v>40</v>
      </c>
      <c r="H282" s="2">
        <v>528.29999999999995</v>
      </c>
      <c r="I282" s="2">
        <v>14033</v>
      </c>
      <c r="J282" s="2" t="s">
        <v>39</v>
      </c>
      <c r="K282" s="2">
        <v>11</v>
      </c>
      <c r="L282" s="2" t="s">
        <v>656</v>
      </c>
      <c r="Q282" s="4" t="str">
        <f ca="1">IFERROR(__xludf.DUMMYFUNCTION("TRIM(SUBSTITUTE(SUBSTITUTE(D282, index(SPLIT(D282, "" ""), COLUMNS(SPLIT(D282, "" ""))), """"), index(SPLIT(D282, "" ""), COLUMNS(SPLIT(D282, "" ""))-1), """"))"),"Пулинська")</f>
        <v>Пулинська</v>
      </c>
    </row>
    <row r="283" spans="1:17" ht="88">
      <c r="A283" s="2"/>
      <c r="B283" s="2" t="s">
        <v>584</v>
      </c>
      <c r="C283" s="2" t="s">
        <v>607</v>
      </c>
      <c r="D283" s="2" t="s">
        <v>657</v>
      </c>
      <c r="E283" s="2"/>
      <c r="F283" s="2" t="s">
        <v>20</v>
      </c>
      <c r="G283" s="2">
        <v>49</v>
      </c>
      <c r="H283" s="2">
        <v>855.1</v>
      </c>
      <c r="I283" s="2">
        <v>25518</v>
      </c>
      <c r="J283" s="2" t="s">
        <v>39</v>
      </c>
      <c r="K283" s="2">
        <v>19</v>
      </c>
      <c r="L283" s="2" t="s">
        <v>658</v>
      </c>
      <c r="Q283" s="4" t="str">
        <f ca="1">IFERROR(__xludf.DUMMYFUNCTION("TRIM(SUBSTITUTE(SUBSTITUTE(D283, index(SPLIT(D283, "" ""), COLUMNS(SPLIT(D283, "" ""))), """"), index(SPLIT(D283, "" ""), COLUMNS(SPLIT(D283, "" ""))-1), """"))"),"Радомишльська")</f>
        <v>Радомишльська</v>
      </c>
    </row>
    <row r="284" spans="1:17" ht="88">
      <c r="A284" s="2"/>
      <c r="B284" s="2" t="s">
        <v>584</v>
      </c>
      <c r="C284" s="2" t="s">
        <v>607</v>
      </c>
      <c r="D284" s="2" t="s">
        <v>659</v>
      </c>
      <c r="E284" s="2"/>
      <c r="F284" s="2" t="s">
        <v>32</v>
      </c>
      <c r="G284" s="2">
        <v>51</v>
      </c>
      <c r="H284" s="2">
        <v>718.6</v>
      </c>
      <c r="I284" s="2">
        <v>18724</v>
      </c>
      <c r="J284" s="2" t="s">
        <v>29</v>
      </c>
      <c r="K284" s="2">
        <v>20</v>
      </c>
      <c r="L284" s="2" t="s">
        <v>660</v>
      </c>
      <c r="Q284" s="4" t="str">
        <f ca="1">IFERROR(__xludf.DUMMYFUNCTION("TRIM(SUBSTITUTE(SUBSTITUTE(D284, index(SPLIT(D284, "" ""), COLUMNS(SPLIT(D284, "" ""))), """"), index(SPLIT(D284, "" ""), COLUMNS(SPLIT(D284, "" ""))-1), """"))"),"Романівська")</f>
        <v>Романівська</v>
      </c>
    </row>
    <row r="285" spans="1:17" ht="50.5">
      <c r="A285" s="2"/>
      <c r="B285" s="2" t="s">
        <v>584</v>
      </c>
      <c r="C285" s="2" t="s">
        <v>607</v>
      </c>
      <c r="D285" s="2" t="s">
        <v>661</v>
      </c>
      <c r="E285" s="2"/>
      <c r="F285" s="2" t="s">
        <v>28</v>
      </c>
      <c r="G285" s="2">
        <v>21</v>
      </c>
      <c r="H285" s="2">
        <v>286.10000000000002</v>
      </c>
      <c r="I285" s="2">
        <v>16840</v>
      </c>
      <c r="J285" s="2" t="s">
        <v>33</v>
      </c>
      <c r="K285" s="2">
        <v>9</v>
      </c>
      <c r="L285" s="2" t="s">
        <v>662</v>
      </c>
      <c r="Q285" s="4" t="str">
        <f ca="1">IFERROR(__xludf.DUMMYFUNCTION("TRIM(SUBSTITUTE(SUBSTITUTE(D285, index(SPLIT(D285, "" ""), COLUMNS(SPLIT(D285, "" ""))), """"), index(SPLIT(D285, "" ""), COLUMNS(SPLIT(D285, "" ""))-1), """"))"),"Станишівська")</f>
        <v>Станишівська</v>
      </c>
    </row>
    <row r="286" spans="1:17" ht="50.5">
      <c r="A286" s="2"/>
      <c r="B286" s="2" t="s">
        <v>584</v>
      </c>
      <c r="C286" s="2" t="s">
        <v>607</v>
      </c>
      <c r="D286" s="2" t="s">
        <v>663</v>
      </c>
      <c r="E286" s="2"/>
      <c r="F286" s="2" t="s">
        <v>28</v>
      </c>
      <c r="G286" s="2">
        <v>16</v>
      </c>
      <c r="H286" s="2">
        <v>261.5</v>
      </c>
      <c r="I286" s="2">
        <v>5034</v>
      </c>
      <c r="J286" s="2" t="s">
        <v>163</v>
      </c>
      <c r="K286" s="2">
        <v>9</v>
      </c>
      <c r="L286" s="2" t="s">
        <v>664</v>
      </c>
      <c r="Q286" s="4" t="str">
        <f ca="1">IFERROR(__xludf.DUMMYFUNCTION("TRIM(SUBSTITUTE(SUBSTITUTE(D286, index(SPLIT(D286, "" ""), COLUMNS(SPLIT(D286, "" ""))), """"), index(SPLIT(D286, "" ""), COLUMNS(SPLIT(D286, "" ""))-1), """"))"),"Старосілецька")</f>
        <v>Старосілецька</v>
      </c>
    </row>
    <row r="287" spans="1:17" ht="38">
      <c r="A287" s="2"/>
      <c r="B287" s="2" t="s">
        <v>584</v>
      </c>
      <c r="C287" s="2" t="s">
        <v>607</v>
      </c>
      <c r="D287" s="2" t="s">
        <v>665</v>
      </c>
      <c r="E287" s="2"/>
      <c r="F287" s="2" t="s">
        <v>28</v>
      </c>
      <c r="G287" s="2">
        <v>15</v>
      </c>
      <c r="H287" s="2">
        <v>295.8</v>
      </c>
      <c r="I287" s="2">
        <v>9647</v>
      </c>
      <c r="J287" s="2" t="s">
        <v>143</v>
      </c>
      <c r="K287" s="2">
        <v>5</v>
      </c>
      <c r="L287" s="2" t="s">
        <v>666</v>
      </c>
      <c r="Q287" s="4" t="str">
        <f ca="1">IFERROR(__xludf.DUMMYFUNCTION("TRIM(SUBSTITUTE(SUBSTITUTE(D287, index(SPLIT(D287, "" ""), COLUMNS(SPLIT(D287, "" ""))), """"), index(SPLIT(D287, "" ""), COLUMNS(SPLIT(D287, "" ""))-1), """"))"),"Тетерівська")</f>
        <v>Тетерівська</v>
      </c>
    </row>
    <row r="288" spans="1:17" ht="50.5">
      <c r="A288" s="2"/>
      <c r="B288" s="2" t="s">
        <v>584</v>
      </c>
      <c r="C288" s="2" t="s">
        <v>607</v>
      </c>
      <c r="D288" s="2" t="s">
        <v>667</v>
      </c>
      <c r="E288" s="2"/>
      <c r="F288" s="2" t="s">
        <v>28</v>
      </c>
      <c r="G288" s="2">
        <v>13</v>
      </c>
      <c r="H288" s="2">
        <v>207.1</v>
      </c>
      <c r="I288" s="2">
        <v>1814</v>
      </c>
      <c r="J288" s="2" t="s">
        <v>46</v>
      </c>
      <c r="K288" s="2">
        <v>2</v>
      </c>
      <c r="L288" s="2" t="s">
        <v>668</v>
      </c>
      <c r="Q288" s="4" t="str">
        <f ca="1">IFERROR(__xludf.DUMMYFUNCTION("TRIM(SUBSTITUTE(SUBSTITUTE(D288, index(SPLIT(D288, "" ""), COLUMNS(SPLIT(D288, "" ""))), """"), index(SPLIT(D288, "" ""), COLUMNS(SPLIT(D288, "" ""))-1), """"))"),"Харитонівська")</f>
        <v>Харитонівська</v>
      </c>
    </row>
    <row r="289" spans="1:17" ht="63">
      <c r="A289" s="2"/>
      <c r="B289" s="2" t="s">
        <v>584</v>
      </c>
      <c r="C289" s="2" t="s">
        <v>607</v>
      </c>
      <c r="D289" s="2" t="s">
        <v>669</v>
      </c>
      <c r="E289" s="2"/>
      <c r="F289" s="2" t="s">
        <v>32</v>
      </c>
      <c r="G289" s="2">
        <v>57</v>
      </c>
      <c r="H289" s="2">
        <v>595.5</v>
      </c>
      <c r="I289" s="2">
        <v>17885</v>
      </c>
      <c r="J289" s="2" t="s">
        <v>33</v>
      </c>
      <c r="K289" s="2">
        <v>14</v>
      </c>
      <c r="L289" s="2" t="s">
        <v>670</v>
      </c>
      <c r="Q289" s="4" t="str">
        <f ca="1">IFERROR(__xludf.DUMMYFUNCTION("TRIM(SUBSTITUTE(SUBSTITUTE(D289, index(SPLIT(D289, "" ""), COLUMNS(SPLIT(D289, "" ""))), """"), index(SPLIT(D289, "" ""), COLUMNS(SPLIT(D289, "" ""))-1), """"))"),"Хорошівська")</f>
        <v>Хорошівська</v>
      </c>
    </row>
    <row r="290" spans="1:17" ht="75.5">
      <c r="A290" s="2"/>
      <c r="B290" s="2" t="s">
        <v>584</v>
      </c>
      <c r="C290" s="2" t="s">
        <v>607</v>
      </c>
      <c r="D290" s="2" t="s">
        <v>671</v>
      </c>
      <c r="E290" s="2"/>
      <c r="F290" s="2" t="s">
        <v>32</v>
      </c>
      <c r="G290" s="2">
        <v>37</v>
      </c>
      <c r="H290" s="2">
        <v>537.4</v>
      </c>
      <c r="I290" s="2">
        <v>19842</v>
      </c>
      <c r="J290" s="2" t="s">
        <v>672</v>
      </c>
      <c r="K290" s="2">
        <v>17</v>
      </c>
      <c r="L290" s="2" t="s">
        <v>673</v>
      </c>
      <c r="Q290" s="4" t="str">
        <f ca="1">IFERROR(__xludf.DUMMYFUNCTION("TRIM(SUBSTITUTE(SUBSTITUTE(D290, index(SPLIT(D290, "" ""), COLUMNS(SPLIT(D290, "" ""))), """"), index(SPLIT(D290, "" ""), COLUMNS(SPLIT(D290, "" ""))-1), """"))"),"Черняхівська")</f>
        <v>Черняхівська</v>
      </c>
    </row>
    <row r="291" spans="1:17" ht="75.5">
      <c r="A291" s="2"/>
      <c r="B291" s="2" t="s">
        <v>584</v>
      </c>
      <c r="C291" s="2" t="s">
        <v>607</v>
      </c>
      <c r="D291" s="2" t="s">
        <v>674</v>
      </c>
      <c r="E291" s="2"/>
      <c r="F291" s="2" t="s">
        <v>20</v>
      </c>
      <c r="G291" s="2">
        <v>35</v>
      </c>
      <c r="H291" s="2">
        <v>520.6</v>
      </c>
      <c r="I291" s="2">
        <v>19802</v>
      </c>
      <c r="J291" s="2" t="s">
        <v>249</v>
      </c>
      <c r="K291" s="2">
        <v>15</v>
      </c>
      <c r="L291" s="2" t="s">
        <v>675</v>
      </c>
      <c r="Q291" s="4" t="str">
        <f ca="1">IFERROR(__xludf.DUMMYFUNCTION("TRIM(SUBSTITUTE(SUBSTITUTE(D291, index(SPLIT(D291, "" ""), COLUMNS(SPLIT(D291, "" ""))), """"), index(SPLIT(D291, "" ""), COLUMNS(SPLIT(D291, "" ""))-1), """"))"),"Чуднівська")</f>
        <v>Чуднівська</v>
      </c>
    </row>
    <row r="292" spans="1:17" ht="38">
      <c r="A292" s="2"/>
      <c r="B292" s="2" t="s">
        <v>584</v>
      </c>
      <c r="C292" s="2" t="s">
        <v>676</v>
      </c>
      <c r="D292" s="2" t="s">
        <v>677</v>
      </c>
      <c r="E292" s="2"/>
      <c r="F292" s="2" t="s">
        <v>32</v>
      </c>
      <c r="G292" s="2">
        <v>14</v>
      </c>
      <c r="H292" s="2">
        <v>245.3</v>
      </c>
      <c r="I292" s="2">
        <v>9081</v>
      </c>
      <c r="J292" s="2" t="s">
        <v>143</v>
      </c>
      <c r="K292" s="2">
        <v>5</v>
      </c>
      <c r="L292" s="2" t="s">
        <v>678</v>
      </c>
      <c r="Q292" s="4" t="str">
        <f ca="1">IFERROR(__xludf.DUMMYFUNCTION("TRIM(SUBSTITUTE(SUBSTITUTE(D292, index(SPLIT(D292, "" ""), COLUMNS(SPLIT(D292, "" ""))), """"), index(SPLIT(D292, "" ""), COLUMNS(SPLIT(D292, "" ""))-1), """"))"),"Іршанська")</f>
        <v>Іршанська</v>
      </c>
    </row>
    <row r="293" spans="1:17" ht="50.5">
      <c r="A293" s="2"/>
      <c r="B293" s="2" t="s">
        <v>584</v>
      </c>
      <c r="C293" s="2" t="s">
        <v>676</v>
      </c>
      <c r="D293" s="2" t="s">
        <v>679</v>
      </c>
      <c r="E293" s="2"/>
      <c r="F293" s="2" t="s">
        <v>28</v>
      </c>
      <c r="G293" s="2">
        <v>3</v>
      </c>
      <c r="H293" s="2">
        <v>106.7</v>
      </c>
      <c r="I293" s="2">
        <v>5780</v>
      </c>
      <c r="J293" s="2" t="s">
        <v>33</v>
      </c>
      <c r="K293" s="2">
        <v>3</v>
      </c>
      <c r="L293" s="2" t="s">
        <v>680</v>
      </c>
      <c r="Q293" s="4" t="str">
        <f ca="1">IFERROR(__xludf.DUMMYFUNCTION("TRIM(SUBSTITUTE(SUBSTITUTE(D293, index(SPLIT(D293, "" ""), COLUMNS(SPLIT(D293, "" ""))), """"), index(SPLIT(D293, "" ""), COLUMNS(SPLIT(D293, "" ""))-1), """"))"),"Білокоровицька")</f>
        <v>Білокоровицька</v>
      </c>
    </row>
    <row r="294" spans="1:17" ht="50.5">
      <c r="A294" s="2"/>
      <c r="B294" s="2" t="s">
        <v>584</v>
      </c>
      <c r="C294" s="2" t="s">
        <v>676</v>
      </c>
      <c r="D294" s="2" t="s">
        <v>681</v>
      </c>
      <c r="E294" s="2"/>
      <c r="F294" s="2" t="s">
        <v>28</v>
      </c>
      <c r="G294" s="2">
        <v>11</v>
      </c>
      <c r="H294" s="2">
        <v>184.4</v>
      </c>
      <c r="I294" s="2">
        <v>4790</v>
      </c>
      <c r="J294" s="2" t="s">
        <v>682</v>
      </c>
      <c r="K294" s="2">
        <v>3</v>
      </c>
      <c r="L294" s="2" t="s">
        <v>683</v>
      </c>
      <c r="Q294" s="4" t="str">
        <f ca="1">IFERROR(__xludf.DUMMYFUNCTION("TRIM(SUBSTITUTE(SUBSTITUTE(D294, index(SPLIT(D294, "" ""), COLUMNS(SPLIT(D294, "" ""))), """"), index(SPLIT(D294, "" ""), COLUMNS(SPLIT(D294, "" ""))-1), """"))"),"Гладковицька")</f>
        <v>Гладковицька</v>
      </c>
    </row>
    <row r="295" spans="1:17" ht="38">
      <c r="A295" s="2"/>
      <c r="B295" s="2" t="s">
        <v>584</v>
      </c>
      <c r="C295" s="2" t="s">
        <v>676</v>
      </c>
      <c r="D295" s="2" t="s">
        <v>684</v>
      </c>
      <c r="E295" s="2"/>
      <c r="F295" s="2" t="s">
        <v>28</v>
      </c>
      <c r="G295" s="2">
        <v>10</v>
      </c>
      <c r="H295" s="2">
        <v>133.9</v>
      </c>
      <c r="I295" s="2">
        <v>2797</v>
      </c>
      <c r="J295" s="2" t="s">
        <v>33</v>
      </c>
      <c r="K295" s="2">
        <v>3</v>
      </c>
      <c r="L295" s="2" t="s">
        <v>685</v>
      </c>
      <c r="Q295" s="4" t="str">
        <f ca="1">IFERROR(__xludf.DUMMYFUNCTION("TRIM(SUBSTITUTE(SUBSTITUTE(D295, index(SPLIT(D295, "" ""), COLUMNS(SPLIT(D295, "" ""))), """"), index(SPLIT(D295, "" ""), COLUMNS(SPLIT(D295, "" ""))-1), """"))"),"Горщиківська")</f>
        <v>Горщиківська</v>
      </c>
    </row>
    <row r="296" spans="1:17" ht="88">
      <c r="A296" s="2"/>
      <c r="B296" s="2" t="s">
        <v>584</v>
      </c>
      <c r="C296" s="2" t="s">
        <v>676</v>
      </c>
      <c r="D296" s="2" t="s">
        <v>686</v>
      </c>
      <c r="E296" s="2"/>
      <c r="F296" s="2" t="s">
        <v>20</v>
      </c>
      <c r="G296" s="2">
        <v>44</v>
      </c>
      <c r="H296" s="2">
        <v>806.3</v>
      </c>
      <c r="I296" s="2">
        <v>72582</v>
      </c>
      <c r="J296" s="2" t="s">
        <v>687</v>
      </c>
      <c r="K296" s="2">
        <v>19</v>
      </c>
      <c r="L296" s="2" t="s">
        <v>688</v>
      </c>
      <c r="Q296" s="4" t="str">
        <f ca="1">IFERROR(__xludf.DUMMYFUNCTION("TRIM(SUBSTITUTE(SUBSTITUTE(D296, index(SPLIT(D296, "" ""), COLUMNS(SPLIT(D296, "" ""))), """"), index(SPLIT(D296, "" ""), COLUMNS(SPLIT(D296, "" ""))-1), """"))"),"Коростенська")</f>
        <v>Коростенська</v>
      </c>
    </row>
    <row r="297" spans="1:17" ht="88">
      <c r="A297" s="2"/>
      <c r="B297" s="2" t="s">
        <v>584</v>
      </c>
      <c r="C297" s="2" t="s">
        <v>676</v>
      </c>
      <c r="D297" s="2" t="s">
        <v>689</v>
      </c>
      <c r="E297" s="2"/>
      <c r="F297" s="2" t="s">
        <v>32</v>
      </c>
      <c r="G297" s="2">
        <v>49</v>
      </c>
      <c r="H297" s="2">
        <v>998.9</v>
      </c>
      <c r="I297" s="2">
        <v>15400</v>
      </c>
      <c r="J297" s="2" t="s">
        <v>33</v>
      </c>
      <c r="K297" s="2">
        <v>18</v>
      </c>
      <c r="L297" s="2" t="s">
        <v>690</v>
      </c>
      <c r="Q297" s="4" t="str">
        <f ca="1">IFERROR(__xludf.DUMMYFUNCTION("TRIM(SUBSTITUTE(SUBSTITUTE(D297, index(SPLIT(D297, "" ""), COLUMNS(SPLIT(D297, "" ""))), """"), index(SPLIT(D297, "" ""), COLUMNS(SPLIT(D297, "" ""))-1), """"))"),"Лугинська")</f>
        <v>Лугинська</v>
      </c>
    </row>
    <row r="298" spans="1:17" ht="100.5">
      <c r="A298" s="2"/>
      <c r="B298" s="2" t="s">
        <v>584</v>
      </c>
      <c r="C298" s="2" t="s">
        <v>676</v>
      </c>
      <c r="D298" s="2" t="s">
        <v>691</v>
      </c>
      <c r="E298" s="2"/>
      <c r="F298" s="2" t="s">
        <v>20</v>
      </c>
      <c r="G298" s="2">
        <v>77</v>
      </c>
      <c r="H298" s="2">
        <v>1128.2</v>
      </c>
      <c r="I298" s="2">
        <v>37403</v>
      </c>
      <c r="J298" s="2" t="s">
        <v>692</v>
      </c>
      <c r="K298" s="2">
        <v>21</v>
      </c>
      <c r="L298" s="2" t="s">
        <v>693</v>
      </c>
      <c r="Q298" s="4" t="str">
        <f ca="1">IFERROR(__xludf.DUMMYFUNCTION("TRIM(SUBSTITUTE(SUBSTITUTE(D298, index(SPLIT(D298, "" ""), COLUMNS(SPLIT(D298, "" ""))), """"), index(SPLIT(D298, "" ""), COLUMNS(SPLIT(D298, "" ""))-1), """"))"),"Малинська")</f>
        <v>Малинська</v>
      </c>
    </row>
    <row r="299" spans="1:17" ht="75.5">
      <c r="A299" s="2"/>
      <c r="B299" s="2" t="s">
        <v>584</v>
      </c>
      <c r="C299" s="2" t="s">
        <v>676</v>
      </c>
      <c r="D299" s="2" t="s">
        <v>694</v>
      </c>
      <c r="E299" s="2"/>
      <c r="F299" s="2" t="s">
        <v>32</v>
      </c>
      <c r="G299" s="2">
        <v>65</v>
      </c>
      <c r="H299" s="2">
        <v>1275</v>
      </c>
      <c r="I299" s="2">
        <v>9382</v>
      </c>
      <c r="J299" s="2" t="s">
        <v>143</v>
      </c>
      <c r="K299" s="2">
        <v>18</v>
      </c>
      <c r="L299" s="2" t="s">
        <v>695</v>
      </c>
      <c r="Q299" s="4" t="str">
        <f ca="1">IFERROR(__xludf.DUMMYFUNCTION("TRIM(SUBSTITUTE(SUBSTITUTE(D299, index(SPLIT(D299, "" ""), COLUMNS(SPLIT(D299, "" ""))), """"), index(SPLIT(D299, "" ""), COLUMNS(SPLIT(D299, "" ""))-1), """"))"),"Народицька")</f>
        <v>Народицька</v>
      </c>
    </row>
    <row r="300" spans="1:17" ht="100.5">
      <c r="A300" s="2"/>
      <c r="B300" s="2" t="s">
        <v>584</v>
      </c>
      <c r="C300" s="2" t="s">
        <v>676</v>
      </c>
      <c r="D300" s="2" t="s">
        <v>696</v>
      </c>
      <c r="E300" s="2"/>
      <c r="F300" s="2" t="s">
        <v>20</v>
      </c>
      <c r="G300" s="2">
        <v>91</v>
      </c>
      <c r="H300" s="2">
        <v>1545.5</v>
      </c>
      <c r="I300" s="2">
        <v>36995</v>
      </c>
      <c r="J300" s="2" t="s">
        <v>39</v>
      </c>
      <c r="K300" s="2">
        <v>21</v>
      </c>
      <c r="L300" s="2" t="s">
        <v>697</v>
      </c>
      <c r="Q300" s="4" t="str">
        <f ca="1">IFERROR(__xludf.DUMMYFUNCTION("TRIM(SUBSTITUTE(SUBSTITUTE(D300, index(SPLIT(D300, "" ""), COLUMNS(SPLIT(D300, "" ""))), """"), index(SPLIT(D300, "" ""), COLUMNS(SPLIT(D300, "" ""))-1), """"))"),"Овруцька")</f>
        <v>Овруцька</v>
      </c>
    </row>
    <row r="301" spans="1:17" ht="100.5">
      <c r="A301" s="2"/>
      <c r="B301" s="2" t="s">
        <v>584</v>
      </c>
      <c r="C301" s="2" t="s">
        <v>676</v>
      </c>
      <c r="D301" s="2" t="s">
        <v>698</v>
      </c>
      <c r="E301" s="2"/>
      <c r="F301" s="2" t="s">
        <v>20</v>
      </c>
      <c r="G301" s="2">
        <v>57</v>
      </c>
      <c r="H301" s="2">
        <v>2144.1</v>
      </c>
      <c r="I301" s="2">
        <v>34587</v>
      </c>
      <c r="J301" s="2" t="s">
        <v>33</v>
      </c>
      <c r="K301" s="2">
        <v>22</v>
      </c>
      <c r="L301" s="2" t="s">
        <v>699</v>
      </c>
      <c r="Q301" s="4" t="str">
        <f ca="1">IFERROR(__xludf.DUMMYFUNCTION("TRIM(SUBSTITUTE(SUBSTITUTE(D301, index(SPLIT(D301, "" ""), COLUMNS(SPLIT(D301, "" ""))), """"), index(SPLIT(D301, "" ""), COLUMNS(SPLIT(D301, "" ""))-1), """"))"),"Олевська")</f>
        <v>Олевська</v>
      </c>
    </row>
    <row r="302" spans="1:17" ht="50.5">
      <c r="A302" s="2"/>
      <c r="B302" s="2" t="s">
        <v>584</v>
      </c>
      <c r="C302" s="2" t="s">
        <v>676</v>
      </c>
      <c r="D302" s="2" t="s">
        <v>700</v>
      </c>
      <c r="E302" s="2"/>
      <c r="F302" s="2" t="s">
        <v>28</v>
      </c>
      <c r="G302" s="2">
        <v>35</v>
      </c>
      <c r="H302" s="2">
        <v>1315.8</v>
      </c>
      <c r="I302" s="2">
        <v>11151</v>
      </c>
      <c r="J302" s="2" t="s">
        <v>39</v>
      </c>
      <c r="K302" s="2">
        <v>9</v>
      </c>
      <c r="L302" s="2" t="s">
        <v>701</v>
      </c>
      <c r="Q302" s="4" t="str">
        <f ca="1">IFERROR(__xludf.DUMMYFUNCTION("TRIM(SUBSTITUTE(SUBSTITUTE(D302, index(SPLIT(D302, "" ""), COLUMNS(SPLIT(D302, "" ""))), """"), index(SPLIT(D302, "" ""), COLUMNS(SPLIT(D302, "" ""))-1), """"))"),"Словечанська")</f>
        <v>Словечанська</v>
      </c>
    </row>
    <row r="303" spans="1:17" ht="63">
      <c r="A303" s="2"/>
      <c r="B303" s="2" t="s">
        <v>584</v>
      </c>
      <c r="C303" s="2" t="s">
        <v>676</v>
      </c>
      <c r="D303" s="2" t="s">
        <v>702</v>
      </c>
      <c r="E303" s="2"/>
      <c r="F303" s="2" t="s">
        <v>28</v>
      </c>
      <c r="G303" s="2">
        <v>46</v>
      </c>
      <c r="H303" s="2">
        <v>650.29999999999995</v>
      </c>
      <c r="I303" s="2">
        <v>9658</v>
      </c>
      <c r="J303" s="2" t="s">
        <v>33</v>
      </c>
      <c r="K303" s="2">
        <v>13</v>
      </c>
      <c r="L303" s="2" t="s">
        <v>703</v>
      </c>
      <c r="Q303" s="4" t="str">
        <f ca="1">IFERROR(__xludf.DUMMYFUNCTION("TRIM(SUBSTITUTE(SUBSTITUTE(D303, index(SPLIT(D303, "" ""), COLUMNS(SPLIT(D303, "" ""))), """"), index(SPLIT(D303, "" ""), COLUMNS(SPLIT(D303, "" ""))-1), """"))"),"Ушомирська")</f>
        <v>Ушомирська</v>
      </c>
    </row>
    <row r="304" spans="1:17" ht="38">
      <c r="A304" s="2"/>
      <c r="B304" s="2" t="s">
        <v>584</v>
      </c>
      <c r="C304" s="2" t="s">
        <v>676</v>
      </c>
      <c r="D304" s="2" t="s">
        <v>704</v>
      </c>
      <c r="E304" s="2"/>
      <c r="F304" s="2" t="s">
        <v>32</v>
      </c>
      <c r="G304" s="2">
        <v>27</v>
      </c>
      <c r="H304" s="2">
        <v>357.8</v>
      </c>
      <c r="I304" s="2">
        <v>5874</v>
      </c>
      <c r="J304" s="2" t="s">
        <v>33</v>
      </c>
      <c r="K304" s="2">
        <v>7</v>
      </c>
      <c r="L304" s="2" t="s">
        <v>705</v>
      </c>
      <c r="Q304" s="4" t="str">
        <f ca="1">IFERROR(__xludf.DUMMYFUNCTION("TRIM(SUBSTITUTE(SUBSTITUTE(D304, index(SPLIT(D304, "" ""), COLUMNS(SPLIT(D304, "" ""))), """"), index(SPLIT(D304, "" ""), COLUMNS(SPLIT(D304, "" ""))-1), """"))"),"Чоповицька")</f>
        <v>Чоповицька</v>
      </c>
    </row>
    <row r="305" spans="1:17" ht="100.5">
      <c r="A305" s="2"/>
      <c r="B305" s="2" t="s">
        <v>584</v>
      </c>
      <c r="C305" s="2" t="s">
        <v>706</v>
      </c>
      <c r="D305" s="2" t="s">
        <v>707</v>
      </c>
      <c r="E305" s="2"/>
      <c r="F305" s="2" t="s">
        <v>32</v>
      </c>
      <c r="G305" s="2">
        <v>72</v>
      </c>
      <c r="H305" s="2">
        <v>1478.1</v>
      </c>
      <c r="I305" s="2">
        <v>21579</v>
      </c>
      <c r="J305" s="2" t="s">
        <v>39</v>
      </c>
      <c r="K305" s="2">
        <v>22</v>
      </c>
      <c r="L305" s="2" t="s">
        <v>708</v>
      </c>
      <c r="Q305" s="4" t="str">
        <f ca="1">IFERROR(__xludf.DUMMYFUNCTION("TRIM(SUBSTITUTE(SUBSTITUTE(D305, index(SPLIT(D305, "" ""), COLUMNS(SPLIT(D305, "" ""))), """"), index(SPLIT(D305, "" ""), COLUMNS(SPLIT(D305, "" ""))-1), """"))"),"Ємільчинська")</f>
        <v>Ємільчинська</v>
      </c>
    </row>
    <row r="306" spans="1:17" ht="63">
      <c r="A306" s="2"/>
      <c r="B306" s="2" t="s">
        <v>584</v>
      </c>
      <c r="C306" s="2" t="s">
        <v>706</v>
      </c>
      <c r="D306" s="2" t="s">
        <v>709</v>
      </c>
      <c r="E306" s="2"/>
      <c r="F306" s="2" t="s">
        <v>20</v>
      </c>
      <c r="G306" s="2">
        <v>35</v>
      </c>
      <c r="H306" s="2">
        <v>602.4</v>
      </c>
      <c r="I306" s="2">
        <v>24328</v>
      </c>
      <c r="J306" s="2" t="s">
        <v>33</v>
      </c>
      <c r="K306" s="2">
        <v>14</v>
      </c>
      <c r="L306" s="2" t="s">
        <v>710</v>
      </c>
      <c r="Q306" s="4" t="str">
        <f ca="1">IFERROR(__xludf.DUMMYFUNCTION("TRIM(SUBSTITUTE(SUBSTITUTE(D306, index(SPLIT(D306, "" ""), COLUMNS(SPLIT(D306, "" ""))), """"), index(SPLIT(D306, "" ""), COLUMNS(SPLIT(D306, "" ""))-1), """"))"),"Баранівська")</f>
        <v>Баранівська</v>
      </c>
    </row>
    <row r="307" spans="1:17" ht="50.5">
      <c r="A307" s="2"/>
      <c r="B307" s="2" t="s">
        <v>584</v>
      </c>
      <c r="C307" s="2" t="s">
        <v>706</v>
      </c>
      <c r="D307" s="2" t="s">
        <v>711</v>
      </c>
      <c r="E307" s="2"/>
      <c r="F307" s="2" t="s">
        <v>28</v>
      </c>
      <c r="G307" s="2">
        <v>36</v>
      </c>
      <c r="H307" s="2">
        <v>491.3</v>
      </c>
      <c r="I307" s="2">
        <v>6731</v>
      </c>
      <c r="J307" s="2" t="s">
        <v>33</v>
      </c>
      <c r="K307" s="2">
        <v>12</v>
      </c>
      <c r="L307" s="2" t="s">
        <v>712</v>
      </c>
      <c r="Q307" s="4" t="str">
        <f ca="1">IFERROR(__xludf.DUMMYFUNCTION("TRIM(SUBSTITUTE(SUBSTITUTE(D307, index(SPLIT(D307, "" ""), COLUMNS(SPLIT(D307, "" ""))), """"), index(SPLIT(D307, "" ""), COLUMNS(SPLIT(D307, "" ""))-1), """"))"),"Барашівська")</f>
        <v>Барашівська</v>
      </c>
    </row>
    <row r="308" spans="1:17" ht="38">
      <c r="A308" s="2"/>
      <c r="B308" s="2" t="s">
        <v>584</v>
      </c>
      <c r="C308" s="2" t="s">
        <v>706</v>
      </c>
      <c r="D308" s="2" t="s">
        <v>713</v>
      </c>
      <c r="E308" s="2"/>
      <c r="F308" s="2" t="s">
        <v>28</v>
      </c>
      <c r="G308" s="2">
        <v>33</v>
      </c>
      <c r="H308" s="2">
        <v>445.5</v>
      </c>
      <c r="I308" s="2">
        <v>7876</v>
      </c>
      <c r="J308" s="2" t="s">
        <v>39</v>
      </c>
      <c r="K308" s="2">
        <v>9</v>
      </c>
      <c r="L308" s="2" t="s">
        <v>714</v>
      </c>
      <c r="Q308" s="4" t="str">
        <f ca="1">IFERROR(__xludf.DUMMYFUNCTION("TRIM(SUBSTITUTE(SUBSTITUTE(D308, index(SPLIT(D308, "" ""), COLUMNS(SPLIT(D308, "" ""))), """"), index(SPLIT(D308, "" ""), COLUMNS(SPLIT(D308, "" ""))-1), """"))"),"Брониківська")</f>
        <v>Брониківська</v>
      </c>
    </row>
    <row r="309" spans="1:17" ht="38">
      <c r="A309" s="2"/>
      <c r="B309" s="2" t="s">
        <v>584</v>
      </c>
      <c r="C309" s="2" t="s">
        <v>706</v>
      </c>
      <c r="D309" s="2" t="s">
        <v>715</v>
      </c>
      <c r="E309" s="2"/>
      <c r="F309" s="2" t="s">
        <v>32</v>
      </c>
      <c r="G309" s="2">
        <v>13</v>
      </c>
      <c r="H309" s="2">
        <v>479.9</v>
      </c>
      <c r="I309" s="2">
        <v>8214</v>
      </c>
      <c r="J309" s="2" t="s">
        <v>33</v>
      </c>
      <c r="K309" s="2">
        <v>5</v>
      </c>
      <c r="L309" s="2" t="s">
        <v>716</v>
      </c>
      <c r="Q309" s="4" t="str">
        <f ca="1">IFERROR(__xludf.DUMMYFUNCTION("TRIM(SUBSTITUTE(SUBSTITUTE(D309, index(SPLIT(D309, "" ""), COLUMNS(SPLIT(D309, "" ""))), """"), index(SPLIT(D309, "" ""), COLUMNS(SPLIT(D309, "" ""))-1), """"))"),"Городницька")</f>
        <v>Городницька</v>
      </c>
    </row>
    <row r="310" spans="1:17" ht="38">
      <c r="A310" s="2"/>
      <c r="B310" s="2" t="s">
        <v>584</v>
      </c>
      <c r="C310" s="2" t="s">
        <v>706</v>
      </c>
      <c r="D310" s="2" t="s">
        <v>717</v>
      </c>
      <c r="E310" s="2"/>
      <c r="F310" s="2" t="s">
        <v>32</v>
      </c>
      <c r="G310" s="2">
        <v>16</v>
      </c>
      <c r="H310" s="2">
        <v>225.3</v>
      </c>
      <c r="I310" s="2">
        <v>8877</v>
      </c>
      <c r="J310" s="2" t="s">
        <v>33</v>
      </c>
      <c r="K310" s="2">
        <v>3</v>
      </c>
      <c r="L310" s="2" t="s">
        <v>718</v>
      </c>
      <c r="Q310" s="4" t="str">
        <f ca="1">IFERROR(__xludf.DUMMYFUNCTION("TRIM(SUBSTITUTE(SUBSTITUTE(D310, index(SPLIT(D310, "" ""), COLUMNS(SPLIT(D310, "" ""))), """"), index(SPLIT(D310, "" ""), COLUMNS(SPLIT(D310, "" ""))-1), """"))"),"Довбиська")</f>
        <v>Довбиська</v>
      </c>
    </row>
    <row r="311" spans="1:17" ht="38">
      <c r="A311" s="2"/>
      <c r="B311" s="2" t="s">
        <v>584</v>
      </c>
      <c r="C311" s="2" t="s">
        <v>706</v>
      </c>
      <c r="D311" s="2" t="s">
        <v>719</v>
      </c>
      <c r="E311" s="2"/>
      <c r="F311" s="2" t="s">
        <v>28</v>
      </c>
      <c r="G311" s="2">
        <v>12</v>
      </c>
      <c r="H311" s="2">
        <v>173</v>
      </c>
      <c r="I311" s="2">
        <v>3747</v>
      </c>
      <c r="J311" s="2" t="s">
        <v>143</v>
      </c>
      <c r="K311" s="2">
        <v>4</v>
      </c>
      <c r="L311" s="2" t="s">
        <v>720</v>
      </c>
      <c r="Q311" s="4" t="str">
        <f ca="1">IFERROR(__xludf.DUMMYFUNCTION("TRIM(SUBSTITUTE(SUBSTITUTE(D311, index(SPLIT(D311, "" ""), COLUMNS(SPLIT(D311, "" ""))), """"), index(SPLIT(D311, "" ""), COLUMNS(SPLIT(D311, "" ""))-1), """"))"),"Дубрівська")</f>
        <v>Дубрівська</v>
      </c>
    </row>
    <row r="312" spans="1:17" ht="50.5">
      <c r="A312" s="2"/>
      <c r="B312" s="2" t="s">
        <v>584</v>
      </c>
      <c r="C312" s="2" t="s">
        <v>706</v>
      </c>
      <c r="D312" s="2" t="s">
        <v>721</v>
      </c>
      <c r="E312" s="2"/>
      <c r="F312" s="2" t="s">
        <v>20</v>
      </c>
      <c r="G312" s="2">
        <v>15</v>
      </c>
      <c r="H312" s="2">
        <v>249</v>
      </c>
      <c r="I312" s="2">
        <v>61603</v>
      </c>
      <c r="J312" s="2" t="s">
        <v>722</v>
      </c>
      <c r="K312" s="2">
        <v>6</v>
      </c>
      <c r="L312" s="2" t="s">
        <v>723</v>
      </c>
      <c r="Q312" s="4" t="str">
        <f ca="1">IFERROR(__xludf.DUMMYFUNCTION("TRIM(SUBSTITUTE(SUBSTITUTE(D312, index(SPLIT(D312, "" ""), COLUMNS(SPLIT(D312, "" ""))), """"), index(SPLIT(D312, "" ""), COLUMNS(SPLIT(D312, "" ""))-1), """"))"),"Новоград-Волинська")</f>
        <v>Новоград-Волинська</v>
      </c>
    </row>
    <row r="313" spans="1:17" ht="38">
      <c r="A313" s="2"/>
      <c r="B313" s="2" t="s">
        <v>584</v>
      </c>
      <c r="C313" s="2" t="s">
        <v>706</v>
      </c>
      <c r="D313" s="2" t="s">
        <v>724</v>
      </c>
      <c r="E313" s="2"/>
      <c r="F313" s="2" t="s">
        <v>28</v>
      </c>
      <c r="G313" s="2">
        <v>11</v>
      </c>
      <c r="H313" s="2">
        <v>192.7</v>
      </c>
      <c r="I313" s="2">
        <v>3867</v>
      </c>
      <c r="J313" s="2" t="s">
        <v>39</v>
      </c>
      <c r="K313" s="2">
        <v>5</v>
      </c>
      <c r="L313" s="2" t="s">
        <v>725</v>
      </c>
      <c r="Q313" s="4" t="str">
        <f ca="1">IFERROR(__xludf.DUMMYFUNCTION("TRIM(SUBSTITUTE(SUBSTITUTE(D313, index(SPLIT(D313, "" ""), COLUMNS(SPLIT(D313, "" ""))), """"), index(SPLIT(D313, "" ""), COLUMNS(SPLIT(D313, "" ""))-1), """"))"),"Піщівська")</f>
        <v>Піщівська</v>
      </c>
    </row>
    <row r="314" spans="1:17" ht="38">
      <c r="A314" s="2"/>
      <c r="B314" s="2" t="s">
        <v>584</v>
      </c>
      <c r="C314" s="2" t="s">
        <v>706</v>
      </c>
      <c r="D314" s="2" t="s">
        <v>726</v>
      </c>
      <c r="E314" s="2"/>
      <c r="F314" s="2" t="s">
        <v>28</v>
      </c>
      <c r="G314" s="2">
        <v>9</v>
      </c>
      <c r="H314" s="2">
        <v>206.8</v>
      </c>
      <c r="I314" s="2">
        <v>4969</v>
      </c>
      <c r="J314" s="2" t="s">
        <v>46</v>
      </c>
      <c r="K314" s="2">
        <v>5</v>
      </c>
      <c r="L314" s="2" t="s">
        <v>727</v>
      </c>
      <c r="Q314" s="4" t="str">
        <f ca="1">IFERROR(__xludf.DUMMYFUNCTION("TRIM(SUBSTITUTE(SUBSTITUTE(D314, index(SPLIT(D314, "" ""), COLUMNS(SPLIT(D314, "" ""))), """"), index(SPLIT(D314, "" ""), COLUMNS(SPLIT(D314, "" ""))-1), """"))"),"Стриївська")</f>
        <v>Стриївська</v>
      </c>
    </row>
    <row r="315" spans="1:17" ht="38">
      <c r="A315" s="2"/>
      <c r="B315" s="2" t="s">
        <v>584</v>
      </c>
      <c r="C315" s="2" t="s">
        <v>706</v>
      </c>
      <c r="D315" s="2" t="s">
        <v>728</v>
      </c>
      <c r="E315" s="2"/>
      <c r="F315" s="2" t="s">
        <v>28</v>
      </c>
      <c r="G315" s="2">
        <v>27</v>
      </c>
      <c r="H315" s="2">
        <v>437.1</v>
      </c>
      <c r="I315" s="2">
        <v>6879</v>
      </c>
      <c r="J315" s="2" t="s">
        <v>33</v>
      </c>
      <c r="K315" s="2">
        <v>7</v>
      </c>
      <c r="L315" s="2" t="s">
        <v>729</v>
      </c>
      <c r="Q315" s="4" t="str">
        <f ca="1">IFERROR(__xludf.DUMMYFUNCTION("TRIM(SUBSTITUTE(SUBSTITUTE(D315, index(SPLIT(D315, "" ""), COLUMNS(SPLIT(D315, "" ""))), """"), index(SPLIT(D315, "" ""), COLUMNS(SPLIT(D315, "" ""))-1), """"))"),"Чижівська")</f>
        <v>Чижівська</v>
      </c>
    </row>
    <row r="316" spans="1:17" ht="38">
      <c r="A316" s="2"/>
      <c r="B316" s="2" t="s">
        <v>584</v>
      </c>
      <c r="C316" s="2" t="s">
        <v>706</v>
      </c>
      <c r="D316" s="2" t="s">
        <v>730</v>
      </c>
      <c r="E316" s="2"/>
      <c r="F316" s="2" t="s">
        <v>28</v>
      </c>
      <c r="G316" s="2">
        <v>14</v>
      </c>
      <c r="H316" s="2">
        <v>256.2</v>
      </c>
      <c r="I316" s="2">
        <v>7905</v>
      </c>
      <c r="J316" s="2" t="s">
        <v>731</v>
      </c>
      <c r="K316" s="2">
        <v>7</v>
      </c>
      <c r="L316" s="2" t="s">
        <v>732</v>
      </c>
      <c r="Q316" s="4" t="str">
        <f ca="1">IFERROR(__xludf.DUMMYFUNCTION("TRIM(SUBSTITUTE(SUBSTITUTE(D316, index(SPLIT(D316, "" ""), COLUMNS(SPLIT(D316, "" ""))), """"), index(SPLIT(D316, "" ""), COLUMNS(SPLIT(D316, "" ""))-1), """"))"),"Ярунська")</f>
        <v>Ярунська</v>
      </c>
    </row>
    <row r="317" spans="1:17" ht="38">
      <c r="A317" s="2"/>
      <c r="B317" s="2" t="s">
        <v>733</v>
      </c>
      <c r="C317" s="2" t="s">
        <v>734</v>
      </c>
      <c r="D317" s="2" t="s">
        <v>735</v>
      </c>
      <c r="E317" s="2"/>
      <c r="F317" s="2" t="s">
        <v>32</v>
      </c>
      <c r="G317" s="2">
        <v>9</v>
      </c>
      <c r="H317" s="2">
        <v>117</v>
      </c>
      <c r="I317" s="2">
        <v>12077</v>
      </c>
      <c r="J317" s="2" t="s">
        <v>736</v>
      </c>
      <c r="K317" s="2">
        <v>4</v>
      </c>
      <c r="L317" s="2" t="s">
        <v>737</v>
      </c>
      <c r="Q317" s="4" t="str">
        <f ca="1">IFERROR(__xludf.DUMMYFUNCTION("TRIM(SUBSTITUTE(SUBSTITUTE(D317, index(SPLIT(D317, "" ""), COLUMNS(SPLIT(D317, "" ""))), """"), index(SPLIT(D317, "" ""), COLUMNS(SPLIT(D317, "" ""))-1), """"))"),"Батівська")</f>
        <v>Батівська</v>
      </c>
    </row>
    <row r="318" spans="1:17" ht="63">
      <c r="A318" s="2"/>
      <c r="B318" s="2" t="s">
        <v>733</v>
      </c>
      <c r="C318" s="2" t="s">
        <v>734</v>
      </c>
      <c r="D318" s="2" t="s">
        <v>738</v>
      </c>
      <c r="E318" s="2"/>
      <c r="F318" s="2" t="s">
        <v>20</v>
      </c>
      <c r="G318" s="2">
        <v>18</v>
      </c>
      <c r="H318" s="2">
        <v>255.6</v>
      </c>
      <c r="I318" s="2">
        <v>44128</v>
      </c>
      <c r="J318" s="2" t="s">
        <v>739</v>
      </c>
      <c r="K318" s="2">
        <v>15</v>
      </c>
      <c r="L318" s="2" t="s">
        <v>740</v>
      </c>
      <c r="Q318" s="4" t="str">
        <f ca="1">IFERROR(__xludf.DUMMYFUNCTION("TRIM(SUBSTITUTE(SUBSTITUTE(D318, index(SPLIT(D318, "" ""), COLUMNS(SPLIT(D318, "" ""))), """"), index(SPLIT(D318, "" ""), COLUMNS(SPLIT(D318, "" ""))-1), """"))"),"Берегівська")</f>
        <v>Берегівська</v>
      </c>
    </row>
    <row r="319" spans="1:17" ht="50.5">
      <c r="A319" s="2"/>
      <c r="B319" s="2" t="s">
        <v>733</v>
      </c>
      <c r="C319" s="2" t="s">
        <v>734</v>
      </c>
      <c r="D319" s="2" t="s">
        <v>741</v>
      </c>
      <c r="E319" s="2"/>
      <c r="F319" s="2" t="s">
        <v>28</v>
      </c>
      <c r="G319" s="2">
        <v>5</v>
      </c>
      <c r="H319" s="2">
        <v>126.5</v>
      </c>
      <c r="I319" s="2">
        <v>6185</v>
      </c>
      <c r="J319" s="2" t="s">
        <v>742</v>
      </c>
      <c r="K319" s="2">
        <v>4</v>
      </c>
      <c r="L319" s="2" t="s">
        <v>743</v>
      </c>
      <c r="Q319" s="4" t="str">
        <f ca="1">IFERROR(__xludf.DUMMYFUNCTION("TRIM(SUBSTITUTE(SUBSTITUTE(D319, index(SPLIT(D319, "" ""), COLUMNS(SPLIT(D319, "" ""))), """"), index(SPLIT(D319, "" ""), COLUMNS(SPLIT(D319, "" ""))-1), """"))"),"Великоберезька")</f>
        <v>Великоберезька</v>
      </c>
    </row>
    <row r="320" spans="1:17" ht="50.5">
      <c r="A320" s="2"/>
      <c r="B320" s="2" t="s">
        <v>733</v>
      </c>
      <c r="C320" s="2" t="s">
        <v>734</v>
      </c>
      <c r="D320" s="2" t="s">
        <v>744</v>
      </c>
      <c r="E320" s="2"/>
      <c r="F320" s="2" t="s">
        <v>28</v>
      </c>
      <c r="G320" s="2">
        <v>7</v>
      </c>
      <c r="H320" s="2">
        <v>97.4</v>
      </c>
      <c r="I320" s="2">
        <v>7585</v>
      </c>
      <c r="J320" s="2" t="s">
        <v>745</v>
      </c>
      <c r="K320" s="2">
        <v>5</v>
      </c>
      <c r="L320" s="2" t="s">
        <v>746</v>
      </c>
      <c r="Q320" s="4" t="str">
        <f ca="1">IFERROR(__xludf.DUMMYFUNCTION("TRIM(SUBSTITUTE(SUBSTITUTE(D320, index(SPLIT(D320, "" ""), COLUMNS(SPLIT(D320, "" ""))), """"), index(SPLIT(D320, "" ""), COLUMNS(SPLIT(D320, "" ""))-1), """"))"),"Великобийганська")</f>
        <v>Великобийганська</v>
      </c>
    </row>
    <row r="321" spans="1:17" ht="38">
      <c r="A321" s="2"/>
      <c r="B321" s="2" t="s">
        <v>733</v>
      </c>
      <c r="C321" s="2" t="s">
        <v>734</v>
      </c>
      <c r="D321" s="2" t="s">
        <v>747</v>
      </c>
      <c r="E321" s="2"/>
      <c r="F321" s="2" t="s">
        <v>32</v>
      </c>
      <c r="G321" s="2">
        <v>11</v>
      </c>
      <c r="H321" s="2">
        <v>137.4</v>
      </c>
      <c r="I321" s="2">
        <v>14775</v>
      </c>
      <c r="J321" s="2" t="s">
        <v>748</v>
      </c>
      <c r="K321" s="2">
        <v>7</v>
      </c>
      <c r="L321" s="2" t="s">
        <v>749</v>
      </c>
      <c r="Q321" s="4" t="str">
        <f ca="1">IFERROR(__xludf.DUMMYFUNCTION("TRIM(SUBSTITUTE(SUBSTITUTE(D321, index(SPLIT(D321, "" ""), COLUMNS(SPLIT(D321, "" ""))), """"), index(SPLIT(D321, "" ""), COLUMNS(SPLIT(D321, "" ""))-1), """"))"),"Вилоцька")</f>
        <v>Вилоцька</v>
      </c>
    </row>
    <row r="322" spans="1:17" ht="63">
      <c r="A322" s="2"/>
      <c r="B322" s="2" t="s">
        <v>733</v>
      </c>
      <c r="C322" s="2" t="s">
        <v>734</v>
      </c>
      <c r="D322" s="2" t="s">
        <v>750</v>
      </c>
      <c r="E322" s="2"/>
      <c r="F322" s="2" t="s">
        <v>20</v>
      </c>
      <c r="G322" s="2">
        <v>14</v>
      </c>
      <c r="H322" s="2">
        <v>248.7</v>
      </c>
      <c r="I322" s="2">
        <v>63371</v>
      </c>
      <c r="J322" s="2" t="s">
        <v>751</v>
      </c>
      <c r="K322" s="2">
        <v>12</v>
      </c>
      <c r="L322" s="2" t="s">
        <v>752</v>
      </c>
      <c r="Q322" s="4" t="str">
        <f ca="1">IFERROR(__xludf.DUMMYFUNCTION("TRIM(SUBSTITUTE(SUBSTITUTE(D322, index(SPLIT(D322, "" ""), COLUMNS(SPLIT(D322, "" ""))), """"), index(SPLIT(D322, "" ""), COLUMNS(SPLIT(D322, "" ""))-1), """"))"),"Виноградівська")</f>
        <v>Виноградівська</v>
      </c>
    </row>
    <row r="323" spans="1:17" ht="38">
      <c r="A323" s="2"/>
      <c r="B323" s="2" t="s">
        <v>733</v>
      </c>
      <c r="C323" s="2" t="s">
        <v>734</v>
      </c>
      <c r="D323" s="2" t="s">
        <v>338</v>
      </c>
      <c r="E323" s="2"/>
      <c r="F323" s="2" t="s">
        <v>28</v>
      </c>
      <c r="G323" s="2">
        <v>8</v>
      </c>
      <c r="H323" s="2">
        <v>71.599999999999994</v>
      </c>
      <c r="I323" s="2">
        <v>9412</v>
      </c>
      <c r="J323" s="2" t="s">
        <v>163</v>
      </c>
      <c r="K323" s="2">
        <v>3</v>
      </c>
      <c r="L323" s="2" t="s">
        <v>753</v>
      </c>
      <c r="Q323" s="4" t="str">
        <f ca="1">IFERROR(__xludf.DUMMYFUNCTION("TRIM(SUBSTITUTE(SUBSTITUTE(D323, index(SPLIT(D323, "" ""), COLUMNS(SPLIT(D323, "" ""))), """"), index(SPLIT(D323, "" ""), COLUMNS(SPLIT(D323, "" ""))-1), """"))"),"Кам'янська")</f>
        <v>Кам'янська</v>
      </c>
    </row>
    <row r="324" spans="1:17" ht="38">
      <c r="A324" s="2"/>
      <c r="B324" s="2" t="s">
        <v>733</v>
      </c>
      <c r="C324" s="2" t="s">
        <v>734</v>
      </c>
      <c r="D324" s="2" t="s">
        <v>754</v>
      </c>
      <c r="E324" s="2"/>
      <c r="F324" s="2" t="s">
        <v>32</v>
      </c>
      <c r="G324" s="2">
        <v>9</v>
      </c>
      <c r="H324" s="2">
        <v>116.3</v>
      </c>
      <c r="I324" s="2">
        <v>22839</v>
      </c>
      <c r="J324" s="2" t="s">
        <v>755</v>
      </c>
      <c r="K324" s="2">
        <v>7</v>
      </c>
      <c r="L324" s="2" t="s">
        <v>756</v>
      </c>
      <c r="Q324" s="4" t="str">
        <f ca="1">IFERROR(__xludf.DUMMYFUNCTION("TRIM(SUBSTITUTE(SUBSTITUTE(D324, index(SPLIT(D324, "" ""), COLUMNS(SPLIT(D324, "" ""))), """"), index(SPLIT(D324, "" ""), COLUMNS(SPLIT(D324, "" ""))-1), """"))"),"Королівська")</f>
        <v>Королівська</v>
      </c>
    </row>
    <row r="325" spans="1:17" ht="38">
      <c r="A325" s="2"/>
      <c r="B325" s="2" t="s">
        <v>733</v>
      </c>
      <c r="C325" s="2" t="s">
        <v>734</v>
      </c>
      <c r="D325" s="2" t="s">
        <v>757</v>
      </c>
      <c r="E325" s="2"/>
      <c r="F325" s="2" t="s">
        <v>28</v>
      </c>
      <c r="G325" s="2">
        <v>8</v>
      </c>
      <c r="H325" s="2">
        <v>97.1</v>
      </c>
      <c r="I325" s="2">
        <v>7711</v>
      </c>
      <c r="J325" s="2" t="s">
        <v>163</v>
      </c>
      <c r="K325" s="2">
        <v>5</v>
      </c>
      <c r="L325" s="2" t="s">
        <v>758</v>
      </c>
      <c r="Q325" s="4" t="str">
        <f ca="1">IFERROR(__xludf.DUMMYFUNCTION("TRIM(SUBSTITUTE(SUBSTITUTE(D325, index(SPLIT(D325, "" ""), COLUMNS(SPLIT(D325, "" ""))), """"), index(SPLIT(D325, "" ""), COLUMNS(SPLIT(D325, "" ""))-1), """"))"),"Косоньська")</f>
        <v>Косоньська</v>
      </c>
    </row>
    <row r="326" spans="1:17" ht="50.5">
      <c r="A326" s="2"/>
      <c r="B326" s="2" t="s">
        <v>733</v>
      </c>
      <c r="C326" s="2" t="s">
        <v>734</v>
      </c>
      <c r="D326" s="2" t="s">
        <v>759</v>
      </c>
      <c r="E326" s="2"/>
      <c r="F326" s="2" t="s">
        <v>28</v>
      </c>
      <c r="G326" s="2">
        <v>16</v>
      </c>
      <c r="H326" s="2">
        <v>192.6</v>
      </c>
      <c r="I326" s="2">
        <v>19636</v>
      </c>
      <c r="J326" s="2" t="s">
        <v>760</v>
      </c>
      <c r="K326" s="2">
        <v>6</v>
      </c>
      <c r="L326" s="2" t="s">
        <v>761</v>
      </c>
      <c r="Q326" s="4" t="str">
        <f ca="1">IFERROR(__xludf.DUMMYFUNCTION("TRIM(SUBSTITUTE(SUBSTITUTE(D326, index(SPLIT(D326, "" ""), COLUMNS(SPLIT(D326, "" ""))), """"), index(SPLIT(D326, "" ""), COLUMNS(SPLIT(D326, "" ""))-1), """"))"),"Пийтерфолвівська")</f>
        <v>Пийтерфолвівська</v>
      </c>
    </row>
    <row r="327" spans="1:17" ht="38">
      <c r="A327" s="2"/>
      <c r="B327" s="2" t="s">
        <v>733</v>
      </c>
      <c r="C327" s="2" t="s">
        <v>762</v>
      </c>
      <c r="D327" s="2" t="s">
        <v>763</v>
      </c>
      <c r="E327" s="2"/>
      <c r="F327" s="2" t="s">
        <v>28</v>
      </c>
      <c r="G327" s="2">
        <v>13</v>
      </c>
      <c r="H327" s="2">
        <v>95.2</v>
      </c>
      <c r="I327" s="2">
        <v>9282</v>
      </c>
      <c r="J327" s="2" t="s">
        <v>764</v>
      </c>
      <c r="K327" s="2">
        <v>5</v>
      </c>
      <c r="L327" s="2" t="s">
        <v>765</v>
      </c>
      <c r="Q327" s="4" t="str">
        <f ca="1">IFERROR(__xludf.DUMMYFUNCTION("TRIM(SUBSTITUTE(SUBSTITUTE(D327, index(SPLIT(D327, "" ""), COLUMNS(SPLIT(D327, "" ""))), """"), index(SPLIT(D327, "" ""), COLUMNS(SPLIT(D327, "" ""))-1), """"))"),"Івановецька")</f>
        <v>Івановецька</v>
      </c>
    </row>
    <row r="328" spans="1:17" ht="50.5">
      <c r="A328" s="2"/>
      <c r="B328" s="2" t="s">
        <v>733</v>
      </c>
      <c r="C328" s="2" t="s">
        <v>762</v>
      </c>
      <c r="D328" s="2" t="s">
        <v>766</v>
      </c>
      <c r="E328" s="2"/>
      <c r="F328" s="2" t="s">
        <v>28</v>
      </c>
      <c r="G328" s="2">
        <v>17</v>
      </c>
      <c r="H328" s="2">
        <v>178.5</v>
      </c>
      <c r="I328" s="2">
        <v>21689</v>
      </c>
      <c r="J328" s="2" t="s">
        <v>767</v>
      </c>
      <c r="K328" s="2">
        <v>4</v>
      </c>
      <c r="L328" s="2" t="s">
        <v>768</v>
      </c>
      <c r="Q328" s="4" t="str">
        <f ca="1">IFERROR(__xludf.DUMMYFUNCTION("TRIM(SUBSTITUTE(SUBSTITUTE(D328, index(SPLIT(D328, "" ""), COLUMNS(SPLIT(D328, "" ""))), """"), index(SPLIT(D328, "" ""), COLUMNS(SPLIT(D328, "" ""))-1), """"))"),"Великолучківська")</f>
        <v>Великолучківська</v>
      </c>
    </row>
    <row r="329" spans="1:17" ht="50.5">
      <c r="A329" s="2"/>
      <c r="B329" s="2" t="s">
        <v>733</v>
      </c>
      <c r="C329" s="2" t="s">
        <v>762</v>
      </c>
      <c r="D329" s="2" t="s">
        <v>769</v>
      </c>
      <c r="E329" s="2"/>
      <c r="F329" s="2" t="s">
        <v>28</v>
      </c>
      <c r="G329" s="2">
        <v>12</v>
      </c>
      <c r="H329" s="2">
        <v>82.3</v>
      </c>
      <c r="I329" s="2">
        <v>7251</v>
      </c>
      <c r="J329" s="2" t="s">
        <v>770</v>
      </c>
      <c r="K329" s="2">
        <v>5</v>
      </c>
      <c r="L329" s="2" t="s">
        <v>771</v>
      </c>
      <c r="Q329" s="4" t="str">
        <f ca="1">IFERROR(__xludf.DUMMYFUNCTION("TRIM(SUBSTITUTE(SUBSTITUTE(D329, index(SPLIT(D329, "" ""), COLUMNS(SPLIT(D329, "" ""))), """"), index(SPLIT(D329, "" ""), COLUMNS(SPLIT(D329, "" ""))-1), """"))"),"Верхньокоропецька")</f>
        <v>Верхньокоропецька</v>
      </c>
    </row>
    <row r="330" spans="1:17" ht="38">
      <c r="A330" s="2"/>
      <c r="B330" s="2" t="s">
        <v>733</v>
      </c>
      <c r="C330" s="2" t="s">
        <v>762</v>
      </c>
      <c r="D330" s="2" t="s">
        <v>772</v>
      </c>
      <c r="E330" s="2"/>
      <c r="F330" s="2" t="s">
        <v>32</v>
      </c>
      <c r="G330" s="2">
        <v>4</v>
      </c>
      <c r="H330" s="2">
        <v>181.7</v>
      </c>
      <c r="I330" s="2">
        <v>8885</v>
      </c>
      <c r="J330" s="2" t="s">
        <v>773</v>
      </c>
      <c r="K330" s="2">
        <v>3</v>
      </c>
      <c r="L330" s="2" t="s">
        <v>774</v>
      </c>
      <c r="Q330" s="4" t="str">
        <f ca="1">IFERROR(__xludf.DUMMYFUNCTION("TRIM(SUBSTITUTE(SUBSTITUTE(D330, index(SPLIT(D330, "" ""), COLUMNS(SPLIT(D330, "" ""))), """"), index(SPLIT(D330, "" ""), COLUMNS(SPLIT(D330, "" ""))-1), """"))"),"Воловецька")</f>
        <v>Воловецька</v>
      </c>
    </row>
    <row r="331" spans="1:17" ht="38">
      <c r="A331" s="2"/>
      <c r="B331" s="2" t="s">
        <v>733</v>
      </c>
      <c r="C331" s="2" t="s">
        <v>762</v>
      </c>
      <c r="D331" s="2" t="s">
        <v>775</v>
      </c>
      <c r="E331" s="2"/>
      <c r="F331" s="2" t="s">
        <v>28</v>
      </c>
      <c r="G331" s="2">
        <v>3</v>
      </c>
      <c r="H331" s="2">
        <v>77.2</v>
      </c>
      <c r="I331" s="2">
        <v>9306</v>
      </c>
      <c r="J331" s="2" t="s">
        <v>163</v>
      </c>
      <c r="K331" s="2">
        <v>3</v>
      </c>
      <c r="L331" s="2" t="s">
        <v>776</v>
      </c>
      <c r="Q331" s="4" t="str">
        <f ca="1">IFERROR(__xludf.DUMMYFUNCTION("TRIM(SUBSTITUTE(SUBSTITUTE(D331, index(SPLIT(D331, "" ""), COLUMNS(SPLIT(D331, "" ""))), """"), index(SPLIT(D331, "" ""), COLUMNS(SPLIT(D331, "" ""))-1), """"))"),"Горондівська")</f>
        <v>Горондівська</v>
      </c>
    </row>
    <row r="332" spans="1:17" ht="38">
      <c r="A332" s="2"/>
      <c r="B332" s="2" t="s">
        <v>733</v>
      </c>
      <c r="C332" s="2" t="s">
        <v>762</v>
      </c>
      <c r="D332" s="2" t="s">
        <v>777</v>
      </c>
      <c r="E332" s="2"/>
      <c r="F332" s="2" t="s">
        <v>32</v>
      </c>
      <c r="G332" s="2">
        <v>11</v>
      </c>
      <c r="H332" s="2">
        <v>204.8</v>
      </c>
      <c r="I332" s="2">
        <v>4699</v>
      </c>
      <c r="J332" s="2" t="s">
        <v>778</v>
      </c>
      <c r="K332" s="2">
        <v>5</v>
      </c>
      <c r="L332" s="2" t="s">
        <v>779</v>
      </c>
      <c r="Q332" s="4" t="str">
        <f ca="1">IFERROR(__xludf.DUMMYFUNCTION("TRIM(SUBSTITUTE(SUBSTITUTE(D332, index(SPLIT(D332, "" ""), COLUMNS(SPLIT(D332, "" ""))), """"), index(SPLIT(D332, "" ""), COLUMNS(SPLIT(D332, "" ""))-1), """"))"),"Жденіївська")</f>
        <v>Жденіївська</v>
      </c>
    </row>
    <row r="333" spans="1:17" ht="38">
      <c r="A333" s="2"/>
      <c r="B333" s="2" t="s">
        <v>733</v>
      </c>
      <c r="C333" s="2" t="s">
        <v>762</v>
      </c>
      <c r="D333" s="2" t="s">
        <v>780</v>
      </c>
      <c r="E333" s="2"/>
      <c r="F333" s="2" t="s">
        <v>32</v>
      </c>
      <c r="G333" s="2">
        <v>12</v>
      </c>
      <c r="H333" s="2">
        <v>137.80000000000001</v>
      </c>
      <c r="I333" s="2">
        <v>9617</v>
      </c>
      <c r="J333" s="2" t="s">
        <v>781</v>
      </c>
      <c r="K333" s="2">
        <v>3</v>
      </c>
      <c r="L333" s="2" t="s">
        <v>782</v>
      </c>
      <c r="Q333" s="4" t="str">
        <f ca="1">IFERROR(__xludf.DUMMYFUNCTION("TRIM(SUBSTITUTE(SUBSTITUTE(D333, index(SPLIT(D333, "" ""), COLUMNS(SPLIT(D333, "" ""))), """"), index(SPLIT(D333, "" ""), COLUMNS(SPLIT(D333, "" ""))-1), """"))"),"Кольчинська")</f>
        <v>Кольчинська</v>
      </c>
    </row>
    <row r="334" spans="1:17" ht="75.5">
      <c r="A334" s="2"/>
      <c r="B334" s="2" t="s">
        <v>733</v>
      </c>
      <c r="C334" s="2" t="s">
        <v>762</v>
      </c>
      <c r="D334" s="2" t="s">
        <v>783</v>
      </c>
      <c r="E334" s="2"/>
      <c r="F334" s="2" t="s">
        <v>20</v>
      </c>
      <c r="G334" s="2">
        <v>18</v>
      </c>
      <c r="H334" s="2">
        <v>266.89999999999998</v>
      </c>
      <c r="I334" s="2">
        <v>110483</v>
      </c>
      <c r="J334" s="2" t="s">
        <v>784</v>
      </c>
      <c r="K334" s="2">
        <v>15</v>
      </c>
      <c r="L334" s="2" t="s">
        <v>785</v>
      </c>
      <c r="Q334" s="4" t="str">
        <f ca="1">IFERROR(__xludf.DUMMYFUNCTION("TRIM(SUBSTITUTE(SUBSTITUTE(D334, index(SPLIT(D334, "" ""), COLUMNS(SPLIT(D334, "" ""))), """"), index(SPLIT(D334, "" ""), COLUMNS(SPLIT(D334, "" ""))-1), """"))"),"Мукачівська")</f>
        <v>Мукачівська</v>
      </c>
    </row>
    <row r="335" spans="1:17" ht="38">
      <c r="A335" s="2"/>
      <c r="B335" s="2" t="s">
        <v>733</v>
      </c>
      <c r="C335" s="2" t="s">
        <v>762</v>
      </c>
      <c r="D335" s="2" t="s">
        <v>786</v>
      </c>
      <c r="E335" s="2"/>
      <c r="F335" s="2" t="s">
        <v>28</v>
      </c>
      <c r="G335" s="2">
        <v>4</v>
      </c>
      <c r="H335" s="2">
        <v>127</v>
      </c>
      <c r="I335" s="2">
        <v>5279</v>
      </c>
      <c r="J335" s="2" t="s">
        <v>787</v>
      </c>
      <c r="K335" s="2">
        <v>2</v>
      </c>
      <c r="L335" s="2" t="s">
        <v>788</v>
      </c>
      <c r="Q335" s="4" t="str">
        <f ca="1">IFERROR(__xludf.DUMMYFUNCTION("TRIM(SUBSTITUTE(SUBSTITUTE(D335, index(SPLIT(D335, "" ""), COLUMNS(SPLIT(D335, "" ""))), """"), index(SPLIT(D335, "" ""), COLUMNS(SPLIT(D335, "" ""))-1), """"))"),"Неліпинська")</f>
        <v>Неліпинська</v>
      </c>
    </row>
    <row r="336" spans="1:17" ht="50.5">
      <c r="A336" s="2"/>
      <c r="B336" s="2" t="s">
        <v>733</v>
      </c>
      <c r="C336" s="2" t="s">
        <v>762</v>
      </c>
      <c r="D336" s="2" t="s">
        <v>789</v>
      </c>
      <c r="E336" s="2"/>
      <c r="F336" s="2" t="s">
        <v>28</v>
      </c>
      <c r="G336" s="2">
        <v>11</v>
      </c>
      <c r="H336" s="2">
        <v>156.5</v>
      </c>
      <c r="I336" s="2">
        <v>9917</v>
      </c>
      <c r="J336" s="2" t="s">
        <v>790</v>
      </c>
      <c r="K336" s="2">
        <v>7</v>
      </c>
      <c r="L336" s="2" t="s">
        <v>791</v>
      </c>
      <c r="Q336" s="4" t="str">
        <f ca="1">IFERROR(__xludf.DUMMYFUNCTION("TRIM(SUBSTITUTE(SUBSTITUTE(D336, index(SPLIT(D336, "" ""), COLUMNS(SPLIT(D336, "" ""))), """"), index(SPLIT(D336, "" ""), COLUMNS(SPLIT(D336, "" ""))-1), """"))"),"Нижньоворітська")</f>
        <v>Нижньоворітська</v>
      </c>
    </row>
    <row r="337" spans="1:17" ht="38">
      <c r="A337" s="2"/>
      <c r="B337" s="2" t="s">
        <v>733</v>
      </c>
      <c r="C337" s="2" t="s">
        <v>762</v>
      </c>
      <c r="D337" s="2" t="s">
        <v>792</v>
      </c>
      <c r="E337" s="2"/>
      <c r="F337" s="2" t="s">
        <v>28</v>
      </c>
      <c r="G337" s="2">
        <v>13</v>
      </c>
      <c r="H337" s="2">
        <v>232.1</v>
      </c>
      <c r="I337" s="2">
        <v>13792</v>
      </c>
      <c r="J337" s="2" t="s">
        <v>33</v>
      </c>
      <c r="K337" s="2">
        <v>6</v>
      </c>
      <c r="L337" s="2" t="s">
        <v>793</v>
      </c>
      <c r="Q337" s="4" t="str">
        <f ca="1">IFERROR(__xludf.DUMMYFUNCTION("TRIM(SUBSTITUTE(SUBSTITUTE(D337, index(SPLIT(D337, "" ""), COLUMNS(SPLIT(D337, "" ""))), """"), index(SPLIT(D337, "" ""), COLUMNS(SPLIT(D337, "" ""))-1), """"))"),"Полянська")</f>
        <v>Полянська</v>
      </c>
    </row>
    <row r="338" spans="1:17" ht="38">
      <c r="A338" s="2"/>
      <c r="B338" s="2" t="s">
        <v>733</v>
      </c>
      <c r="C338" s="2" t="s">
        <v>762</v>
      </c>
      <c r="D338" s="2" t="s">
        <v>794</v>
      </c>
      <c r="E338" s="2"/>
      <c r="F338" s="2" t="s">
        <v>20</v>
      </c>
      <c r="G338" s="2">
        <v>10</v>
      </c>
      <c r="H338" s="2">
        <v>147.19999999999999</v>
      </c>
      <c r="I338" s="2">
        <v>27577</v>
      </c>
      <c r="J338" s="2" t="s">
        <v>795</v>
      </c>
      <c r="K338" s="2">
        <v>4</v>
      </c>
      <c r="L338" s="2" t="s">
        <v>796</v>
      </c>
      <c r="Q338" s="4" t="str">
        <f ca="1">IFERROR(__xludf.DUMMYFUNCTION("TRIM(SUBSTITUTE(SUBSTITUTE(D338, index(SPLIT(D338, "" ""), COLUMNS(SPLIT(D338, "" ""))), """"), index(SPLIT(D338, "" ""), COLUMNS(SPLIT(D338, "" ""))-1), """"))"),"Свалявська")</f>
        <v>Свалявська</v>
      </c>
    </row>
    <row r="339" spans="1:17" ht="38">
      <c r="A339" s="2"/>
      <c r="B339" s="2" t="s">
        <v>733</v>
      </c>
      <c r="C339" s="2" t="s">
        <v>762</v>
      </c>
      <c r="D339" s="2" t="s">
        <v>797</v>
      </c>
      <c r="E339" s="2"/>
      <c r="F339" s="2" t="s">
        <v>32</v>
      </c>
      <c r="G339" s="2">
        <v>14</v>
      </c>
      <c r="H339" s="2">
        <v>169.3</v>
      </c>
      <c r="I339" s="2">
        <v>14839</v>
      </c>
      <c r="J339" s="2" t="s">
        <v>798</v>
      </c>
      <c r="K339" s="2">
        <v>5</v>
      </c>
      <c r="L339" s="2" t="s">
        <v>799</v>
      </c>
      <c r="Q339" s="4" t="str">
        <f ca="1">IFERROR(__xludf.DUMMYFUNCTION("TRIM(SUBSTITUTE(SUBSTITUTE(D339, index(SPLIT(D339, "" ""), COLUMNS(SPLIT(D339, "" ""))), """"), index(SPLIT(D339, "" ""), COLUMNS(SPLIT(D339, "" ""))-1), """"))"),"Чинадіївська")</f>
        <v>Чинадіївська</v>
      </c>
    </row>
    <row r="340" spans="1:17" ht="38">
      <c r="A340" s="2"/>
      <c r="B340" s="2" t="s">
        <v>733</v>
      </c>
      <c r="C340" s="2" t="s">
        <v>800</v>
      </c>
      <c r="D340" s="2" t="s">
        <v>801</v>
      </c>
      <c r="E340" s="2"/>
      <c r="F340" s="2" t="s">
        <v>28</v>
      </c>
      <c r="G340" s="2">
        <v>6</v>
      </c>
      <c r="H340" s="2">
        <v>488</v>
      </c>
      <c r="I340" s="2">
        <v>10558</v>
      </c>
      <c r="J340" s="2" t="s">
        <v>802</v>
      </c>
      <c r="K340" s="2">
        <v>4</v>
      </c>
      <c r="L340" s="2" t="s">
        <v>803</v>
      </c>
      <c r="Q340" s="4" t="str">
        <f ca="1">IFERROR(__xludf.DUMMYFUNCTION("TRIM(SUBSTITUTE(SUBSTITUTE(D340, index(SPLIT(D340, "" ""), COLUMNS(SPLIT(D340, "" ""))), """"), index(SPLIT(D340, "" ""), COLUMNS(SPLIT(D340, "" ""))-1), """"))"),"Богданська")</f>
        <v>Богданська</v>
      </c>
    </row>
    <row r="341" spans="1:17" ht="50.5">
      <c r="A341" s="2"/>
      <c r="B341" s="2" t="s">
        <v>733</v>
      </c>
      <c r="C341" s="2" t="s">
        <v>800</v>
      </c>
      <c r="D341" s="2" t="s">
        <v>804</v>
      </c>
      <c r="E341" s="2"/>
      <c r="F341" s="2" t="s">
        <v>32</v>
      </c>
      <c r="G341" s="2">
        <v>9</v>
      </c>
      <c r="H341" s="2">
        <v>574.6</v>
      </c>
      <c r="I341" s="2">
        <v>29526</v>
      </c>
      <c r="J341" s="2" t="s">
        <v>805</v>
      </c>
      <c r="K341" s="2">
        <v>7</v>
      </c>
      <c r="L341" s="2" t="s">
        <v>806</v>
      </c>
      <c r="Q341" s="4" t="str">
        <f ca="1">IFERROR(__xludf.DUMMYFUNCTION("TRIM(SUBSTITUTE(SUBSTITUTE(D341, index(SPLIT(D341, "" ""), COLUMNS(SPLIT(D341, "" ""))), """"), index(SPLIT(D341, "" ""), COLUMNS(SPLIT(D341, "" ""))-1), """"))"),"Великобичківська")</f>
        <v>Великобичківська</v>
      </c>
    </row>
    <row r="342" spans="1:17" ht="38">
      <c r="A342" s="2"/>
      <c r="B342" s="2" t="s">
        <v>733</v>
      </c>
      <c r="C342" s="2" t="s">
        <v>800</v>
      </c>
      <c r="D342" s="2" t="s">
        <v>807</v>
      </c>
      <c r="E342" s="2"/>
      <c r="F342" s="2" t="s">
        <v>20</v>
      </c>
      <c r="G342" s="2">
        <v>4</v>
      </c>
      <c r="H342" s="2">
        <v>252.5</v>
      </c>
      <c r="I342" s="2">
        <v>23601</v>
      </c>
      <c r="J342" s="2" t="s">
        <v>808</v>
      </c>
      <c r="K342" s="2">
        <v>4</v>
      </c>
      <c r="L342" s="2" t="s">
        <v>809</v>
      </c>
      <c r="Q342" s="4" t="str">
        <f ca="1">IFERROR(__xludf.DUMMYFUNCTION("TRIM(SUBSTITUTE(SUBSTITUTE(D342, index(SPLIT(D342, "" ""), COLUMNS(SPLIT(D342, "" ""))), """"), index(SPLIT(D342, "" ""), COLUMNS(SPLIT(D342, "" ""))-1), """"))"),"Рахівська")</f>
        <v>Рахівська</v>
      </c>
    </row>
    <row r="343" spans="1:17" ht="38">
      <c r="A343" s="2"/>
      <c r="B343" s="2" t="s">
        <v>733</v>
      </c>
      <c r="C343" s="2" t="s">
        <v>800</v>
      </c>
      <c r="D343" s="2" t="s">
        <v>810</v>
      </c>
      <c r="E343" s="2"/>
      <c r="F343" s="2" t="s">
        <v>32</v>
      </c>
      <c r="G343" s="2">
        <v>7</v>
      </c>
      <c r="H343" s="2">
        <v>528.6</v>
      </c>
      <c r="I343" s="2">
        <v>18712</v>
      </c>
      <c r="J343" s="2" t="s">
        <v>811</v>
      </c>
      <c r="K343" s="2">
        <v>4</v>
      </c>
      <c r="L343" s="2" t="s">
        <v>812</v>
      </c>
      <c r="Q343" s="4" t="str">
        <f ca="1">IFERROR(__xludf.DUMMYFUNCTION("TRIM(SUBSTITUTE(SUBSTITUTE(D343, index(SPLIT(D343, "" ""), COLUMNS(SPLIT(D343, "" ""))), """"), index(SPLIT(D343, "" ""), COLUMNS(SPLIT(D343, "" ""))-1), """"))"),"Ясінянська")</f>
        <v>Ясінянська</v>
      </c>
    </row>
    <row r="344" spans="1:17" ht="50.5">
      <c r="A344" s="2"/>
      <c r="B344" s="2" t="s">
        <v>733</v>
      </c>
      <c r="C344" s="2" t="s">
        <v>813</v>
      </c>
      <c r="D344" s="2" t="s">
        <v>814</v>
      </c>
      <c r="E344" s="2"/>
      <c r="F344" s="2" t="s">
        <v>28</v>
      </c>
      <c r="G344" s="2">
        <v>5</v>
      </c>
      <c r="H344" s="2">
        <v>30.6</v>
      </c>
      <c r="I344" s="2">
        <v>6538</v>
      </c>
      <c r="J344" s="2" t="s">
        <v>815</v>
      </c>
      <c r="K344" s="2">
        <v>2</v>
      </c>
      <c r="L344" s="2" t="s">
        <v>816</v>
      </c>
      <c r="Q344" s="4" t="str">
        <f ca="1">IFERROR(__xludf.DUMMYFUNCTION("TRIM(SUBSTITUTE(SUBSTITUTE(D344, index(SPLIT(D344, "" ""), COLUMNS(SPLIT(D344, "" ""))), """"), index(SPLIT(D344, "" ""), COLUMNS(SPLIT(D344, "" ""))-1), """"))"),"Бедевлянська")</f>
        <v>Бедевлянська</v>
      </c>
    </row>
    <row r="345" spans="1:17" ht="38">
      <c r="A345" s="2"/>
      <c r="B345" s="2" t="s">
        <v>733</v>
      </c>
      <c r="C345" s="2" t="s">
        <v>813</v>
      </c>
      <c r="D345" s="2" t="s">
        <v>817</v>
      </c>
      <c r="E345" s="2"/>
      <c r="F345" s="2" t="s">
        <v>32</v>
      </c>
      <c r="G345" s="2">
        <v>9</v>
      </c>
      <c r="H345" s="2">
        <v>142.69999999999999</v>
      </c>
      <c r="I345" s="2">
        <v>25813</v>
      </c>
      <c r="J345" s="2" t="s">
        <v>818</v>
      </c>
      <c r="K345" s="2">
        <v>7</v>
      </c>
      <c r="L345" s="2" t="s">
        <v>819</v>
      </c>
      <c r="Q345" s="4" t="str">
        <f ca="1">IFERROR(__xludf.DUMMYFUNCTION("TRIM(SUBSTITUTE(SUBSTITUTE(D345, index(SPLIT(D345, "" ""), COLUMNS(SPLIT(D345, "" ""))), """"), index(SPLIT(D345, "" ""), COLUMNS(SPLIT(D345, "" ""))-1), """"))"),"Буштинська")</f>
        <v>Буштинська</v>
      </c>
    </row>
    <row r="346" spans="1:17" ht="38">
      <c r="A346" s="2"/>
      <c r="B346" s="2" t="s">
        <v>733</v>
      </c>
      <c r="C346" s="2" t="s">
        <v>813</v>
      </c>
      <c r="D346" s="2" t="s">
        <v>820</v>
      </c>
      <c r="E346" s="2"/>
      <c r="F346" s="2" t="s">
        <v>28</v>
      </c>
      <c r="G346" s="2">
        <v>6</v>
      </c>
      <c r="H346" s="2">
        <v>74.2</v>
      </c>
      <c r="I346" s="2">
        <v>12428</v>
      </c>
      <c r="J346" s="2" t="s">
        <v>143</v>
      </c>
      <c r="K346" s="2">
        <v>3</v>
      </c>
      <c r="L346" s="2" t="s">
        <v>821</v>
      </c>
      <c r="Q346" s="4" t="str">
        <f ca="1">IFERROR(__xludf.DUMMYFUNCTION("TRIM(SUBSTITUTE(SUBSTITUTE(D346, index(SPLIT(D346, "" ""), COLUMNS(SPLIT(D346, "" ""))), """"), index(SPLIT(D346, "" ""), COLUMNS(SPLIT(D346, "" ""))-1), """"))"),"Вільховецька")</f>
        <v>Вільховецька</v>
      </c>
    </row>
    <row r="347" spans="1:17" ht="38">
      <c r="A347" s="2"/>
      <c r="B347" s="2" t="s">
        <v>733</v>
      </c>
      <c r="C347" s="2" t="s">
        <v>813</v>
      </c>
      <c r="D347" s="2" t="s">
        <v>220</v>
      </c>
      <c r="E347" s="2"/>
      <c r="F347" s="2" t="s">
        <v>32</v>
      </c>
      <c r="G347" s="2">
        <v>5</v>
      </c>
      <c r="H347" s="2">
        <v>196.3</v>
      </c>
      <c r="I347" s="2">
        <v>20371</v>
      </c>
      <c r="J347" s="2" t="s">
        <v>822</v>
      </c>
      <c r="K347" s="2">
        <v>3</v>
      </c>
      <c r="L347" s="2" t="s">
        <v>823</v>
      </c>
      <c r="Q347" s="4" t="str">
        <f ca="1">IFERROR(__xludf.DUMMYFUNCTION("TRIM(SUBSTITUTE(SUBSTITUTE(D347, index(SPLIT(D347, "" ""), COLUMNS(SPLIT(D347, "" ""))), """"), index(SPLIT(D347, "" ""), COLUMNS(SPLIT(D347, "" ""))-1), """"))"),"Дубівська")</f>
        <v>Дубівська</v>
      </c>
    </row>
    <row r="348" spans="1:17" ht="38">
      <c r="A348" s="2"/>
      <c r="B348" s="2" t="s">
        <v>733</v>
      </c>
      <c r="C348" s="2" t="s">
        <v>813</v>
      </c>
      <c r="D348" s="2" t="s">
        <v>824</v>
      </c>
      <c r="E348" s="2"/>
      <c r="F348" s="2" t="s">
        <v>28</v>
      </c>
      <c r="G348" s="2">
        <v>12</v>
      </c>
      <c r="H348" s="2">
        <v>333.9</v>
      </c>
      <c r="I348" s="2">
        <v>30550</v>
      </c>
      <c r="J348" s="2" t="s">
        <v>825</v>
      </c>
      <c r="K348" s="2">
        <v>6</v>
      </c>
      <c r="L348" s="2" t="s">
        <v>826</v>
      </c>
      <c r="Q348" s="4" t="str">
        <f ca="1">IFERROR(__xludf.DUMMYFUNCTION("TRIM(SUBSTITUTE(SUBSTITUTE(D348, index(SPLIT(D348, "" ""), COLUMNS(SPLIT(D348, "" ""))), """"), index(SPLIT(D348, "" ""), COLUMNS(SPLIT(D348, "" ""))-1), """"))"),"Нересницька")</f>
        <v>Нересницька</v>
      </c>
    </row>
    <row r="349" spans="1:17" ht="50.5">
      <c r="A349" s="2"/>
      <c r="B349" s="2" t="s">
        <v>733</v>
      </c>
      <c r="C349" s="2" t="s">
        <v>813</v>
      </c>
      <c r="D349" s="2" t="s">
        <v>827</v>
      </c>
      <c r="E349" s="2"/>
      <c r="F349" s="2" t="s">
        <v>32</v>
      </c>
      <c r="G349" s="2">
        <v>9</v>
      </c>
      <c r="H349" s="2">
        <v>164.4</v>
      </c>
      <c r="I349" s="2">
        <v>35139</v>
      </c>
      <c r="J349" s="2" t="s">
        <v>828</v>
      </c>
      <c r="K349" s="2">
        <v>6</v>
      </c>
      <c r="L349" s="2" t="s">
        <v>829</v>
      </c>
      <c r="Q349" s="4" t="str">
        <f ca="1">IFERROR(__xludf.DUMMYFUNCTION("TRIM(SUBSTITUTE(SUBSTITUTE(D349, index(SPLIT(D349, "" ""), COLUMNS(SPLIT(D349, "" ""))), """"), index(SPLIT(D349, "" ""), COLUMNS(SPLIT(D349, "" ""))-1), """"))"),"Солотвинська")</f>
        <v>Солотвинська</v>
      </c>
    </row>
    <row r="350" spans="1:17" ht="50.5">
      <c r="A350" s="2"/>
      <c r="B350" s="2" t="s">
        <v>733</v>
      </c>
      <c r="C350" s="2" t="s">
        <v>813</v>
      </c>
      <c r="D350" s="2" t="s">
        <v>830</v>
      </c>
      <c r="E350" s="2"/>
      <c r="F350" s="2" t="s">
        <v>32</v>
      </c>
      <c r="G350" s="2">
        <v>3</v>
      </c>
      <c r="H350" s="2">
        <v>47</v>
      </c>
      <c r="I350" s="2">
        <v>16675</v>
      </c>
      <c r="J350" s="2" t="s">
        <v>831</v>
      </c>
      <c r="K350" s="2">
        <v>3</v>
      </c>
      <c r="L350" s="2" t="s">
        <v>832</v>
      </c>
      <c r="Q350" s="4" t="str">
        <f ca="1">IFERROR(__xludf.DUMMYFUNCTION("TRIM(SUBSTITUTE(SUBSTITUTE(D350, index(SPLIT(D350, "" ""), COLUMNS(SPLIT(D350, "" ""))), """"), index(SPLIT(D350, "" ""), COLUMNS(SPLIT(D350, "" ""))-1), """"))"),"Тересвянська")</f>
        <v>Тересвянська</v>
      </c>
    </row>
    <row r="351" spans="1:17" ht="38">
      <c r="A351" s="2"/>
      <c r="B351" s="2" t="s">
        <v>733</v>
      </c>
      <c r="C351" s="2" t="s">
        <v>813</v>
      </c>
      <c r="D351" s="2" t="s">
        <v>833</v>
      </c>
      <c r="E351" s="2"/>
      <c r="F351" s="2" t="s">
        <v>20</v>
      </c>
      <c r="G351" s="2">
        <v>5</v>
      </c>
      <c r="H351" s="2">
        <v>97.8</v>
      </c>
      <c r="I351" s="2">
        <v>19463</v>
      </c>
      <c r="J351" s="2" t="s">
        <v>143</v>
      </c>
      <c r="K351" s="2">
        <v>3</v>
      </c>
      <c r="L351" s="2" t="s">
        <v>834</v>
      </c>
      <c r="Q351" s="4" t="str">
        <f ca="1">IFERROR(__xludf.DUMMYFUNCTION("TRIM(SUBSTITUTE(SUBSTITUTE(D351, index(SPLIT(D351, "" ""), COLUMNS(SPLIT(D351, "" ""))), """"), index(SPLIT(D351, "" ""), COLUMNS(SPLIT(D351, "" ""))-1), """"))"),"Тячівська")</f>
        <v>Тячівська</v>
      </c>
    </row>
    <row r="352" spans="1:17" ht="38">
      <c r="A352" s="2"/>
      <c r="B352" s="2" t="s">
        <v>733</v>
      </c>
      <c r="C352" s="2" t="s">
        <v>813</v>
      </c>
      <c r="D352" s="2" t="s">
        <v>835</v>
      </c>
      <c r="E352" s="2"/>
      <c r="F352" s="2" t="s">
        <v>28</v>
      </c>
      <c r="G352" s="2">
        <v>6</v>
      </c>
      <c r="H352" s="2">
        <v>145.19999999999999</v>
      </c>
      <c r="I352" s="2">
        <v>10646</v>
      </c>
      <c r="J352" s="2" t="s">
        <v>836</v>
      </c>
      <c r="K352" s="2">
        <v>3</v>
      </c>
      <c r="L352" s="2" t="s">
        <v>837</v>
      </c>
      <c r="Q352" s="4" t="str">
        <f ca="1">IFERROR(__xludf.DUMMYFUNCTION("TRIM(SUBSTITUTE(SUBSTITUTE(D352, index(SPLIT(D352, "" ""), COLUMNS(SPLIT(D352, "" ""))), """"), index(SPLIT(D352, "" ""), COLUMNS(SPLIT(D352, "" ""))-1), """"))"),"Углянська")</f>
        <v>Углянська</v>
      </c>
    </row>
    <row r="353" spans="1:17" ht="50.5">
      <c r="A353" s="2"/>
      <c r="B353" s="2" t="s">
        <v>733</v>
      </c>
      <c r="C353" s="2" t="s">
        <v>813</v>
      </c>
      <c r="D353" s="2" t="s">
        <v>838</v>
      </c>
      <c r="E353" s="2"/>
      <c r="F353" s="2" t="s">
        <v>32</v>
      </c>
      <c r="G353" s="2">
        <v>4</v>
      </c>
      <c r="H353" s="2">
        <v>641.79999999999995</v>
      </c>
      <c r="I353" s="2">
        <v>6909</v>
      </c>
      <c r="J353" s="2" t="s">
        <v>839</v>
      </c>
      <c r="K353" s="2">
        <v>3</v>
      </c>
      <c r="L353" s="2" t="s">
        <v>840</v>
      </c>
      <c r="Q353" s="4" t="str">
        <f ca="1">IFERROR(__xludf.DUMMYFUNCTION("TRIM(SUBSTITUTE(SUBSTITUTE(D353, index(SPLIT(D353, "" ""), COLUMNS(SPLIT(D353, "" ""))), """"), index(SPLIT(D353, "" ""), COLUMNS(SPLIT(D353, "" ""))-1), """"))"),"Усть-Чорнянська")</f>
        <v>Усть-Чорнянська</v>
      </c>
    </row>
    <row r="354" spans="1:17" ht="38">
      <c r="A354" s="2"/>
      <c r="B354" s="2" t="s">
        <v>733</v>
      </c>
      <c r="C354" s="2" t="s">
        <v>841</v>
      </c>
      <c r="D354" s="2" t="s">
        <v>842</v>
      </c>
      <c r="E354" s="2"/>
      <c r="F354" s="2" t="s">
        <v>28</v>
      </c>
      <c r="G354" s="2">
        <v>12</v>
      </c>
      <c r="H354" s="2">
        <v>152.6</v>
      </c>
      <c r="I354" s="2">
        <v>10778</v>
      </c>
      <c r="J354" s="2" t="s">
        <v>39</v>
      </c>
      <c r="K354" s="2">
        <v>5</v>
      </c>
      <c r="L354" s="2" t="s">
        <v>843</v>
      </c>
      <c r="Q354" s="4" t="str">
        <f ca="1">IFERROR(__xludf.DUMMYFUNCTION("TRIM(SUBSTITUTE(SUBSTITUTE(D354, index(SPLIT(D354, "" ""), COLUMNS(SPLIT(D354, "" ""))), """"), index(SPLIT(D354, "" ""), COLUMNS(SPLIT(D354, "" ""))-1), """"))"),"Баранинська")</f>
        <v>Баранинська</v>
      </c>
    </row>
    <row r="355" spans="1:17" ht="50.5">
      <c r="A355" s="2"/>
      <c r="B355" s="2" t="s">
        <v>733</v>
      </c>
      <c r="C355" s="2" t="s">
        <v>841</v>
      </c>
      <c r="D355" s="2" t="s">
        <v>844</v>
      </c>
      <c r="E355" s="2"/>
      <c r="F355" s="2" t="s">
        <v>32</v>
      </c>
      <c r="G355" s="2">
        <v>8</v>
      </c>
      <c r="H355" s="2">
        <v>110.5</v>
      </c>
      <c r="I355" s="2">
        <v>9973</v>
      </c>
      <c r="J355" s="2" t="s">
        <v>163</v>
      </c>
      <c r="K355" s="2">
        <v>4</v>
      </c>
      <c r="L355" s="2" t="s">
        <v>845</v>
      </c>
      <c r="Q355" s="4" t="str">
        <f ca="1">IFERROR(__xludf.DUMMYFUNCTION("TRIM(SUBSTITUTE(SUBSTITUTE(D355, index(SPLIT(D355, "" ""), COLUMNS(SPLIT(D355, "" ""))), """"), index(SPLIT(D355, "" ""), COLUMNS(SPLIT(D355, "" ""))-1), """"))"),"Великоберезнянська")</f>
        <v>Великоберезнянська</v>
      </c>
    </row>
    <row r="356" spans="1:17" ht="50.5">
      <c r="A356" s="2"/>
      <c r="B356" s="2" t="s">
        <v>733</v>
      </c>
      <c r="C356" s="2" t="s">
        <v>841</v>
      </c>
      <c r="D356" s="2" t="s">
        <v>846</v>
      </c>
      <c r="E356" s="2"/>
      <c r="F356" s="2" t="s">
        <v>28</v>
      </c>
      <c r="G356" s="2">
        <v>5</v>
      </c>
      <c r="H356" s="2">
        <v>103</v>
      </c>
      <c r="I356" s="2">
        <v>11543</v>
      </c>
      <c r="J356" s="2" t="s">
        <v>847</v>
      </c>
      <c r="K356" s="2">
        <v>4</v>
      </c>
      <c r="L356" s="2" t="s">
        <v>848</v>
      </c>
      <c r="Q356" s="4" t="str">
        <f ca="1">IFERROR(__xludf.DUMMYFUNCTION("TRIM(SUBSTITUTE(SUBSTITUTE(D356, index(SPLIT(D356, "" ""), COLUMNS(SPLIT(D356, "" ""))), """"), index(SPLIT(D356, "" ""), COLUMNS(SPLIT(D356, "" ""))-1), """"))"),"Великодобронська")</f>
        <v>Великодобронська</v>
      </c>
    </row>
    <row r="357" spans="1:17" ht="63">
      <c r="A357" s="2"/>
      <c r="B357" s="2" t="s">
        <v>733</v>
      </c>
      <c r="C357" s="2" t="s">
        <v>841</v>
      </c>
      <c r="D357" s="2" t="s">
        <v>849</v>
      </c>
      <c r="E357" s="2"/>
      <c r="F357" s="2" t="s">
        <v>28</v>
      </c>
      <c r="G357" s="2">
        <v>9</v>
      </c>
      <c r="H357" s="2">
        <v>260.8</v>
      </c>
      <c r="I357" s="2">
        <v>6713</v>
      </c>
      <c r="J357" s="2" t="s">
        <v>850</v>
      </c>
      <c r="K357" s="2">
        <v>6</v>
      </c>
      <c r="L357" s="2" t="s">
        <v>851</v>
      </c>
      <c r="Q357" s="4" t="str">
        <f ca="1">IFERROR(__xludf.DUMMYFUNCTION("TRIM(SUBSTITUTE(SUBSTITUTE(D357, index(SPLIT(D357, "" ""), COLUMNS(SPLIT(D357, "" ""))), """"), index(SPLIT(D357, "" ""), COLUMNS(SPLIT(D357, "" ""))-1), """"))"),"Дубриницько-Малоберезнянська")</f>
        <v>Дубриницько-Малоберезнянська</v>
      </c>
    </row>
    <row r="358" spans="1:17" ht="38">
      <c r="A358" s="2"/>
      <c r="B358" s="2" t="s">
        <v>733</v>
      </c>
      <c r="C358" s="2" t="s">
        <v>841</v>
      </c>
      <c r="D358" s="2" t="s">
        <v>852</v>
      </c>
      <c r="E358" s="2"/>
      <c r="F358" s="2" t="s">
        <v>28</v>
      </c>
      <c r="G358" s="2">
        <v>6</v>
      </c>
      <c r="H358" s="2">
        <v>211.5</v>
      </c>
      <c r="I358" s="2">
        <v>5127</v>
      </c>
      <c r="J358" s="2" t="s">
        <v>853</v>
      </c>
      <c r="K358" s="2">
        <v>4</v>
      </c>
      <c r="L358" s="2" t="s">
        <v>854</v>
      </c>
      <c r="Q358" s="4" t="str">
        <f ca="1">IFERROR(__xludf.DUMMYFUNCTION("TRIM(SUBSTITUTE(SUBSTITUTE(D358, index(SPLIT(D358, "" ""), COLUMNS(SPLIT(D358, "" ""))), """"), index(SPLIT(D358, "" ""), COLUMNS(SPLIT(D358, "" ""))-1), """"))"),"Костринська")</f>
        <v>Костринська</v>
      </c>
    </row>
    <row r="359" spans="1:17" ht="38">
      <c r="A359" s="2"/>
      <c r="B359" s="2" t="s">
        <v>733</v>
      </c>
      <c r="C359" s="2" t="s">
        <v>841</v>
      </c>
      <c r="D359" s="2" t="s">
        <v>855</v>
      </c>
      <c r="E359" s="2"/>
      <c r="F359" s="2" t="s">
        <v>28</v>
      </c>
      <c r="G359" s="2">
        <v>5</v>
      </c>
      <c r="H359" s="2">
        <v>117.3</v>
      </c>
      <c r="I359" s="2">
        <v>6539</v>
      </c>
      <c r="J359" s="2" t="s">
        <v>163</v>
      </c>
      <c r="K359" s="2">
        <v>3</v>
      </c>
      <c r="L359" s="2" t="s">
        <v>856</v>
      </c>
      <c r="Q359" s="4" t="str">
        <f ca="1">IFERROR(__xludf.DUMMYFUNCTION("TRIM(SUBSTITUTE(SUBSTITUTE(D359, index(SPLIT(D359, "" ""), COLUMNS(SPLIT(D359, "" ""))), """"), index(SPLIT(D359, "" ""), COLUMNS(SPLIT(D359, "" ""))-1), """"))"),"Оноківська")</f>
        <v>Оноківська</v>
      </c>
    </row>
    <row r="360" spans="1:17" ht="38">
      <c r="A360" s="2"/>
      <c r="B360" s="2" t="s">
        <v>733</v>
      </c>
      <c r="C360" s="2" t="s">
        <v>841</v>
      </c>
      <c r="D360" s="2" t="s">
        <v>857</v>
      </c>
      <c r="E360" s="2"/>
      <c r="F360" s="2" t="s">
        <v>20</v>
      </c>
      <c r="G360" s="2">
        <v>5</v>
      </c>
      <c r="H360" s="2">
        <v>120.2</v>
      </c>
      <c r="I360" s="2">
        <v>12497</v>
      </c>
      <c r="J360" s="2" t="s">
        <v>63</v>
      </c>
      <c r="K360" s="2">
        <v>5</v>
      </c>
      <c r="L360" s="2" t="s">
        <v>858</v>
      </c>
      <c r="Q360" s="4" t="str">
        <f ca="1">IFERROR(__xludf.DUMMYFUNCTION("TRIM(SUBSTITUTE(SUBSTITUTE(D360, index(SPLIT(D360, "" ""), COLUMNS(SPLIT(D360, "" ""))), """"), index(SPLIT(D360, "" ""), COLUMNS(SPLIT(D360, "" ""))-1), """"))"),"Перечинська")</f>
        <v>Перечинська</v>
      </c>
    </row>
    <row r="361" spans="1:17" ht="50.5">
      <c r="A361" s="2"/>
      <c r="B361" s="2" t="s">
        <v>733</v>
      </c>
      <c r="C361" s="2" t="s">
        <v>841</v>
      </c>
      <c r="D361" s="2" t="s">
        <v>859</v>
      </c>
      <c r="E361" s="2"/>
      <c r="F361" s="2" t="s">
        <v>32</v>
      </c>
      <c r="G361" s="2">
        <v>15</v>
      </c>
      <c r="H361" s="2">
        <v>217.2</v>
      </c>
      <c r="I361" s="2">
        <v>14390</v>
      </c>
      <c r="J361" s="2" t="s">
        <v>860</v>
      </c>
      <c r="K361" s="2">
        <v>6</v>
      </c>
      <c r="L361" s="2" t="s">
        <v>861</v>
      </c>
      <c r="Q361" s="4" t="str">
        <f ca="1">IFERROR(__xludf.DUMMYFUNCTION("TRIM(SUBSTITUTE(SUBSTITUTE(D361, index(SPLIT(D361, "" ""), COLUMNS(SPLIT(D361, "" ""))), """"), index(SPLIT(D361, "" ""), COLUMNS(SPLIT(D361, "" ""))-1), """"))"),"Середнянська")</f>
        <v>Середнянська</v>
      </c>
    </row>
    <row r="362" spans="1:17" ht="38">
      <c r="A362" s="2"/>
      <c r="B362" s="2" t="s">
        <v>733</v>
      </c>
      <c r="C362" s="2" t="s">
        <v>841</v>
      </c>
      <c r="D362" s="2" t="s">
        <v>862</v>
      </c>
      <c r="E362" s="2"/>
      <c r="F362" s="2" t="s">
        <v>28</v>
      </c>
      <c r="G362" s="2">
        <v>12</v>
      </c>
      <c r="H362" s="2">
        <v>299.5</v>
      </c>
      <c r="I362" s="2">
        <v>7002</v>
      </c>
      <c r="J362" s="2" t="s">
        <v>863</v>
      </c>
      <c r="K362" s="2">
        <v>8</v>
      </c>
      <c r="L362" s="2" t="s">
        <v>864</v>
      </c>
      <c r="Q362" s="4" t="str">
        <f ca="1">IFERROR(__xludf.DUMMYFUNCTION("TRIM(SUBSTITUTE(SUBSTITUTE(D362, index(SPLIT(D362, "" ""), COLUMNS(SPLIT(D362, "" ""))), """"), index(SPLIT(D362, "" ""), COLUMNS(SPLIT(D362, "" ""))-1), """"))"),"Ставненська")</f>
        <v>Ставненська</v>
      </c>
    </row>
    <row r="363" spans="1:17" ht="38">
      <c r="A363" s="2"/>
      <c r="B363" s="2" t="s">
        <v>733</v>
      </c>
      <c r="C363" s="2" t="s">
        <v>841</v>
      </c>
      <c r="D363" s="2" t="s">
        <v>865</v>
      </c>
      <c r="E363" s="2"/>
      <c r="F363" s="2" t="s">
        <v>28</v>
      </c>
      <c r="G363" s="2">
        <v>12</v>
      </c>
      <c r="H363" s="2">
        <v>145.19999999999999</v>
      </c>
      <c r="I363" s="2">
        <v>9451</v>
      </c>
      <c r="J363" s="2" t="s">
        <v>866</v>
      </c>
      <c r="K363" s="2">
        <v>7</v>
      </c>
      <c r="L363" s="2" t="s">
        <v>867</v>
      </c>
      <c r="Q363" s="4" t="str">
        <f ca="1">IFERROR(__xludf.DUMMYFUNCTION("TRIM(SUBSTITUTE(SUBSTITUTE(D363, index(SPLIT(D363, "" ""), COLUMNS(SPLIT(D363, "" ""))), """"), index(SPLIT(D363, "" ""), COLUMNS(SPLIT(D363, "" ""))-1), """"))"),"Сюртівська")</f>
        <v>Сюртівська</v>
      </c>
    </row>
    <row r="364" spans="1:17" ht="50.5">
      <c r="A364" s="2"/>
      <c r="B364" s="2" t="s">
        <v>733</v>
      </c>
      <c r="C364" s="2" t="s">
        <v>841</v>
      </c>
      <c r="D364" s="2" t="s">
        <v>868</v>
      </c>
      <c r="E364" s="2"/>
      <c r="F364" s="2" t="s">
        <v>28</v>
      </c>
      <c r="G364" s="2">
        <v>17</v>
      </c>
      <c r="H364" s="2">
        <v>437.3</v>
      </c>
      <c r="I364" s="2">
        <v>16107</v>
      </c>
      <c r="J364" s="2" t="s">
        <v>869</v>
      </c>
      <c r="K364" s="2">
        <v>8</v>
      </c>
      <c r="L364" s="2" t="s">
        <v>870</v>
      </c>
      <c r="Q364" s="4" t="str">
        <f ca="1">IFERROR(__xludf.DUMMYFUNCTION("TRIM(SUBSTITUTE(SUBSTITUTE(D364, index(SPLIT(D364, "" ""), COLUMNS(SPLIT(D364, "" ""))), """"), index(SPLIT(D364, "" ""), COLUMNS(SPLIT(D364, "" ""))-1), """"))"),"Тур'є-Реметівська")</f>
        <v>Тур'є-Реметівська</v>
      </c>
    </row>
    <row r="365" spans="1:17" ht="38">
      <c r="A365" s="2"/>
      <c r="B365" s="2" t="s">
        <v>733</v>
      </c>
      <c r="C365" s="2" t="s">
        <v>841</v>
      </c>
      <c r="D365" s="2" t="s">
        <v>871</v>
      </c>
      <c r="E365" s="2"/>
      <c r="F365" s="2" t="s">
        <v>20</v>
      </c>
      <c r="G365" s="2">
        <v>1</v>
      </c>
      <c r="H365" s="2">
        <v>37.700000000000003</v>
      </c>
      <c r="I365" s="2">
        <v>115542</v>
      </c>
      <c r="J365" s="2" t="s">
        <v>872</v>
      </c>
      <c r="K365" s="2">
        <v>1</v>
      </c>
      <c r="L365" s="2" t="s">
        <v>873</v>
      </c>
      <c r="Q365" s="4" t="str">
        <f ca="1">IFERROR(__xludf.DUMMYFUNCTION("TRIM(SUBSTITUTE(SUBSTITUTE(D365, index(SPLIT(D365, "" ""), COLUMNS(SPLIT(D365, "" ""))), """"), index(SPLIT(D365, "" ""), COLUMNS(SPLIT(D365, "" ""))-1), """"))"),"Ужгородська")</f>
        <v>Ужгородська</v>
      </c>
    </row>
    <row r="366" spans="1:17" ht="38">
      <c r="A366" s="2"/>
      <c r="B366" s="2" t="s">
        <v>733</v>
      </c>
      <c r="C366" s="2" t="s">
        <v>841</v>
      </c>
      <c r="D366" s="2" t="s">
        <v>874</v>
      </c>
      <c r="E366" s="2"/>
      <c r="F366" s="2" t="s">
        <v>28</v>
      </c>
      <c r="G366" s="2">
        <v>10</v>
      </c>
      <c r="H366" s="2">
        <v>65.5</v>
      </c>
      <c r="I366" s="2">
        <v>14325</v>
      </c>
      <c r="J366" s="2" t="s">
        <v>163</v>
      </c>
      <c r="K366" s="2">
        <v>4</v>
      </c>
      <c r="L366" s="2" t="s">
        <v>875</v>
      </c>
      <c r="Q366" s="4" t="str">
        <f ca="1">IFERROR(__xludf.DUMMYFUNCTION("TRIM(SUBSTITUTE(SUBSTITUTE(D366, index(SPLIT(D366, "" ""), COLUMNS(SPLIT(D366, "" ""))), """"), index(SPLIT(D366, "" ""), COLUMNS(SPLIT(D366, "" ""))-1), """"))"),"Холмківська")</f>
        <v>Холмківська</v>
      </c>
    </row>
    <row r="367" spans="1:17" ht="38">
      <c r="A367" s="2"/>
      <c r="B367" s="2" t="s">
        <v>733</v>
      </c>
      <c r="C367" s="2" t="s">
        <v>841</v>
      </c>
      <c r="D367" s="2" t="s">
        <v>876</v>
      </c>
      <c r="E367" s="2"/>
      <c r="F367" s="2" t="s">
        <v>20</v>
      </c>
      <c r="G367" s="2">
        <v>8</v>
      </c>
      <c r="H367" s="2">
        <v>84.1</v>
      </c>
      <c r="I367" s="2">
        <v>15545</v>
      </c>
      <c r="J367" s="2" t="s">
        <v>877</v>
      </c>
      <c r="K367" s="2">
        <v>6</v>
      </c>
      <c r="L367" s="2" t="s">
        <v>878</v>
      </c>
      <c r="Q367" s="4" t="str">
        <f ca="1">IFERROR(__xludf.DUMMYFUNCTION("TRIM(SUBSTITUTE(SUBSTITUTE(D367, index(SPLIT(D367, "" ""), COLUMNS(SPLIT(D367, "" ""))), """"), index(SPLIT(D367, "" ""), COLUMNS(SPLIT(D367, "" ""))-1), """"))"),"Чопська")</f>
        <v>Чопська</v>
      </c>
    </row>
    <row r="368" spans="1:17" ht="38">
      <c r="A368" s="2"/>
      <c r="B368" s="2" t="s">
        <v>733</v>
      </c>
      <c r="C368" s="2" t="s">
        <v>879</v>
      </c>
      <c r="D368" s="2" t="s">
        <v>880</v>
      </c>
      <c r="E368" s="2"/>
      <c r="F368" s="2" t="s">
        <v>20</v>
      </c>
      <c r="G368" s="2">
        <v>20</v>
      </c>
      <c r="H368" s="2">
        <v>309.5</v>
      </c>
      <c r="I368" s="2">
        <v>35893</v>
      </c>
      <c r="J368" s="2" t="s">
        <v>63</v>
      </c>
      <c r="K368" s="2">
        <v>8</v>
      </c>
      <c r="L368" s="2" t="s">
        <v>881</v>
      </c>
      <c r="Q368" s="4" t="str">
        <f ca="1">IFERROR(__xludf.DUMMYFUNCTION("TRIM(SUBSTITUTE(SUBSTITUTE(D368, index(SPLIT(D368, "" ""), COLUMNS(SPLIT(D368, "" ""))), """"), index(SPLIT(D368, "" ""), COLUMNS(SPLIT(D368, "" ""))-1), """"))"),"Іршавська")</f>
        <v>Іршавська</v>
      </c>
    </row>
    <row r="369" spans="1:17" ht="38">
      <c r="A369" s="2"/>
      <c r="B369" s="2" t="s">
        <v>733</v>
      </c>
      <c r="C369" s="2" t="s">
        <v>879</v>
      </c>
      <c r="D369" s="2" t="s">
        <v>882</v>
      </c>
      <c r="E369" s="2"/>
      <c r="F369" s="2" t="s">
        <v>28</v>
      </c>
      <c r="G369" s="2">
        <v>6</v>
      </c>
      <c r="H369" s="2">
        <v>149.19999999999999</v>
      </c>
      <c r="I369" s="2">
        <v>20650</v>
      </c>
      <c r="J369" s="2" t="s">
        <v>883</v>
      </c>
      <c r="K369" s="2">
        <v>5</v>
      </c>
      <c r="L369" s="2" t="s">
        <v>884</v>
      </c>
      <c r="Q369" s="4" t="str">
        <f ca="1">IFERROR(__xludf.DUMMYFUNCTION("TRIM(SUBSTITUTE(SUBSTITUTE(D369, index(SPLIT(D369, "" ""), COLUMNS(SPLIT(D369, "" ""))), """"), index(SPLIT(D369, "" ""), COLUMNS(SPLIT(D369, "" ""))-1), """"))"),"Білківська")</f>
        <v>Білківська</v>
      </c>
    </row>
    <row r="370" spans="1:17" ht="38">
      <c r="A370" s="2"/>
      <c r="B370" s="2" t="s">
        <v>733</v>
      </c>
      <c r="C370" s="2" t="s">
        <v>879</v>
      </c>
      <c r="D370" s="2" t="s">
        <v>885</v>
      </c>
      <c r="E370" s="2"/>
      <c r="F370" s="2" t="s">
        <v>32</v>
      </c>
      <c r="G370" s="2">
        <v>6</v>
      </c>
      <c r="H370" s="2">
        <v>179.9</v>
      </c>
      <c r="I370" s="2">
        <v>16109</v>
      </c>
      <c r="J370" s="2" t="s">
        <v>886</v>
      </c>
      <c r="K370" s="2">
        <v>2</v>
      </c>
      <c r="L370" s="2" t="s">
        <v>887</v>
      </c>
      <c r="Q370" s="4" t="str">
        <f ca="1">IFERROR(__xludf.DUMMYFUNCTION("TRIM(SUBSTITUTE(SUBSTITUTE(D370, index(SPLIT(D370, "" ""), COLUMNS(SPLIT(D370, "" ""))), """"), index(SPLIT(D370, "" ""), COLUMNS(SPLIT(D370, "" ""))-1), """"))"),"Вишківська")</f>
        <v>Вишківська</v>
      </c>
    </row>
    <row r="371" spans="1:17" ht="38">
      <c r="A371" s="2"/>
      <c r="B371" s="2" t="s">
        <v>733</v>
      </c>
      <c r="C371" s="2" t="s">
        <v>879</v>
      </c>
      <c r="D371" s="2" t="s">
        <v>888</v>
      </c>
      <c r="E371" s="2"/>
      <c r="F371" s="2" t="s">
        <v>28</v>
      </c>
      <c r="G371" s="2">
        <v>16</v>
      </c>
      <c r="H371" s="2">
        <v>223.6</v>
      </c>
      <c r="I371" s="2">
        <v>12785</v>
      </c>
      <c r="J371" s="2" t="s">
        <v>889</v>
      </c>
      <c r="K371" s="2">
        <v>4</v>
      </c>
      <c r="L371" s="2" t="s">
        <v>890</v>
      </c>
      <c r="Q371" s="4" t="str">
        <f ca="1">IFERROR(__xludf.DUMMYFUNCTION("TRIM(SUBSTITUTE(SUBSTITUTE(D371, index(SPLIT(D371, "" ""), COLUMNS(SPLIT(D371, "" ""))), """"), index(SPLIT(D371, "" ""), COLUMNS(SPLIT(D371, "" ""))-1), """"))"),"Горінчівська")</f>
        <v>Горінчівська</v>
      </c>
    </row>
    <row r="372" spans="1:17" ht="38">
      <c r="A372" s="2"/>
      <c r="B372" s="2" t="s">
        <v>733</v>
      </c>
      <c r="C372" s="2" t="s">
        <v>879</v>
      </c>
      <c r="D372" s="2" t="s">
        <v>891</v>
      </c>
      <c r="E372" s="2"/>
      <c r="F372" s="2" t="s">
        <v>28</v>
      </c>
      <c r="G372" s="2">
        <v>8</v>
      </c>
      <c r="H372" s="2">
        <v>257.5</v>
      </c>
      <c r="I372" s="2">
        <v>16801</v>
      </c>
      <c r="J372" s="2" t="s">
        <v>163</v>
      </c>
      <c r="K372" s="2">
        <v>4</v>
      </c>
      <c r="L372" s="2" t="s">
        <v>892</v>
      </c>
      <c r="Q372" s="4" t="str">
        <f ca="1">IFERROR(__xludf.DUMMYFUNCTION("TRIM(SUBSTITUTE(SUBSTITUTE(D372, index(SPLIT(D372, "" ""), COLUMNS(SPLIT(D372, "" ""))), """"), index(SPLIT(D372, "" ""), COLUMNS(SPLIT(D372, "" ""))-1), """"))"),"Довжанська")</f>
        <v>Довжанська</v>
      </c>
    </row>
    <row r="373" spans="1:17" ht="38">
      <c r="A373" s="2"/>
      <c r="B373" s="2" t="s">
        <v>733</v>
      </c>
      <c r="C373" s="2" t="s">
        <v>879</v>
      </c>
      <c r="D373" s="2" t="s">
        <v>893</v>
      </c>
      <c r="E373" s="2"/>
      <c r="F373" s="2" t="s">
        <v>28</v>
      </c>
      <c r="G373" s="2">
        <v>7</v>
      </c>
      <c r="H373" s="2">
        <v>148.1</v>
      </c>
      <c r="I373" s="2">
        <v>13821</v>
      </c>
      <c r="J373" s="2" t="s">
        <v>894</v>
      </c>
      <c r="K373" s="2">
        <v>4</v>
      </c>
      <c r="L373" s="2" t="s">
        <v>895</v>
      </c>
      <c r="Q373" s="4" t="str">
        <f ca="1">IFERROR(__xludf.DUMMYFUNCTION("TRIM(SUBSTITUTE(SUBSTITUTE(D373, index(SPLIT(D373, "" ""), COLUMNS(SPLIT(D373, "" ""))), """"), index(SPLIT(D373, "" ""), COLUMNS(SPLIT(D373, "" ""))-1), """"))"),"Драгівська")</f>
        <v>Драгівська</v>
      </c>
    </row>
    <row r="374" spans="1:17" ht="38">
      <c r="A374" s="2"/>
      <c r="B374" s="2" t="s">
        <v>733</v>
      </c>
      <c r="C374" s="2" t="s">
        <v>879</v>
      </c>
      <c r="D374" s="2" t="s">
        <v>896</v>
      </c>
      <c r="E374" s="2"/>
      <c r="F374" s="2" t="s">
        <v>28</v>
      </c>
      <c r="G374" s="2">
        <v>4</v>
      </c>
      <c r="H374" s="2">
        <v>41.6</v>
      </c>
      <c r="I374" s="2">
        <v>8333</v>
      </c>
      <c r="J374" s="2" t="s">
        <v>163</v>
      </c>
      <c r="K374" s="2">
        <v>3</v>
      </c>
      <c r="L374" s="2" t="s">
        <v>897</v>
      </c>
      <c r="Q374" s="4" t="str">
        <f ca="1">IFERROR(__xludf.DUMMYFUNCTION("TRIM(SUBSTITUTE(SUBSTITUTE(D374, index(SPLIT(D374, "" ""), COLUMNS(SPLIT(D374, "" ""))), """"), index(SPLIT(D374, "" ""), COLUMNS(SPLIT(D374, "" ""))-1), """"))"),"Зарічанська")</f>
        <v>Зарічанська</v>
      </c>
    </row>
    <row r="375" spans="1:17" ht="50.5">
      <c r="A375" s="2"/>
      <c r="B375" s="2" t="s">
        <v>733</v>
      </c>
      <c r="C375" s="2" t="s">
        <v>879</v>
      </c>
      <c r="D375" s="2" t="s">
        <v>898</v>
      </c>
      <c r="E375" s="2"/>
      <c r="F375" s="2" t="s">
        <v>28</v>
      </c>
      <c r="G375" s="2">
        <v>4</v>
      </c>
      <c r="H375" s="2">
        <v>298.89999999999998</v>
      </c>
      <c r="I375" s="2">
        <v>14959</v>
      </c>
      <c r="J375" s="2" t="s">
        <v>163</v>
      </c>
      <c r="K375" s="2">
        <v>4</v>
      </c>
      <c r="L375" s="2" t="s">
        <v>899</v>
      </c>
      <c r="Q375" s="4" t="str">
        <f ca="1">IFERROR(__xludf.DUMMYFUNCTION("TRIM(SUBSTITUTE(SUBSTITUTE(D375, index(SPLIT(D375, "" ""), COLUMNS(SPLIT(D375, "" ""))), """"), index(SPLIT(D375, "" ""), COLUMNS(SPLIT(D375, "" ""))-1), """"))"),"Керецьківська")</f>
        <v>Керецьківська</v>
      </c>
    </row>
    <row r="376" spans="1:17" ht="38">
      <c r="A376" s="2"/>
      <c r="B376" s="2" t="s">
        <v>733</v>
      </c>
      <c r="C376" s="2" t="s">
        <v>879</v>
      </c>
      <c r="D376" s="2" t="s">
        <v>900</v>
      </c>
      <c r="E376" s="2"/>
      <c r="F376" s="2" t="s">
        <v>28</v>
      </c>
      <c r="G376" s="2">
        <v>5</v>
      </c>
      <c r="H376" s="2">
        <v>161.5</v>
      </c>
      <c r="I376" s="2">
        <v>8757</v>
      </c>
      <c r="J376" s="2" t="s">
        <v>901</v>
      </c>
      <c r="K376" s="2">
        <v>2</v>
      </c>
      <c r="L376" s="2" t="s">
        <v>902</v>
      </c>
      <c r="Q376" s="4" t="str">
        <f ca="1">IFERROR(__xludf.DUMMYFUNCTION("TRIM(SUBSTITUTE(SUBSTITUTE(D376, index(SPLIT(D376, "" ""), COLUMNS(SPLIT(D376, "" ""))), """"), index(SPLIT(D376, "" ""), COLUMNS(SPLIT(D376, "" ""))-1), """"))"),"Колочавська")</f>
        <v>Колочавська</v>
      </c>
    </row>
    <row r="377" spans="1:17" ht="50.5">
      <c r="A377" s="2"/>
      <c r="B377" s="2" t="s">
        <v>733</v>
      </c>
      <c r="C377" s="2" t="s">
        <v>879</v>
      </c>
      <c r="D377" s="2" t="s">
        <v>903</v>
      </c>
      <c r="E377" s="2"/>
      <c r="F377" s="2" t="s">
        <v>32</v>
      </c>
      <c r="G377" s="2">
        <v>22</v>
      </c>
      <c r="H377" s="2">
        <v>554.1</v>
      </c>
      <c r="I377" s="2">
        <v>24896</v>
      </c>
      <c r="J377" s="2" t="s">
        <v>904</v>
      </c>
      <c r="K377" s="2">
        <v>12</v>
      </c>
      <c r="L377" s="2" t="s">
        <v>905</v>
      </c>
      <c r="Q377" s="4" t="str">
        <f ca="1">IFERROR(__xludf.DUMMYFUNCTION("TRIM(SUBSTITUTE(SUBSTITUTE(D377, index(SPLIT(D377, "" ""), COLUMNS(SPLIT(D377, "" ""))), """"), index(SPLIT(D377, "" ""), COLUMNS(SPLIT(D377, "" ""))-1), """"))"),"Міжгірська")</f>
        <v>Міжгірська</v>
      </c>
    </row>
    <row r="378" spans="1:17" ht="38">
      <c r="A378" s="2"/>
      <c r="B378" s="2" t="s">
        <v>733</v>
      </c>
      <c r="C378" s="2" t="s">
        <v>879</v>
      </c>
      <c r="D378" s="2" t="s">
        <v>906</v>
      </c>
      <c r="E378" s="2"/>
      <c r="F378" s="2" t="s">
        <v>28</v>
      </c>
      <c r="G378" s="2">
        <v>11</v>
      </c>
      <c r="H378" s="2">
        <v>199.6</v>
      </c>
      <c r="I378" s="2">
        <v>7095</v>
      </c>
      <c r="J378" s="2" t="s">
        <v>907</v>
      </c>
      <c r="K378" s="2">
        <v>7</v>
      </c>
      <c r="L378" s="2" t="s">
        <v>908</v>
      </c>
      <c r="Q378" s="4" t="str">
        <f ca="1">IFERROR(__xludf.DUMMYFUNCTION("TRIM(SUBSTITUTE(SUBSTITUTE(D378, index(SPLIT(D378, "" ""), COLUMNS(SPLIT(D378, "" ""))), """"), index(SPLIT(D378, "" ""), COLUMNS(SPLIT(D378, "" ""))-1), """"))"),"Пилипецька")</f>
        <v>Пилипецька</v>
      </c>
    </row>
    <row r="379" spans="1:17" ht="38">
      <c r="A379" s="2"/>
      <c r="B379" s="2" t="s">
        <v>733</v>
      </c>
      <c r="C379" s="2" t="s">
        <v>879</v>
      </c>
      <c r="D379" s="2" t="s">
        <v>909</v>
      </c>
      <c r="E379" s="2"/>
      <c r="F379" s="2" t="s">
        <v>28</v>
      </c>
      <c r="G379" s="2">
        <v>6</v>
      </c>
      <c r="H379" s="2">
        <v>254.5</v>
      </c>
      <c r="I379" s="2">
        <v>6376</v>
      </c>
      <c r="J379" s="2" t="s">
        <v>910</v>
      </c>
      <c r="K379" s="2">
        <v>2</v>
      </c>
      <c r="L379" s="2" t="s">
        <v>911</v>
      </c>
      <c r="Q379" s="4" t="str">
        <f ca="1">IFERROR(__xludf.DUMMYFUNCTION("TRIM(SUBSTITUTE(SUBSTITUTE(D379, index(SPLIT(D379, "" ""), COLUMNS(SPLIT(D379, "" ""))), """"), index(SPLIT(D379, "" ""), COLUMNS(SPLIT(D379, "" ""))-1), """"))"),"Синевирська")</f>
        <v>Синевирська</v>
      </c>
    </row>
    <row r="380" spans="1:17" ht="75.5">
      <c r="A380" s="2"/>
      <c r="B380" s="2" t="s">
        <v>733</v>
      </c>
      <c r="C380" s="2" t="s">
        <v>879</v>
      </c>
      <c r="D380" s="2" t="s">
        <v>912</v>
      </c>
      <c r="E380" s="2"/>
      <c r="F380" s="2" t="s">
        <v>20</v>
      </c>
      <c r="G380" s="2">
        <v>28</v>
      </c>
      <c r="H380" s="2">
        <v>402.3</v>
      </c>
      <c r="I380" s="2">
        <v>80858</v>
      </c>
      <c r="J380" s="2" t="s">
        <v>913</v>
      </c>
      <c r="K380" s="2">
        <v>16</v>
      </c>
      <c r="L380" s="2" t="s">
        <v>914</v>
      </c>
      <c r="Q380" s="4" t="str">
        <f ca="1">IFERROR(__xludf.DUMMYFUNCTION("TRIM(SUBSTITUTE(SUBSTITUTE(D380, index(SPLIT(D380, "" ""), COLUMNS(SPLIT(D380, "" ""))), """"), index(SPLIT(D380, "" ""), COLUMNS(SPLIT(D380, "" ""))-1), """"))"),"Хустська")</f>
        <v>Хустська</v>
      </c>
    </row>
    <row r="381" spans="1:17" ht="38">
      <c r="A381" s="2"/>
      <c r="B381" s="2" t="s">
        <v>915</v>
      </c>
      <c r="C381" s="2" t="s">
        <v>916</v>
      </c>
      <c r="D381" s="2" t="s">
        <v>917</v>
      </c>
      <c r="E381" s="2"/>
      <c r="F381" s="2" t="s">
        <v>28</v>
      </c>
      <c r="G381" s="2">
        <v>4</v>
      </c>
      <c r="H381" s="2">
        <v>194.8</v>
      </c>
      <c r="I381" s="2">
        <v>3257</v>
      </c>
      <c r="J381" s="2" t="s">
        <v>163</v>
      </c>
      <c r="K381" s="2">
        <v>2</v>
      </c>
      <c r="L381" s="2" t="s">
        <v>918</v>
      </c>
      <c r="Q381" s="4" t="str">
        <f ca="1">IFERROR(__xludf.DUMMYFUNCTION("TRIM(SUBSTITUTE(SUBSTITUTE(D381, index(SPLIT(D381, "" ""), COLUMNS(SPLIT(D381, "" ""))), """"), index(SPLIT(D381, "" ""), COLUMNS(SPLIT(D381, "" ""))-1), """"))"),"Андрівська")</f>
        <v>Андрівська</v>
      </c>
    </row>
    <row r="382" spans="1:17" ht="38">
      <c r="A382" s="2"/>
      <c r="B382" s="2" t="s">
        <v>915</v>
      </c>
      <c r="C382" s="2" t="s">
        <v>916</v>
      </c>
      <c r="D382" s="2" t="s">
        <v>507</v>
      </c>
      <c r="E382" s="2"/>
      <c r="F382" s="2" t="s">
        <v>32</v>
      </c>
      <c r="G382" s="2">
        <v>14</v>
      </c>
      <c r="H382" s="2">
        <v>498.7</v>
      </c>
      <c r="I382" s="2">
        <v>7001</v>
      </c>
      <c r="J382" s="2" t="s">
        <v>919</v>
      </c>
      <c r="K382" s="2">
        <v>3</v>
      </c>
      <c r="L382" s="2" t="s">
        <v>920</v>
      </c>
      <c r="Q382" s="4" t="str">
        <f ca="1">IFERROR(__xludf.DUMMYFUNCTION("TRIM(SUBSTITUTE(SUBSTITUTE(D382, index(SPLIT(D382, "" ""), COLUMNS(SPLIT(D382, "" ""))), """"), index(SPLIT(D382, "" ""), COLUMNS(SPLIT(D382, "" ""))-1), """"))"),"Андріївська")</f>
        <v>Андріївська</v>
      </c>
    </row>
    <row r="383" spans="1:17" ht="38">
      <c r="A383" s="2"/>
      <c r="B383" s="2" t="s">
        <v>915</v>
      </c>
      <c r="C383" s="2" t="s">
        <v>916</v>
      </c>
      <c r="D383" s="2" t="s">
        <v>921</v>
      </c>
      <c r="E383" s="2"/>
      <c r="F383" s="2" t="s">
        <v>20</v>
      </c>
      <c r="G383" s="2">
        <v>5</v>
      </c>
      <c r="H383" s="2">
        <v>252.2</v>
      </c>
      <c r="I383" s="2">
        <v>112783</v>
      </c>
      <c r="J383" s="2" t="s">
        <v>922</v>
      </c>
      <c r="K383" s="2">
        <v>3</v>
      </c>
      <c r="L383" s="2" t="s">
        <v>923</v>
      </c>
      <c r="Q383" s="4" t="str">
        <f ca="1">IFERROR(__xludf.DUMMYFUNCTION("TRIM(SUBSTITUTE(SUBSTITUTE(D383, index(SPLIT(D383, "" ""), COLUMNS(SPLIT(D383, "" ""))), """"), index(SPLIT(D383, "" ""), COLUMNS(SPLIT(D383, "" ""))-1), """"))"),"Бердянська")</f>
        <v>Бердянська</v>
      </c>
    </row>
    <row r="384" spans="1:17" ht="38">
      <c r="A384" s="2"/>
      <c r="B384" s="2" t="s">
        <v>915</v>
      </c>
      <c r="C384" s="2" t="s">
        <v>916</v>
      </c>
      <c r="D384" s="2" t="s">
        <v>924</v>
      </c>
      <c r="E384" s="2"/>
      <c r="F384" s="2" t="s">
        <v>28</v>
      </c>
      <c r="G384" s="2">
        <v>11</v>
      </c>
      <c r="H384" s="2">
        <v>498.7</v>
      </c>
      <c r="I384" s="2">
        <v>4468</v>
      </c>
      <c r="J384" s="2" t="s">
        <v>143</v>
      </c>
      <c r="K384" s="2">
        <v>3</v>
      </c>
      <c r="L384" s="2" t="s">
        <v>925</v>
      </c>
      <c r="Q384" s="4" t="str">
        <f ca="1">IFERROR(__xludf.DUMMYFUNCTION("TRIM(SUBSTITUTE(SUBSTITUTE(D384, index(SPLIT(D384, "" ""), COLUMNS(SPLIT(D384, "" ""))), """"), index(SPLIT(D384, "" ""), COLUMNS(SPLIT(D384, "" ""))-1), """"))"),"Берестівська")</f>
        <v>Берестівська</v>
      </c>
    </row>
    <row r="385" spans="1:17" ht="38">
      <c r="A385" s="2"/>
      <c r="B385" s="2" t="s">
        <v>915</v>
      </c>
      <c r="C385" s="2" t="s">
        <v>916</v>
      </c>
      <c r="D385" s="2" t="s">
        <v>926</v>
      </c>
      <c r="E385" s="2"/>
      <c r="F385" s="2" t="s">
        <v>28</v>
      </c>
      <c r="G385" s="2">
        <v>11</v>
      </c>
      <c r="H385" s="2">
        <v>418.6</v>
      </c>
      <c r="I385" s="2">
        <v>5600</v>
      </c>
      <c r="J385" s="2" t="s">
        <v>927</v>
      </c>
      <c r="K385" s="2">
        <v>6</v>
      </c>
      <c r="L385" s="2" t="s">
        <v>928</v>
      </c>
      <c r="Q385" s="4" t="str">
        <f ca="1">IFERROR(__xludf.DUMMYFUNCTION("TRIM(SUBSTITUTE(SUBSTITUTE(D385, index(SPLIT(D385, "" ""), COLUMNS(SPLIT(D385, "" ""))), """"), index(SPLIT(D385, "" ""), COLUMNS(SPLIT(D385, "" ""))-1), """"))"),"Коларівська")</f>
        <v>Коларівська</v>
      </c>
    </row>
    <row r="386" spans="1:17" ht="50.5">
      <c r="A386" s="2"/>
      <c r="B386" s="2" t="s">
        <v>915</v>
      </c>
      <c r="C386" s="2" t="s">
        <v>916</v>
      </c>
      <c r="D386" s="2" t="s">
        <v>929</v>
      </c>
      <c r="E386" s="2"/>
      <c r="F386" s="2" t="s">
        <v>28</v>
      </c>
      <c r="G386" s="2">
        <v>7</v>
      </c>
      <c r="H386" s="2">
        <v>419.6</v>
      </c>
      <c r="I386" s="2">
        <v>7365</v>
      </c>
      <c r="J386" s="2" t="s">
        <v>33</v>
      </c>
      <c r="K386" s="2">
        <v>3</v>
      </c>
      <c r="L386" s="2" t="s">
        <v>930</v>
      </c>
      <c r="Q386" s="4" t="str">
        <f ca="1">IFERROR(__xludf.DUMMYFUNCTION("TRIM(SUBSTITUTE(SUBSTITUTE(D386, index(SPLIT(D386, "" ""), COLUMNS(SPLIT(D386, "" ""))), """"), index(SPLIT(D386, "" ""), COLUMNS(SPLIT(D386, "" ""))-1), """"))"),"Осипенківська")</f>
        <v>Осипенківська</v>
      </c>
    </row>
    <row r="387" spans="1:17" ht="50.5">
      <c r="A387" s="2"/>
      <c r="B387" s="2" t="s">
        <v>915</v>
      </c>
      <c r="C387" s="2" t="s">
        <v>916</v>
      </c>
      <c r="D387" s="2" t="s">
        <v>931</v>
      </c>
      <c r="E387" s="2"/>
      <c r="F387" s="2" t="s">
        <v>20</v>
      </c>
      <c r="G387" s="2">
        <v>20</v>
      </c>
      <c r="H387" s="2">
        <v>985.7</v>
      </c>
      <c r="I387" s="2">
        <v>22797</v>
      </c>
      <c r="J387" s="2" t="s">
        <v>33</v>
      </c>
      <c r="K387" s="2">
        <v>10</v>
      </c>
      <c r="L387" s="2" t="s">
        <v>932</v>
      </c>
      <c r="Q387" s="4" t="str">
        <f ca="1">IFERROR(__xludf.DUMMYFUNCTION("TRIM(SUBSTITUTE(SUBSTITUTE(D387, index(SPLIT(D387, "" ""), COLUMNS(SPLIT(D387, "" ""))), """"), index(SPLIT(D387, "" ""), COLUMNS(SPLIT(D387, "" ""))-1), """"))"),"Приморська")</f>
        <v>Приморська</v>
      </c>
    </row>
    <row r="388" spans="1:17" ht="63">
      <c r="A388" s="2"/>
      <c r="B388" s="2" t="s">
        <v>915</v>
      </c>
      <c r="C388" s="2" t="s">
        <v>916</v>
      </c>
      <c r="D388" s="2" t="s">
        <v>933</v>
      </c>
      <c r="E388" s="2"/>
      <c r="F388" s="2" t="s">
        <v>32</v>
      </c>
      <c r="G388" s="2">
        <v>41</v>
      </c>
      <c r="H388" s="2">
        <v>1201.2</v>
      </c>
      <c r="I388" s="2">
        <v>15847</v>
      </c>
      <c r="J388" s="2" t="s">
        <v>63</v>
      </c>
      <c r="K388" s="2">
        <v>12</v>
      </c>
      <c r="L388" s="2" t="s">
        <v>934</v>
      </c>
      <c r="Q388" s="4" t="str">
        <f ca="1">IFERROR(__xludf.DUMMYFUNCTION("TRIM(SUBSTITUTE(SUBSTITUTE(D388, index(SPLIT(D388, "" ""), COLUMNS(SPLIT(D388, "" ""))), """"), index(SPLIT(D388, "" ""), COLUMNS(SPLIT(D388, "" ""))-1), """"))"),"Чернігівська")</f>
        <v>Чернігівська</v>
      </c>
    </row>
    <row r="389" spans="1:17" ht="50.5">
      <c r="A389" s="2"/>
      <c r="B389" s="2" t="s">
        <v>915</v>
      </c>
      <c r="C389" s="2" t="s">
        <v>935</v>
      </c>
      <c r="D389" s="2" t="s">
        <v>936</v>
      </c>
      <c r="E389" s="2"/>
      <c r="F389" s="2" t="s">
        <v>28</v>
      </c>
      <c r="G389" s="2">
        <v>7</v>
      </c>
      <c r="H389" s="2">
        <v>299.7</v>
      </c>
      <c r="I389" s="2">
        <v>6195</v>
      </c>
      <c r="J389" s="2" t="s">
        <v>178</v>
      </c>
      <c r="K389" s="2">
        <v>3</v>
      </c>
      <c r="L389" s="2" t="s">
        <v>937</v>
      </c>
      <c r="Q389" s="4" t="str">
        <f ca="1">IFERROR(__xludf.DUMMYFUNCTION("TRIM(SUBSTITUTE(SUBSTITUTE(D389, index(SPLIT(D389, "" ""), COLUMNS(SPLIT(D389, "" ""))), """"), index(SPLIT(D389, "" ""), COLUMNS(SPLIT(D389, "" ""))-1), """"))"),"Благовіщенська")</f>
        <v>Благовіщенська</v>
      </c>
    </row>
    <row r="390" spans="1:17" ht="38">
      <c r="A390" s="2"/>
      <c r="B390" s="2" t="s">
        <v>915</v>
      </c>
      <c r="C390" s="2" t="s">
        <v>935</v>
      </c>
      <c r="D390" s="2" t="s">
        <v>938</v>
      </c>
      <c r="E390" s="2"/>
      <c r="F390" s="2" t="s">
        <v>20</v>
      </c>
      <c r="G390" s="2">
        <v>18</v>
      </c>
      <c r="H390" s="2">
        <v>721.5</v>
      </c>
      <c r="I390" s="2">
        <v>20922</v>
      </c>
      <c r="J390" s="2" t="s">
        <v>939</v>
      </c>
      <c r="K390" s="2">
        <v>8</v>
      </c>
      <c r="L390" s="2" t="s">
        <v>940</v>
      </c>
      <c r="Q390" s="4" t="str">
        <f ca="1">IFERROR(__xludf.DUMMYFUNCTION("TRIM(SUBSTITUTE(SUBSTITUTE(D390, index(SPLIT(D390, "" ""), COLUMNS(SPLIT(D390, "" ""))), """"), index(SPLIT(D390, "" ""), COLUMNS(SPLIT(D390, "" ""))-1), """"))"),"Василівська")</f>
        <v>Василівська</v>
      </c>
    </row>
    <row r="391" spans="1:17" ht="50.5">
      <c r="A391" s="2"/>
      <c r="B391" s="2" t="s">
        <v>915</v>
      </c>
      <c r="C391" s="2" t="s">
        <v>935</v>
      </c>
      <c r="D391" s="2" t="s">
        <v>941</v>
      </c>
      <c r="E391" s="2"/>
      <c r="F391" s="2" t="s">
        <v>28</v>
      </c>
      <c r="G391" s="2">
        <v>8</v>
      </c>
      <c r="H391" s="2">
        <v>470.9</v>
      </c>
      <c r="I391" s="2">
        <v>7548</v>
      </c>
      <c r="J391" s="2" t="s">
        <v>63</v>
      </c>
      <c r="K391" s="2">
        <v>5</v>
      </c>
      <c r="L391" s="2" t="s">
        <v>942</v>
      </c>
      <c r="Q391" s="4" t="str">
        <f ca="1">IFERROR(__xludf.DUMMYFUNCTION("TRIM(SUBSTITUTE(SUBSTITUTE(D391, index(SPLIT(D391, "" ""), COLUMNS(SPLIT(D391, "" ""))), """"), index(SPLIT(D391, "" ""), COLUMNS(SPLIT(D391, "" ""))-1), """"))"),"Великобілозерська")</f>
        <v>Великобілозерська</v>
      </c>
    </row>
    <row r="392" spans="1:17" ht="38">
      <c r="A392" s="2"/>
      <c r="B392" s="2" t="s">
        <v>915</v>
      </c>
      <c r="C392" s="2" t="s">
        <v>935</v>
      </c>
      <c r="D392" s="2" t="s">
        <v>943</v>
      </c>
      <c r="E392" s="2"/>
      <c r="F392" s="2" t="s">
        <v>28</v>
      </c>
      <c r="G392" s="2">
        <v>8</v>
      </c>
      <c r="H392" s="2">
        <v>365.2</v>
      </c>
      <c r="I392" s="2">
        <v>11722</v>
      </c>
      <c r="J392" s="2" t="s">
        <v>63</v>
      </c>
      <c r="K392" s="2">
        <v>4</v>
      </c>
      <c r="L392" s="2" t="s">
        <v>944</v>
      </c>
      <c r="Q392" s="4" t="str">
        <f ca="1">IFERROR(__xludf.DUMMYFUNCTION("TRIM(SUBSTITUTE(SUBSTITUTE(D392, index(SPLIT(D392, "" ""), COLUMNS(SPLIT(D392, "" ""))), """"), index(SPLIT(D392, "" ""), COLUMNS(SPLIT(D392, "" ""))-1), """"))"),"Водянська")</f>
        <v>Водянська</v>
      </c>
    </row>
    <row r="393" spans="1:17" ht="50.5">
      <c r="A393" s="2"/>
      <c r="B393" s="2" t="s">
        <v>915</v>
      </c>
      <c r="C393" s="2" t="s">
        <v>935</v>
      </c>
      <c r="D393" s="2" t="s">
        <v>945</v>
      </c>
      <c r="E393" s="2"/>
      <c r="F393" s="2" t="s">
        <v>20</v>
      </c>
      <c r="G393" s="2">
        <v>3</v>
      </c>
      <c r="H393" s="2">
        <v>47.6</v>
      </c>
      <c r="I393" s="2">
        <v>18468</v>
      </c>
      <c r="J393" s="2" t="s">
        <v>946</v>
      </c>
      <c r="K393" s="2">
        <v>3</v>
      </c>
      <c r="L393" s="2" t="s">
        <v>947</v>
      </c>
      <c r="Q393" s="4" t="str">
        <f ca="1">IFERROR(__xludf.DUMMYFUNCTION("TRIM(SUBSTITUTE(SUBSTITUTE(D393, index(SPLIT(D393, "" ""), COLUMNS(SPLIT(D393, "" ""))), """"), index(SPLIT(D393, "" ""), COLUMNS(SPLIT(D393, "" ""))-1), """"))"),"Дніпрорудненська")</f>
        <v>Дніпрорудненська</v>
      </c>
    </row>
    <row r="394" spans="1:17" ht="50.5">
      <c r="A394" s="2"/>
      <c r="B394" s="2" t="s">
        <v>915</v>
      </c>
      <c r="C394" s="2" t="s">
        <v>935</v>
      </c>
      <c r="D394" s="2" t="s">
        <v>948</v>
      </c>
      <c r="E394" s="2"/>
      <c r="F394" s="2" t="s">
        <v>20</v>
      </c>
      <c r="G394" s="2">
        <v>1</v>
      </c>
      <c r="H394" s="2">
        <v>63.4</v>
      </c>
      <c r="I394" s="2">
        <v>52887</v>
      </c>
      <c r="J394" s="2" t="s">
        <v>949</v>
      </c>
      <c r="K394" s="2">
        <v>1</v>
      </c>
      <c r="L394" s="2" t="s">
        <v>950</v>
      </c>
      <c r="Q394" s="4" t="str">
        <f ca="1">IFERROR(__xludf.DUMMYFUNCTION("TRIM(SUBSTITUTE(SUBSTITUTE(D394, index(SPLIT(D394, "" ""), COLUMNS(SPLIT(D394, "" ""))), """"), index(SPLIT(D394, "" ""), COLUMNS(SPLIT(D394, "" ""))-1), """"))"),"Енергодарська")</f>
        <v>Енергодарська</v>
      </c>
    </row>
    <row r="395" spans="1:17" ht="50.5">
      <c r="A395" s="2"/>
      <c r="B395" s="2" t="s">
        <v>915</v>
      </c>
      <c r="C395" s="2" t="s">
        <v>935</v>
      </c>
      <c r="D395" s="2" t="s">
        <v>951</v>
      </c>
      <c r="E395" s="2"/>
      <c r="F395" s="2" t="s">
        <v>20</v>
      </c>
      <c r="G395" s="2">
        <v>3</v>
      </c>
      <c r="H395" s="2">
        <v>435.9</v>
      </c>
      <c r="I395" s="2">
        <v>19967</v>
      </c>
      <c r="J395" s="2" t="s">
        <v>63</v>
      </c>
      <c r="K395" s="2">
        <v>2</v>
      </c>
      <c r="L395" s="2" t="s">
        <v>952</v>
      </c>
      <c r="Q395" s="4" t="str">
        <f ca="1">IFERROR(__xludf.DUMMYFUNCTION("TRIM(SUBSTITUTE(SUBSTITUTE(D395, index(SPLIT(D395, "" ""), COLUMNS(SPLIT(D395, "" ""))), """"), index(SPLIT(D395, "" ""), COLUMNS(SPLIT(D395, "" ""))-1), """"))"),"Кам'янсько-Дніпровська")</f>
        <v>Кам'янсько-Дніпровська</v>
      </c>
    </row>
    <row r="396" spans="1:17" ht="50.5">
      <c r="A396" s="2"/>
      <c r="B396" s="2" t="s">
        <v>915</v>
      </c>
      <c r="C396" s="2" t="s">
        <v>935</v>
      </c>
      <c r="D396" s="2" t="s">
        <v>953</v>
      </c>
      <c r="E396" s="2"/>
      <c r="F396" s="2" t="s">
        <v>28</v>
      </c>
      <c r="G396" s="2">
        <v>8</v>
      </c>
      <c r="H396" s="2">
        <v>623.4</v>
      </c>
      <c r="I396" s="2">
        <v>12426</v>
      </c>
      <c r="J396" s="2" t="s">
        <v>954</v>
      </c>
      <c r="K396" s="2">
        <v>3</v>
      </c>
      <c r="L396" s="2" t="s">
        <v>955</v>
      </c>
      <c r="Q396" s="4" t="str">
        <f ca="1">IFERROR(__xludf.DUMMYFUNCTION("TRIM(SUBSTITUTE(SUBSTITUTE(D396, index(SPLIT(D396, "" ""), COLUMNS(SPLIT(D396, "" ""))), """"), index(SPLIT(D396, "" ""), COLUMNS(SPLIT(D396, "" ""))-1), """"))"),"Малобілозерська")</f>
        <v>Малобілозерська</v>
      </c>
    </row>
    <row r="397" spans="1:17" ht="38">
      <c r="A397" s="2"/>
      <c r="B397" s="2" t="s">
        <v>915</v>
      </c>
      <c r="C397" s="2" t="s">
        <v>935</v>
      </c>
      <c r="D397" s="2" t="s">
        <v>956</v>
      </c>
      <c r="E397" s="2"/>
      <c r="F397" s="2" t="s">
        <v>32</v>
      </c>
      <c r="G397" s="2">
        <v>12</v>
      </c>
      <c r="H397" s="2">
        <v>612.29999999999995</v>
      </c>
      <c r="I397" s="2">
        <v>19280</v>
      </c>
      <c r="J397" s="2" t="s">
        <v>93</v>
      </c>
      <c r="K397" s="2">
        <v>4</v>
      </c>
      <c r="L397" s="2" t="s">
        <v>957</v>
      </c>
      <c r="Q397" s="4" t="str">
        <f ca="1">IFERROR(__xludf.DUMMYFUNCTION("TRIM(SUBSTITUTE(SUBSTITUTE(D397, index(SPLIT(D397, "" ""), COLUMNS(SPLIT(D397, "" ""))), """"), index(SPLIT(D397, "" ""), COLUMNS(SPLIT(D397, "" ""))-1), """"))"),"Михайлівська")</f>
        <v>Михайлівська</v>
      </c>
    </row>
    <row r="398" spans="1:17" ht="38">
      <c r="A398" s="2"/>
      <c r="B398" s="2" t="s">
        <v>915</v>
      </c>
      <c r="C398" s="2" t="s">
        <v>935</v>
      </c>
      <c r="D398" s="2" t="s">
        <v>958</v>
      </c>
      <c r="E398" s="2"/>
      <c r="F398" s="2" t="s">
        <v>28</v>
      </c>
      <c r="G398" s="2">
        <v>32</v>
      </c>
      <c r="H398" s="2">
        <v>418.3</v>
      </c>
      <c r="I398" s="2">
        <v>6558</v>
      </c>
      <c r="J398" s="2" t="s">
        <v>93</v>
      </c>
      <c r="K398" s="2">
        <v>5</v>
      </c>
      <c r="L398" s="2" t="s">
        <v>959</v>
      </c>
      <c r="Q398" s="4" t="str">
        <f ca="1">IFERROR(__xludf.DUMMYFUNCTION("TRIM(SUBSTITUTE(SUBSTITUTE(D398, index(SPLIT(D398, "" ""), COLUMNS(SPLIT(D398, "" ""))), """"), index(SPLIT(D398, "" ""), COLUMNS(SPLIT(D398, "" ""))-1), """"))"),"Роздольська")</f>
        <v>Роздольська</v>
      </c>
    </row>
    <row r="399" spans="1:17" ht="50.5">
      <c r="A399" s="2"/>
      <c r="B399" s="2" t="s">
        <v>915</v>
      </c>
      <c r="C399" s="2" t="s">
        <v>935</v>
      </c>
      <c r="D399" s="2" t="s">
        <v>960</v>
      </c>
      <c r="E399" s="2"/>
      <c r="F399" s="2" t="s">
        <v>32</v>
      </c>
      <c r="G399" s="2">
        <v>9</v>
      </c>
      <c r="H399" s="2">
        <v>235.3</v>
      </c>
      <c r="I399" s="2">
        <v>8251</v>
      </c>
      <c r="J399" s="2" t="s">
        <v>961</v>
      </c>
      <c r="K399" s="2">
        <v>3</v>
      </c>
      <c r="L399" s="2" t="s">
        <v>962</v>
      </c>
      <c r="Q399" s="4" t="str">
        <f ca="1">IFERROR(__xludf.DUMMYFUNCTION("TRIM(SUBSTITUTE(SUBSTITUTE(D399, index(SPLIT(D399, "" ""), COLUMNS(SPLIT(D399, "" ""))), """"), index(SPLIT(D399, "" ""), COLUMNS(SPLIT(D399, "" ""))-1), """"))"),"Степногірська")</f>
        <v>Степногірська</v>
      </c>
    </row>
    <row r="400" spans="1:17" ht="50.5">
      <c r="A400" s="2"/>
      <c r="B400" s="2" t="s">
        <v>915</v>
      </c>
      <c r="C400" s="2" t="s">
        <v>963</v>
      </c>
      <c r="D400" s="2" t="s">
        <v>964</v>
      </c>
      <c r="E400" s="2"/>
      <c r="F400" s="2" t="s">
        <v>28</v>
      </c>
      <c r="G400" s="2">
        <v>9</v>
      </c>
      <c r="H400" s="2">
        <v>357.2</v>
      </c>
      <c r="I400" s="2">
        <v>9775</v>
      </c>
      <c r="J400" s="2" t="s">
        <v>72</v>
      </c>
      <c r="K400" s="2">
        <v>3</v>
      </c>
      <c r="L400" s="2" t="s">
        <v>965</v>
      </c>
      <c r="Q400" s="4" t="str">
        <f ca="1">IFERROR(__xludf.DUMMYFUNCTION("TRIM(SUBSTITUTE(SUBSTITUTE(D400, index(SPLIT(D400, "" ""), COLUMNS(SPLIT(D400, "" ""))), """"), index(SPLIT(D400, "" ""), COLUMNS(SPLIT(D400, "" ""))-1), """"))"),"Біленьківська")</f>
        <v>Біленьківська</v>
      </c>
    </row>
    <row r="401" spans="1:17" ht="38">
      <c r="A401" s="2"/>
      <c r="B401" s="2" t="s">
        <v>915</v>
      </c>
      <c r="C401" s="2" t="s">
        <v>963</v>
      </c>
      <c r="D401" s="2" t="s">
        <v>966</v>
      </c>
      <c r="E401" s="2"/>
      <c r="F401" s="2" t="s">
        <v>20</v>
      </c>
      <c r="G401" s="2">
        <v>16</v>
      </c>
      <c r="H401" s="2">
        <v>158.4</v>
      </c>
      <c r="I401" s="2">
        <v>16822</v>
      </c>
      <c r="J401" s="2" t="s">
        <v>967</v>
      </c>
      <c r="K401" s="2">
        <v>3</v>
      </c>
      <c r="L401" s="2" t="s">
        <v>968</v>
      </c>
      <c r="Q401" s="4" t="str">
        <f ca="1">IFERROR(__xludf.DUMMYFUNCTION("TRIM(SUBSTITUTE(SUBSTITUTE(D401, index(SPLIT(D401, "" ""), COLUMNS(SPLIT(D401, "" ""))), """"), index(SPLIT(D401, "" ""), COLUMNS(SPLIT(D401, "" ""))-1), """"))"),"Вільнянська")</f>
        <v>Вільнянська</v>
      </c>
    </row>
    <row r="402" spans="1:17" ht="38">
      <c r="A402" s="2"/>
      <c r="B402" s="2" t="s">
        <v>915</v>
      </c>
      <c r="C402" s="2" t="s">
        <v>963</v>
      </c>
      <c r="D402" s="2" t="s">
        <v>969</v>
      </c>
      <c r="E402" s="2"/>
      <c r="F402" s="2" t="s">
        <v>28</v>
      </c>
      <c r="G402" s="2">
        <v>9</v>
      </c>
      <c r="H402" s="2">
        <v>170.1</v>
      </c>
      <c r="I402" s="2">
        <v>5696</v>
      </c>
      <c r="J402" s="2" t="s">
        <v>21</v>
      </c>
      <c r="K402" s="2">
        <v>2</v>
      </c>
      <c r="L402" s="2" t="s">
        <v>970</v>
      </c>
      <c r="Q402" s="4" t="str">
        <f ca="1">IFERROR(__xludf.DUMMYFUNCTION("TRIM(SUBSTITUTE(SUBSTITUTE(D402, index(SPLIT(D402, "" ""), COLUMNS(SPLIT(D402, "" ""))), """"), index(SPLIT(D402, "" ""), COLUMNS(SPLIT(D402, "" ""))-1), """"))"),"Долинська")</f>
        <v>Долинська</v>
      </c>
    </row>
    <row r="403" spans="1:17" ht="38">
      <c r="A403" s="2"/>
      <c r="B403" s="2" t="s">
        <v>915</v>
      </c>
      <c r="C403" s="2" t="s">
        <v>963</v>
      </c>
      <c r="D403" s="2" t="s">
        <v>971</v>
      </c>
      <c r="E403" s="2"/>
      <c r="F403" s="2" t="s">
        <v>20</v>
      </c>
      <c r="G403" s="2">
        <v>1</v>
      </c>
      <c r="H403" s="2">
        <v>311.7</v>
      </c>
      <c r="I403" s="2">
        <v>722713</v>
      </c>
      <c r="J403" s="2" t="s">
        <v>972</v>
      </c>
      <c r="K403" s="2">
        <v>3</v>
      </c>
      <c r="L403" s="2" t="s">
        <v>973</v>
      </c>
      <c r="Q403" s="4" t="str">
        <f ca="1">IFERROR(__xludf.DUMMYFUNCTION("TRIM(SUBSTITUTE(SUBSTITUTE(D403, index(SPLIT(D403, "" ""), COLUMNS(SPLIT(D403, "" ""))), """"), index(SPLIT(D403, "" ""), COLUMNS(SPLIT(D403, "" ""))-1), """"))"),"Запорізька")</f>
        <v>Запорізька</v>
      </c>
    </row>
    <row r="404" spans="1:17" ht="50.5">
      <c r="A404" s="2"/>
      <c r="B404" s="2" t="s">
        <v>915</v>
      </c>
      <c r="C404" s="2" t="s">
        <v>963</v>
      </c>
      <c r="D404" s="2" t="s">
        <v>974</v>
      </c>
      <c r="E404" s="2"/>
      <c r="F404" s="2" t="s">
        <v>32</v>
      </c>
      <c r="G404" s="2">
        <v>30</v>
      </c>
      <c r="H404" s="2">
        <v>531</v>
      </c>
      <c r="I404" s="2">
        <v>12514</v>
      </c>
      <c r="J404" s="2" t="s">
        <v>33</v>
      </c>
      <c r="K404" s="2">
        <v>8</v>
      </c>
      <c r="L404" s="2" t="s">
        <v>975</v>
      </c>
      <c r="Q404" s="4" t="str">
        <f ca="1">IFERROR(__xludf.DUMMYFUNCTION("TRIM(SUBSTITUTE(SUBSTITUTE(D404, index(SPLIT(D404, "" ""), COLUMNS(SPLIT(D404, "" ""))), """"), index(SPLIT(D404, "" ""), COLUMNS(SPLIT(D404, "" ""))-1), """"))"),"Комишуваська")</f>
        <v>Комишуваська</v>
      </c>
    </row>
    <row r="405" spans="1:17" ht="38">
      <c r="A405" s="2"/>
      <c r="B405" s="2" t="s">
        <v>915</v>
      </c>
      <c r="C405" s="2" t="s">
        <v>963</v>
      </c>
      <c r="D405" s="2" t="s">
        <v>976</v>
      </c>
      <c r="E405" s="2"/>
      <c r="F405" s="2" t="s">
        <v>32</v>
      </c>
      <c r="G405" s="2">
        <v>3</v>
      </c>
      <c r="H405" s="2">
        <v>216.2</v>
      </c>
      <c r="I405" s="2">
        <v>17120</v>
      </c>
      <c r="J405" s="2" t="s">
        <v>977</v>
      </c>
      <c r="K405" s="2">
        <v>3</v>
      </c>
      <c r="L405" s="2" t="s">
        <v>978</v>
      </c>
      <c r="Q405" s="4" t="str">
        <f ca="1">IFERROR(__xludf.DUMMYFUNCTION("TRIM(SUBSTITUTE(SUBSTITUTE(D405, index(SPLIT(D405, "" ""), COLUMNS(SPLIT(D405, "" ""))), """"), index(SPLIT(D405, "" ""), COLUMNS(SPLIT(D405, "" ""))-1), """"))"),"Кушугумська")</f>
        <v>Кушугумська</v>
      </c>
    </row>
    <row r="406" spans="1:17" ht="38">
      <c r="A406" s="2"/>
      <c r="B406" s="2" t="s">
        <v>915</v>
      </c>
      <c r="C406" s="2" t="s">
        <v>963</v>
      </c>
      <c r="D406" s="2" t="s">
        <v>979</v>
      </c>
      <c r="E406" s="2"/>
      <c r="F406" s="2" t="s">
        <v>28</v>
      </c>
      <c r="G406" s="2">
        <v>12</v>
      </c>
      <c r="H406" s="2">
        <v>153.6</v>
      </c>
      <c r="I406" s="2">
        <v>6872</v>
      </c>
      <c r="J406" s="2" t="s">
        <v>980</v>
      </c>
      <c r="K406" s="2">
        <v>4</v>
      </c>
      <c r="L406" s="2" t="s">
        <v>981</v>
      </c>
      <c r="Q406" s="4" t="str">
        <f ca="1">IFERROR(__xludf.DUMMYFUNCTION("TRIM(SUBSTITUTE(SUBSTITUTE(D406, index(SPLIT(D406, "" ""), COLUMNS(SPLIT(D406, "" ""))), """"), index(SPLIT(D406, "" ""), COLUMNS(SPLIT(D406, "" ""))-1), """"))"),"Матвіївська")</f>
        <v>Матвіївська</v>
      </c>
    </row>
    <row r="407" spans="1:17" ht="50.5">
      <c r="A407" s="2"/>
      <c r="B407" s="2" t="s">
        <v>915</v>
      </c>
      <c r="C407" s="2" t="s">
        <v>963</v>
      </c>
      <c r="D407" s="2" t="s">
        <v>982</v>
      </c>
      <c r="E407" s="2"/>
      <c r="F407" s="2" t="s">
        <v>28</v>
      </c>
      <c r="G407" s="2">
        <v>26</v>
      </c>
      <c r="H407" s="2">
        <v>368</v>
      </c>
      <c r="I407" s="2">
        <v>5447</v>
      </c>
      <c r="J407" s="2" t="s">
        <v>983</v>
      </c>
      <c r="K407" s="2">
        <v>5</v>
      </c>
      <c r="L407" s="2" t="s">
        <v>984</v>
      </c>
      <c r="Q407" s="4" t="str">
        <f ca="1">IFERROR(__xludf.DUMMYFUNCTION("TRIM(SUBSTITUTE(SUBSTITUTE(D407, index(SPLIT(D407, "" ""), COLUMNS(SPLIT(D407, "" ""))), """"), index(SPLIT(D407, "" ""), COLUMNS(SPLIT(D407, "" ""))-1), """"))"),"Михайло-Лукашівська")</f>
        <v>Михайло-Лукашівська</v>
      </c>
    </row>
    <row r="408" spans="1:17" ht="38">
      <c r="A408" s="2"/>
      <c r="B408" s="2" t="s">
        <v>915</v>
      </c>
      <c r="C408" s="2" t="s">
        <v>963</v>
      </c>
      <c r="D408" s="2" t="s">
        <v>956</v>
      </c>
      <c r="E408" s="2"/>
      <c r="F408" s="2" t="s">
        <v>28</v>
      </c>
      <c r="G408" s="2">
        <v>15</v>
      </c>
      <c r="H408" s="2">
        <v>164.1</v>
      </c>
      <c r="I408" s="2">
        <v>6408</v>
      </c>
      <c r="J408" s="2" t="s">
        <v>93</v>
      </c>
      <c r="K408" s="2">
        <v>4</v>
      </c>
      <c r="L408" s="2" t="s">
        <v>957</v>
      </c>
      <c r="Q408" s="4" t="str">
        <f ca="1">IFERROR(__xludf.DUMMYFUNCTION("TRIM(SUBSTITUTE(SUBSTITUTE(D408, index(SPLIT(D408, "" ""), COLUMNS(SPLIT(D408, "" ""))), """"), index(SPLIT(D408, "" ""), COLUMNS(SPLIT(D408, "" ""))-1), """"))"),"Михайлівська")</f>
        <v>Михайлівська</v>
      </c>
    </row>
    <row r="409" spans="1:17" ht="50.5">
      <c r="A409" s="2"/>
      <c r="B409" s="2" t="s">
        <v>915</v>
      </c>
      <c r="C409" s="2" t="s">
        <v>963</v>
      </c>
      <c r="D409" s="2" t="s">
        <v>985</v>
      </c>
      <c r="E409" s="2"/>
      <c r="F409" s="2" t="s">
        <v>32</v>
      </c>
      <c r="G409" s="2">
        <v>54</v>
      </c>
      <c r="H409" s="2">
        <v>659.3</v>
      </c>
      <c r="I409" s="2">
        <v>11208</v>
      </c>
      <c r="J409" s="2" t="s">
        <v>986</v>
      </c>
      <c r="K409" s="2">
        <v>9</v>
      </c>
      <c r="L409" s="2" t="s">
        <v>987</v>
      </c>
      <c r="Q409" s="4" t="str">
        <f ca="1">IFERROR(__xludf.DUMMYFUNCTION("TRIM(SUBSTITUTE(SUBSTITUTE(D409, index(SPLIT(D409, "" ""), COLUMNS(SPLIT(D409, "" ""))), """"), index(SPLIT(D409, "" ""), COLUMNS(SPLIT(D409, "" ""))-1), """"))"),"Новомиколаївська")</f>
        <v>Новомиколаївська</v>
      </c>
    </row>
    <row r="410" spans="1:17" ht="50.5">
      <c r="A410" s="2"/>
      <c r="B410" s="2" t="s">
        <v>915</v>
      </c>
      <c r="C410" s="2" t="s">
        <v>963</v>
      </c>
      <c r="D410" s="2" t="s">
        <v>301</v>
      </c>
      <c r="E410" s="2"/>
      <c r="F410" s="2" t="s">
        <v>28</v>
      </c>
      <c r="G410" s="2">
        <v>7</v>
      </c>
      <c r="H410" s="2">
        <v>142.80000000000001</v>
      </c>
      <c r="I410" s="2">
        <v>4860</v>
      </c>
      <c r="J410" s="2" t="s">
        <v>46</v>
      </c>
      <c r="K410" s="2">
        <v>2</v>
      </c>
      <c r="L410" s="2" t="s">
        <v>988</v>
      </c>
      <c r="Q410" s="4" t="str">
        <f ca="1">IFERROR(__xludf.DUMMYFUNCTION("TRIM(SUBSTITUTE(SUBSTITUTE(D410, index(SPLIT(D410, "" ""), COLUMNS(SPLIT(D410, "" ""))), """"), index(SPLIT(D410, "" ""), COLUMNS(SPLIT(D410, "" ""))-1), """"))"),"Новоолександрівська")</f>
        <v>Новоолександрівська</v>
      </c>
    </row>
    <row r="411" spans="1:17" ht="38">
      <c r="A411" s="2"/>
      <c r="B411" s="2" t="s">
        <v>915</v>
      </c>
      <c r="C411" s="2" t="s">
        <v>963</v>
      </c>
      <c r="D411" s="2" t="s">
        <v>190</v>
      </c>
      <c r="E411" s="2"/>
      <c r="F411" s="2" t="s">
        <v>28</v>
      </c>
      <c r="G411" s="2">
        <v>21</v>
      </c>
      <c r="H411" s="2">
        <v>169.8</v>
      </c>
      <c r="I411" s="2">
        <v>4629</v>
      </c>
      <c r="J411" s="2" t="s">
        <v>63</v>
      </c>
      <c r="K411" s="2">
        <v>3</v>
      </c>
      <c r="L411" s="2" t="s">
        <v>989</v>
      </c>
      <c r="Q411" s="4" t="str">
        <f ca="1">IFERROR(__xludf.DUMMYFUNCTION("TRIM(SUBSTITUTE(SUBSTITUTE(D411, index(SPLIT(D411, "" ""), COLUMNS(SPLIT(D411, "" ""))), """"), index(SPLIT(D411, "" ""), COLUMNS(SPLIT(D411, "" ""))-1), """"))"),"Павлівська")</f>
        <v>Павлівська</v>
      </c>
    </row>
    <row r="412" spans="1:17" ht="50.5">
      <c r="A412" s="2"/>
      <c r="B412" s="2" t="s">
        <v>915</v>
      </c>
      <c r="C412" s="2" t="s">
        <v>963</v>
      </c>
      <c r="D412" s="2" t="s">
        <v>990</v>
      </c>
      <c r="E412" s="2"/>
      <c r="F412" s="2" t="s">
        <v>28</v>
      </c>
      <c r="G412" s="2">
        <v>18</v>
      </c>
      <c r="H412" s="2">
        <v>278.39999999999998</v>
      </c>
      <c r="I412" s="2">
        <v>4908</v>
      </c>
      <c r="J412" s="2" t="s">
        <v>39</v>
      </c>
      <c r="K412" s="2">
        <v>4</v>
      </c>
      <c r="L412" s="2" t="s">
        <v>991</v>
      </c>
      <c r="Q412" s="4" t="str">
        <f ca="1">IFERROR(__xludf.DUMMYFUNCTION("TRIM(SUBSTITUTE(SUBSTITUTE(D412, index(SPLIT(D412, "" ""), COLUMNS(SPLIT(D412, "" ""))), """"), index(SPLIT(D412, "" ""), COLUMNS(SPLIT(D412, "" ""))-1), """"))"),"Петро-Михайлівська")</f>
        <v>Петро-Михайлівська</v>
      </c>
    </row>
    <row r="413" spans="1:17" ht="38">
      <c r="A413" s="2"/>
      <c r="B413" s="2" t="s">
        <v>915</v>
      </c>
      <c r="C413" s="2" t="s">
        <v>963</v>
      </c>
      <c r="D413" s="2" t="s">
        <v>992</v>
      </c>
      <c r="E413" s="2"/>
      <c r="F413" s="2" t="s">
        <v>28</v>
      </c>
      <c r="G413" s="2">
        <v>8</v>
      </c>
      <c r="H413" s="2">
        <v>94.6</v>
      </c>
      <c r="I413" s="2">
        <v>5431</v>
      </c>
      <c r="J413" s="2" t="s">
        <v>993</v>
      </c>
      <c r="K413" s="2">
        <v>2</v>
      </c>
      <c r="L413" s="2" t="s">
        <v>994</v>
      </c>
      <c r="Q413" s="4" t="str">
        <f ca="1">IFERROR(__xludf.DUMMYFUNCTION("TRIM(SUBSTITUTE(SUBSTITUTE(D413, index(SPLIT(D413, "" ""), COLUMNS(SPLIT(D413, "" ""))), """"), index(SPLIT(D413, "" ""), COLUMNS(SPLIT(D413, "" ""))-1), """"))"),"Степненська")</f>
        <v>Степненська</v>
      </c>
    </row>
    <row r="414" spans="1:17" ht="38">
      <c r="A414" s="2"/>
      <c r="B414" s="2" t="s">
        <v>915</v>
      </c>
      <c r="C414" s="2" t="s">
        <v>963</v>
      </c>
      <c r="D414" s="2" t="s">
        <v>995</v>
      </c>
      <c r="E414" s="2"/>
      <c r="F414" s="2" t="s">
        <v>28</v>
      </c>
      <c r="G414" s="2">
        <v>3</v>
      </c>
      <c r="H414" s="2">
        <v>184.1</v>
      </c>
      <c r="I414" s="2">
        <v>4172</v>
      </c>
      <c r="J414" s="2" t="s">
        <v>72</v>
      </c>
      <c r="K414" s="2">
        <v>2</v>
      </c>
      <c r="L414" s="2" t="s">
        <v>996</v>
      </c>
      <c r="Q414" s="4" t="str">
        <f ca="1">IFERROR(__xludf.DUMMYFUNCTION("TRIM(SUBSTITUTE(SUBSTITUTE(D414, index(SPLIT(D414, "" ""), COLUMNS(SPLIT(D414, "" ""))), """"), index(SPLIT(D414, "" ""), COLUMNS(SPLIT(D414, "" ""))-1), """"))"),"Таврійська")</f>
        <v>Таврійська</v>
      </c>
    </row>
    <row r="415" spans="1:17" ht="50.5">
      <c r="A415" s="2"/>
      <c r="B415" s="2" t="s">
        <v>915</v>
      </c>
      <c r="C415" s="2" t="s">
        <v>963</v>
      </c>
      <c r="D415" s="2" t="s">
        <v>997</v>
      </c>
      <c r="E415" s="2"/>
      <c r="F415" s="2" t="s">
        <v>32</v>
      </c>
      <c r="G415" s="2">
        <v>16</v>
      </c>
      <c r="H415" s="2">
        <v>257</v>
      </c>
      <c r="I415" s="2">
        <v>3573</v>
      </c>
      <c r="J415" s="2" t="s">
        <v>163</v>
      </c>
      <c r="K415" s="2">
        <v>5</v>
      </c>
      <c r="L415" s="2" t="s">
        <v>998</v>
      </c>
      <c r="Q415" s="4" t="str">
        <f ca="1">IFERROR(__xludf.DUMMYFUNCTION("TRIM(SUBSTITUTE(SUBSTITUTE(D415, index(SPLIT(D415, "" ""), COLUMNS(SPLIT(D415, "" ""))), """"), index(SPLIT(D415, "" ""), COLUMNS(SPLIT(D415, "" ""))-1), """"))"),"Тернуватська")</f>
        <v>Тернуватська</v>
      </c>
    </row>
    <row r="416" spans="1:17" ht="38">
      <c r="A416" s="2"/>
      <c r="B416" s="2" t="s">
        <v>915</v>
      </c>
      <c r="C416" s="2" t="s">
        <v>963</v>
      </c>
      <c r="D416" s="2" t="s">
        <v>377</v>
      </c>
      <c r="E416" s="2"/>
      <c r="F416" s="2" t="s">
        <v>28</v>
      </c>
      <c r="G416" s="2">
        <v>35</v>
      </c>
      <c r="H416" s="2">
        <v>477.4</v>
      </c>
      <c r="I416" s="2">
        <v>13149</v>
      </c>
      <c r="J416" s="2" t="s">
        <v>63</v>
      </c>
      <c r="K416" s="2">
        <v>7</v>
      </c>
      <c r="L416" s="2" t="s">
        <v>999</v>
      </c>
      <c r="Q416" s="4" t="str">
        <f ca="1">IFERROR(__xludf.DUMMYFUNCTION("TRIM(SUBSTITUTE(SUBSTITUTE(D416, index(SPLIT(D416, "" ""), COLUMNS(SPLIT(D416, "" ""))), """"), index(SPLIT(D416, "" ""), COLUMNS(SPLIT(D416, "" ""))-1), """"))"),"Широківська")</f>
        <v>Широківська</v>
      </c>
    </row>
    <row r="417" spans="1:17" ht="38">
      <c r="A417" s="2"/>
      <c r="B417" s="2" t="s">
        <v>915</v>
      </c>
      <c r="C417" s="2" t="s">
        <v>1000</v>
      </c>
      <c r="D417" s="2" t="s">
        <v>1001</v>
      </c>
      <c r="E417" s="2"/>
      <c r="F417" s="2" t="s">
        <v>32</v>
      </c>
      <c r="G417" s="2">
        <v>11</v>
      </c>
      <c r="H417" s="2">
        <v>567.4</v>
      </c>
      <c r="I417" s="2">
        <v>13739</v>
      </c>
      <c r="J417" s="2" t="s">
        <v>143</v>
      </c>
      <c r="K417" s="2">
        <v>4</v>
      </c>
      <c r="L417" s="2" t="s">
        <v>1002</v>
      </c>
      <c r="Q417" s="4" t="str">
        <f ca="1">IFERROR(__xludf.DUMMYFUNCTION("TRIM(SUBSTITUTE(SUBSTITUTE(D417, index(SPLIT(D417, "" ""), COLUMNS(SPLIT(D417, "" ""))), """"), index(SPLIT(D417, "" ""), COLUMNS(SPLIT(D417, "" ""))-1), """"))"),"Веселівська")</f>
        <v>Веселівська</v>
      </c>
    </row>
    <row r="418" spans="1:17" ht="38">
      <c r="A418" s="2"/>
      <c r="B418" s="2" t="s">
        <v>915</v>
      </c>
      <c r="C418" s="2" t="s">
        <v>1000</v>
      </c>
      <c r="D418" s="2" t="s">
        <v>1003</v>
      </c>
      <c r="E418" s="2"/>
      <c r="F418" s="2" t="s">
        <v>32</v>
      </c>
      <c r="G418" s="2">
        <v>8</v>
      </c>
      <c r="H418" s="2">
        <v>662.1</v>
      </c>
      <c r="I418" s="2">
        <v>6569</v>
      </c>
      <c r="J418" s="2" t="s">
        <v>39</v>
      </c>
      <c r="K418" s="2">
        <v>3</v>
      </c>
      <c r="L418" s="2" t="s">
        <v>1004</v>
      </c>
      <c r="Q418" s="4" t="str">
        <f ca="1">IFERROR(__xludf.DUMMYFUNCTION("TRIM(SUBSTITUTE(SUBSTITUTE(D418, index(SPLIT(D418, "" ""), COLUMNS(SPLIT(D418, "" ""))), """"), index(SPLIT(D418, "" ""), COLUMNS(SPLIT(D418, "" ""))-1), """"))"),"Кирилівська")</f>
        <v>Кирилівська</v>
      </c>
    </row>
    <row r="419" spans="1:17" ht="50.5">
      <c r="A419" s="2"/>
      <c r="B419" s="2" t="s">
        <v>915</v>
      </c>
      <c r="C419" s="2" t="s">
        <v>1000</v>
      </c>
      <c r="D419" s="2" t="s">
        <v>512</v>
      </c>
      <c r="E419" s="2"/>
      <c r="F419" s="2" t="s">
        <v>28</v>
      </c>
      <c r="G419" s="2">
        <v>2</v>
      </c>
      <c r="H419" s="2">
        <v>230.3</v>
      </c>
      <c r="I419" s="2">
        <v>14431</v>
      </c>
      <c r="J419" s="2" t="s">
        <v>513</v>
      </c>
      <c r="K419" s="2">
        <v>2</v>
      </c>
      <c r="L419" s="2" t="s">
        <v>1005</v>
      </c>
      <c r="Q419" s="4" t="str">
        <f ca="1">IFERROR(__xludf.DUMMYFUNCTION("TRIM(SUBSTITUTE(SUBSTITUTE(D419, index(SPLIT(D419, "" ""), COLUMNS(SPLIT(D419, "" ""))), """"), index(SPLIT(D419, "" ""), COLUMNS(SPLIT(D419, "" ""))-1), """"))"),"Костянтинівська")</f>
        <v>Костянтинівська</v>
      </c>
    </row>
    <row r="420" spans="1:17" ht="50.5">
      <c r="A420" s="2"/>
      <c r="B420" s="2" t="s">
        <v>915</v>
      </c>
      <c r="C420" s="2" t="s">
        <v>1000</v>
      </c>
      <c r="D420" s="2" t="s">
        <v>1006</v>
      </c>
      <c r="E420" s="2"/>
      <c r="F420" s="2" t="s">
        <v>20</v>
      </c>
      <c r="G420" s="2">
        <v>1</v>
      </c>
      <c r="H420" s="2">
        <v>49.7</v>
      </c>
      <c r="I420" s="2">
        <v>150768</v>
      </c>
      <c r="J420" s="2" t="s">
        <v>1007</v>
      </c>
      <c r="K420" s="2">
        <v>1</v>
      </c>
      <c r="L420" s="2" t="s">
        <v>1008</v>
      </c>
      <c r="Q420" s="4" t="str">
        <f ca="1">IFERROR(__xludf.DUMMYFUNCTION("TRIM(SUBSTITUTE(SUBSTITUTE(D420, index(SPLIT(D420, "" ""), COLUMNS(SPLIT(D420, "" ""))), """"), index(SPLIT(D420, "" ""), COLUMNS(SPLIT(D420, "" ""))-1), """"))"),"Мелітопольська")</f>
        <v>Мелітопольська</v>
      </c>
    </row>
    <row r="421" spans="1:17" ht="38">
      <c r="A421" s="2"/>
      <c r="B421" s="2" t="s">
        <v>915</v>
      </c>
      <c r="C421" s="2" t="s">
        <v>1000</v>
      </c>
      <c r="D421" s="2" t="s">
        <v>494</v>
      </c>
      <c r="E421" s="2"/>
      <c r="F421" s="2" t="s">
        <v>32</v>
      </c>
      <c r="G421" s="2">
        <v>9</v>
      </c>
      <c r="H421" s="2">
        <v>196.3</v>
      </c>
      <c r="I421" s="2">
        <v>5478</v>
      </c>
      <c r="J421" s="2" t="s">
        <v>93</v>
      </c>
      <c r="K421" s="2">
        <v>3</v>
      </c>
      <c r="L421" s="2" t="s">
        <v>1009</v>
      </c>
      <c r="Q421" s="4" t="str">
        <f ca="1">IFERROR(__xludf.DUMMYFUNCTION("TRIM(SUBSTITUTE(SUBSTITUTE(D421, index(SPLIT(D421, "" ""), COLUMNS(SPLIT(D421, "" ""))), """"), index(SPLIT(D421, "" ""), COLUMNS(SPLIT(D421, "" ""))-1), """"))"),"Мирненська")</f>
        <v>Мирненська</v>
      </c>
    </row>
    <row r="422" spans="1:17" ht="38">
      <c r="A422" s="2"/>
      <c r="B422" s="2" t="s">
        <v>915</v>
      </c>
      <c r="C422" s="2" t="s">
        <v>1000</v>
      </c>
      <c r="D422" s="2" t="s">
        <v>1010</v>
      </c>
      <c r="E422" s="2"/>
      <c r="F422" s="2" t="s">
        <v>28</v>
      </c>
      <c r="G422" s="2">
        <v>12</v>
      </c>
      <c r="H422" s="2">
        <v>252</v>
      </c>
      <c r="I422" s="2">
        <v>5046</v>
      </c>
      <c r="J422" s="2" t="s">
        <v>163</v>
      </c>
      <c r="K422" s="2">
        <v>3</v>
      </c>
      <c r="L422" s="2" t="s">
        <v>1011</v>
      </c>
      <c r="Q422" s="4" t="str">
        <f ca="1">IFERROR(__xludf.DUMMYFUNCTION("TRIM(SUBSTITUTE(SUBSTITUTE(D422, index(SPLIT(D422, "" ""), COLUMNS(SPLIT(D422, "" ""))), """"), index(SPLIT(D422, "" ""), COLUMNS(SPLIT(D422, "" ""))-1), """"))"),"Новенська")</f>
        <v>Новенська</v>
      </c>
    </row>
    <row r="423" spans="1:17" ht="50.5">
      <c r="A423" s="2"/>
      <c r="B423" s="2" t="s">
        <v>915</v>
      </c>
      <c r="C423" s="2" t="s">
        <v>1000</v>
      </c>
      <c r="D423" s="2" t="s">
        <v>1012</v>
      </c>
      <c r="E423" s="2"/>
      <c r="F423" s="2" t="s">
        <v>28</v>
      </c>
      <c r="G423" s="2">
        <v>6</v>
      </c>
      <c r="H423" s="2">
        <v>198.4</v>
      </c>
      <c r="I423" s="2">
        <v>4987</v>
      </c>
      <c r="J423" s="2" t="s">
        <v>39</v>
      </c>
      <c r="K423" s="2">
        <v>2</v>
      </c>
      <c r="L423" s="2" t="s">
        <v>1013</v>
      </c>
      <c r="Q423" s="4" t="str">
        <f ca="1">IFERROR(__xludf.DUMMYFUNCTION("TRIM(SUBSTITUTE(SUBSTITUTE(D423, index(SPLIT(D423, "" ""), COLUMNS(SPLIT(D423, "" ""))), """"), index(SPLIT(D423, "" ""), COLUMNS(SPLIT(D423, "" ""))-1), """"))"),"Новобогданівська")</f>
        <v>Новобогданівська</v>
      </c>
    </row>
    <row r="424" spans="1:17" ht="50.5">
      <c r="A424" s="2"/>
      <c r="B424" s="2" t="s">
        <v>915</v>
      </c>
      <c r="C424" s="2" t="s">
        <v>1000</v>
      </c>
      <c r="D424" s="2" t="s">
        <v>1014</v>
      </c>
      <c r="E424" s="2"/>
      <c r="F424" s="2" t="s">
        <v>32</v>
      </c>
      <c r="G424" s="2">
        <v>20</v>
      </c>
      <c r="H424" s="2">
        <v>723.1</v>
      </c>
      <c r="I424" s="2">
        <v>7596</v>
      </c>
      <c r="J424" s="2" t="s">
        <v>1015</v>
      </c>
      <c r="K424" s="2">
        <v>8</v>
      </c>
      <c r="L424" s="2" t="s">
        <v>1016</v>
      </c>
      <c r="Q424" s="4" t="str">
        <f ca="1">IFERROR(__xludf.DUMMYFUNCTION("TRIM(SUBSTITUTE(SUBSTITUTE(D424, index(SPLIT(D424, "" ""), COLUMNS(SPLIT(D424, "" ""))), """"), index(SPLIT(D424, "" ""), COLUMNS(SPLIT(D424, "" ""))-1), """"))"),"Нововасилівська")</f>
        <v>Нововасилівська</v>
      </c>
    </row>
    <row r="425" spans="1:17" ht="50.5">
      <c r="A425" s="2"/>
      <c r="B425" s="2" t="s">
        <v>915</v>
      </c>
      <c r="C425" s="2" t="s">
        <v>1000</v>
      </c>
      <c r="D425" s="2" t="s">
        <v>1017</v>
      </c>
      <c r="E425" s="2"/>
      <c r="F425" s="2" t="s">
        <v>28</v>
      </c>
      <c r="G425" s="2">
        <v>9</v>
      </c>
      <c r="H425" s="2">
        <v>296.2</v>
      </c>
      <c r="I425" s="2">
        <v>3472</v>
      </c>
      <c r="J425" s="2" t="s">
        <v>39</v>
      </c>
      <c r="K425" s="2">
        <v>4</v>
      </c>
      <c r="L425" s="2" t="s">
        <v>1018</v>
      </c>
      <c r="Q425" s="4" t="str">
        <f ca="1">IFERROR(__xludf.DUMMYFUNCTION("TRIM(SUBSTITUTE(SUBSTITUTE(D425, index(SPLIT(D425, "" ""), COLUMNS(SPLIT(D425, "" ""))), """"), index(SPLIT(D425, "" ""), COLUMNS(SPLIT(D425, "" ""))-1), """"))"),"Новоуспенівська")</f>
        <v>Новоуспенівська</v>
      </c>
    </row>
    <row r="426" spans="1:17" ht="50.5">
      <c r="A426" s="2"/>
      <c r="B426" s="2" t="s">
        <v>915</v>
      </c>
      <c r="C426" s="2" t="s">
        <v>1000</v>
      </c>
      <c r="D426" s="2" t="s">
        <v>523</v>
      </c>
      <c r="E426" s="2"/>
      <c r="F426" s="2" t="s">
        <v>28</v>
      </c>
      <c r="G426" s="2">
        <v>14</v>
      </c>
      <c r="H426" s="2">
        <v>639.5</v>
      </c>
      <c r="I426" s="2">
        <v>6125</v>
      </c>
      <c r="J426" s="2" t="s">
        <v>93</v>
      </c>
      <c r="K426" s="2">
        <v>9</v>
      </c>
      <c r="L426" s="2" t="s">
        <v>1019</v>
      </c>
      <c r="Q426" s="4" t="str">
        <f ca="1">IFERROR(__xludf.DUMMYFUNCTION("TRIM(SUBSTITUTE(SUBSTITUTE(D426, index(SPLIT(D426, "" ""), COLUMNS(SPLIT(D426, "" ""))), """"), index(SPLIT(D426, "" ""), COLUMNS(SPLIT(D426, "" ""))-1), """"))"),"Олександрівська")</f>
        <v>Олександрівська</v>
      </c>
    </row>
    <row r="427" spans="1:17" ht="50.5">
      <c r="A427" s="2"/>
      <c r="B427" s="2" t="s">
        <v>915</v>
      </c>
      <c r="C427" s="2" t="s">
        <v>1000</v>
      </c>
      <c r="D427" s="2" t="s">
        <v>1020</v>
      </c>
      <c r="E427" s="2"/>
      <c r="F427" s="2" t="s">
        <v>28</v>
      </c>
      <c r="G427" s="2">
        <v>12</v>
      </c>
      <c r="H427" s="2">
        <v>155.80000000000001</v>
      </c>
      <c r="I427" s="2">
        <v>3369</v>
      </c>
      <c r="J427" s="2" t="s">
        <v>39</v>
      </c>
      <c r="K427" s="2">
        <v>2</v>
      </c>
      <c r="L427" s="2" t="s">
        <v>1021</v>
      </c>
      <c r="Q427" s="4" t="str">
        <f ca="1">IFERROR(__xludf.DUMMYFUNCTION("TRIM(SUBSTITUTE(SUBSTITUTE(D427, index(SPLIT(D427, "" ""), COLUMNS(SPLIT(D427, "" ""))), """"), index(SPLIT(D427, "" ""), COLUMNS(SPLIT(D427, "" ""))-1), """"))"),"Плодородненська")</f>
        <v>Плодородненська</v>
      </c>
    </row>
    <row r="428" spans="1:17" ht="38">
      <c r="A428" s="2"/>
      <c r="B428" s="2" t="s">
        <v>915</v>
      </c>
      <c r="C428" s="2" t="s">
        <v>1000</v>
      </c>
      <c r="D428" s="2" t="s">
        <v>1022</v>
      </c>
      <c r="E428" s="2"/>
      <c r="F428" s="2" t="s">
        <v>32</v>
      </c>
      <c r="G428" s="2">
        <v>18</v>
      </c>
      <c r="H428" s="2">
        <v>570.70000000000005</v>
      </c>
      <c r="I428" s="2">
        <v>12134</v>
      </c>
      <c r="J428" s="2" t="s">
        <v>39</v>
      </c>
      <c r="K428" s="2">
        <v>8</v>
      </c>
      <c r="L428" s="2" t="s">
        <v>1023</v>
      </c>
      <c r="Q428" s="4" t="str">
        <f ca="1">IFERROR(__xludf.DUMMYFUNCTION("TRIM(SUBSTITUTE(SUBSTITUTE(D428, index(SPLIT(D428, "" ""), COLUMNS(SPLIT(D428, "" ""))), """"), index(SPLIT(D428, "" ""), COLUMNS(SPLIT(D428, "" ""))-1), """"))"),"Приазовська")</f>
        <v>Приазовська</v>
      </c>
    </row>
    <row r="429" spans="1:17" ht="38">
      <c r="A429" s="2"/>
      <c r="B429" s="2" t="s">
        <v>915</v>
      </c>
      <c r="C429" s="2" t="s">
        <v>1000</v>
      </c>
      <c r="D429" s="2" t="s">
        <v>601</v>
      </c>
      <c r="E429" s="2"/>
      <c r="F429" s="2" t="s">
        <v>28</v>
      </c>
      <c r="G429" s="2">
        <v>21</v>
      </c>
      <c r="H429" s="2">
        <v>591.9</v>
      </c>
      <c r="I429" s="2">
        <v>9355</v>
      </c>
      <c r="J429" s="2" t="s">
        <v>163</v>
      </c>
      <c r="K429" s="2">
        <v>4</v>
      </c>
      <c r="L429" s="2" t="s">
        <v>1024</v>
      </c>
      <c r="Q429" s="4" t="str">
        <f ca="1">IFERROR(__xludf.DUMMYFUNCTION("TRIM(SUBSTITUTE(SUBSTITUTE(D429, index(SPLIT(D429, "" ""), COLUMNS(SPLIT(D429, "" ""))), """"), index(SPLIT(D429, "" ""), COLUMNS(SPLIT(D429, "" ""))-1), """"))"),"Семенівська")</f>
        <v>Семенівська</v>
      </c>
    </row>
    <row r="430" spans="1:17" ht="38">
      <c r="A430" s="2"/>
      <c r="B430" s="2" t="s">
        <v>915</v>
      </c>
      <c r="C430" s="2" t="s">
        <v>1000</v>
      </c>
      <c r="D430" s="2" t="s">
        <v>1025</v>
      </c>
      <c r="E430" s="2"/>
      <c r="F430" s="2" t="s">
        <v>28</v>
      </c>
      <c r="G430" s="2">
        <v>19</v>
      </c>
      <c r="H430" s="2">
        <v>367.5</v>
      </c>
      <c r="I430" s="2">
        <v>9150</v>
      </c>
      <c r="J430" s="2" t="s">
        <v>1026</v>
      </c>
      <c r="K430" s="2">
        <v>3</v>
      </c>
      <c r="L430" s="2" t="s">
        <v>1027</v>
      </c>
      <c r="Q430" s="4" t="str">
        <f ca="1">IFERROR(__xludf.DUMMYFUNCTION("TRIM(SUBSTITUTE(SUBSTITUTE(D430, index(SPLIT(D430, "" ""), COLUMNS(SPLIT(D430, "" ""))), """"), index(SPLIT(D430, "" ""), COLUMNS(SPLIT(D430, "" ""))-1), """"))"),"Терпіннівська")</f>
        <v>Терпіннівська</v>
      </c>
    </row>
    <row r="431" spans="1:17" ht="38">
      <c r="A431" s="2"/>
      <c r="B431" s="2" t="s">
        <v>915</v>
      </c>
      <c r="C431" s="2" t="s">
        <v>1000</v>
      </c>
      <c r="D431" s="2" t="s">
        <v>1028</v>
      </c>
      <c r="E431" s="2"/>
      <c r="F431" s="2" t="s">
        <v>28</v>
      </c>
      <c r="G431" s="2">
        <v>10</v>
      </c>
      <c r="H431" s="2">
        <v>265.39999999999998</v>
      </c>
      <c r="I431" s="2">
        <v>3139</v>
      </c>
      <c r="J431" s="2" t="s">
        <v>39</v>
      </c>
      <c r="K431" s="2">
        <v>5</v>
      </c>
      <c r="L431" s="2" t="s">
        <v>1029</v>
      </c>
      <c r="Q431" s="4" t="str">
        <f ca="1">IFERROR(__xludf.DUMMYFUNCTION("TRIM(SUBSTITUTE(SUBSTITUTE(D431, index(SPLIT(D431, "" ""), COLUMNS(SPLIT(D431, "" ""))), """"), index(SPLIT(D431, "" ""), COLUMNS(SPLIT(D431, "" ""))-1), """"))"),"Чкаловська")</f>
        <v>Чкаловська</v>
      </c>
    </row>
    <row r="432" spans="1:17" ht="63">
      <c r="A432" s="2"/>
      <c r="B432" s="2" t="s">
        <v>915</v>
      </c>
      <c r="C432" s="2" t="s">
        <v>1000</v>
      </c>
      <c r="D432" s="2" t="s">
        <v>1030</v>
      </c>
      <c r="E432" s="2"/>
      <c r="F432" s="2" t="s">
        <v>32</v>
      </c>
      <c r="G432" s="2">
        <v>36</v>
      </c>
      <c r="H432" s="2">
        <v>1242.2</v>
      </c>
      <c r="I432" s="2">
        <v>25458</v>
      </c>
      <c r="J432" s="2" t="s">
        <v>39</v>
      </c>
      <c r="K432" s="2">
        <v>11</v>
      </c>
      <c r="L432" s="2" t="s">
        <v>1031</v>
      </c>
      <c r="Q432" s="4" t="str">
        <f ca="1">IFERROR(__xludf.DUMMYFUNCTION("TRIM(SUBSTITUTE(SUBSTITUTE(D432, index(SPLIT(D432, "" ""), COLUMNS(SPLIT(D432, "" ""))), """"), index(SPLIT(D432, "" ""), COLUMNS(SPLIT(D432, "" ""))-1), """"))"),"Якимівська")</f>
        <v>Якимівська</v>
      </c>
    </row>
    <row r="433" spans="1:17" ht="38">
      <c r="A433" s="2"/>
      <c r="B433" s="2" t="s">
        <v>915</v>
      </c>
      <c r="C433" s="2" t="s">
        <v>1032</v>
      </c>
      <c r="D433" s="2" t="s">
        <v>1033</v>
      </c>
      <c r="E433" s="2"/>
      <c r="F433" s="2" t="s">
        <v>32</v>
      </c>
      <c r="G433" s="2">
        <v>22</v>
      </c>
      <c r="H433" s="2">
        <v>641.29999999999995</v>
      </c>
      <c r="I433" s="2">
        <v>11455</v>
      </c>
      <c r="J433" s="2" t="s">
        <v>46</v>
      </c>
      <c r="K433" s="2">
        <v>7</v>
      </c>
      <c r="L433" s="2" t="s">
        <v>1034</v>
      </c>
      <c r="Q433" s="4" t="str">
        <f ca="1">IFERROR(__xludf.DUMMYFUNCTION("TRIM(SUBSTITUTE(SUBSTITUTE(D433, index(SPLIT(D433, "" ""), COLUMNS(SPLIT(D433, "" ""))), """"), index(SPLIT(D433, "" ""), COLUMNS(SPLIT(D433, "" ""))-1), """"))"),"Більмацька")</f>
        <v>Більмацька</v>
      </c>
    </row>
    <row r="434" spans="1:17" ht="50.5">
      <c r="A434" s="2"/>
      <c r="B434" s="2" t="s">
        <v>915</v>
      </c>
      <c r="C434" s="2" t="s">
        <v>1032</v>
      </c>
      <c r="D434" s="2" t="s">
        <v>1035</v>
      </c>
      <c r="E434" s="2"/>
      <c r="F434" s="2" t="s">
        <v>28</v>
      </c>
      <c r="G434" s="2">
        <v>13</v>
      </c>
      <c r="H434" s="2">
        <v>246.2</v>
      </c>
      <c r="I434" s="2">
        <v>2755</v>
      </c>
      <c r="J434" s="2" t="s">
        <v>39</v>
      </c>
      <c r="K434" s="2">
        <v>4</v>
      </c>
      <c r="L434" s="2" t="s">
        <v>1036</v>
      </c>
      <c r="Q434" s="4" t="str">
        <f ca="1">IFERROR(__xludf.DUMMYFUNCTION("TRIM(SUBSTITUTE(SUBSTITUTE(D434, index(SPLIT(D434, "" ""), COLUMNS(SPLIT(D434, "" ""))), """"), index(SPLIT(D434, "" ""), COLUMNS(SPLIT(D434, "" ""))-1), """"))"),"Воздвижівська")</f>
        <v>Воздвижівська</v>
      </c>
    </row>
    <row r="435" spans="1:17" ht="50.5">
      <c r="A435" s="2"/>
      <c r="B435" s="2" t="s">
        <v>915</v>
      </c>
      <c r="C435" s="2" t="s">
        <v>1032</v>
      </c>
      <c r="D435" s="2" t="s">
        <v>1037</v>
      </c>
      <c r="E435" s="2"/>
      <c r="F435" s="2" t="s">
        <v>28</v>
      </c>
      <c r="G435" s="2">
        <v>4</v>
      </c>
      <c r="H435" s="2">
        <v>264.89999999999998</v>
      </c>
      <c r="I435" s="2">
        <v>5362</v>
      </c>
      <c r="J435" s="2" t="s">
        <v>143</v>
      </c>
      <c r="K435" s="2">
        <v>2</v>
      </c>
      <c r="L435" s="2" t="s">
        <v>1038</v>
      </c>
      <c r="Q435" s="4" t="str">
        <f ca="1">IFERROR(__xludf.DUMMYFUNCTION("TRIM(SUBSTITUTE(SUBSTITUTE(D435, index(SPLIT(D435, "" ""), COLUMNS(SPLIT(D435, "" ""))), """"), index(SPLIT(D435, "" ""), COLUMNS(SPLIT(D435, "" ""))-1), """"))"),"Воскресенська")</f>
        <v>Воскресенська</v>
      </c>
    </row>
    <row r="436" spans="1:17" ht="50.5">
      <c r="A436" s="2"/>
      <c r="B436" s="2" t="s">
        <v>915</v>
      </c>
      <c r="C436" s="2" t="s">
        <v>1032</v>
      </c>
      <c r="D436" s="2" t="s">
        <v>1039</v>
      </c>
      <c r="E436" s="2"/>
      <c r="F436" s="2" t="s">
        <v>20</v>
      </c>
      <c r="G436" s="2">
        <v>32</v>
      </c>
      <c r="H436" s="2">
        <v>677.3</v>
      </c>
      <c r="I436" s="2">
        <v>18937</v>
      </c>
      <c r="J436" s="2" t="s">
        <v>63</v>
      </c>
      <c r="K436" s="2">
        <v>11</v>
      </c>
      <c r="L436" s="2" t="s">
        <v>1040</v>
      </c>
      <c r="Q436" s="4" t="str">
        <f ca="1">IFERROR(__xludf.DUMMYFUNCTION("TRIM(SUBSTITUTE(SUBSTITUTE(D436, index(SPLIT(D436, "" ""), COLUMNS(SPLIT(D436, "" ""))), """"), index(SPLIT(D436, "" ""), COLUMNS(SPLIT(D436, "" ""))-1), """"))"),"Гуляйпільська")</f>
        <v>Гуляйпільська</v>
      </c>
    </row>
    <row r="437" spans="1:17" ht="50.5">
      <c r="A437" s="2"/>
      <c r="B437" s="2" t="s">
        <v>915</v>
      </c>
      <c r="C437" s="2" t="s">
        <v>1032</v>
      </c>
      <c r="D437" s="2" t="s">
        <v>1041</v>
      </c>
      <c r="E437" s="2"/>
      <c r="F437" s="2" t="s">
        <v>32</v>
      </c>
      <c r="G437" s="2">
        <v>10</v>
      </c>
      <c r="H437" s="2">
        <v>371.1</v>
      </c>
      <c r="I437" s="2">
        <v>5969</v>
      </c>
      <c r="J437" s="2" t="s">
        <v>143</v>
      </c>
      <c r="K437" s="2">
        <v>5</v>
      </c>
      <c r="L437" s="2" t="s">
        <v>1042</v>
      </c>
      <c r="Q437" s="4" t="str">
        <f ca="1">IFERROR(__xludf.DUMMYFUNCTION("TRIM(SUBSTITUTE(SUBSTITUTE(D437, index(SPLIT(D437, "" ""), COLUMNS(SPLIT(D437, "" ""))), """"), index(SPLIT(D437, "" ""), COLUMNS(SPLIT(D437, "" ""))-1), """"))"),"Комиш-Зорянська")</f>
        <v>Комиш-Зорянська</v>
      </c>
    </row>
    <row r="438" spans="1:17" ht="38">
      <c r="A438" s="2"/>
      <c r="B438" s="2" t="s">
        <v>915</v>
      </c>
      <c r="C438" s="2" t="s">
        <v>1032</v>
      </c>
      <c r="D438" s="2" t="s">
        <v>1043</v>
      </c>
      <c r="E438" s="2"/>
      <c r="F438" s="2" t="s">
        <v>28</v>
      </c>
      <c r="G438" s="2">
        <v>13</v>
      </c>
      <c r="H438" s="2">
        <v>377.6</v>
      </c>
      <c r="I438" s="2">
        <v>3205</v>
      </c>
      <c r="J438" s="2" t="s">
        <v>163</v>
      </c>
      <c r="K438" s="2">
        <v>5</v>
      </c>
      <c r="L438" s="2" t="s">
        <v>1044</v>
      </c>
      <c r="Q438" s="4" t="str">
        <f ca="1">IFERROR(__xludf.DUMMYFUNCTION("TRIM(SUBSTITUTE(SUBSTITUTE(D438, index(SPLIT(D438, "" ""), COLUMNS(SPLIT(D438, "" ""))), """"), index(SPLIT(D438, "" ""), COLUMNS(SPLIT(D438, "" ""))-1), """"))"),"Малинівська")</f>
        <v>Малинівська</v>
      </c>
    </row>
    <row r="439" spans="1:17" ht="50.5">
      <c r="A439" s="2"/>
      <c r="B439" s="2" t="s">
        <v>915</v>
      </c>
      <c r="C439" s="2" t="s">
        <v>1032</v>
      </c>
      <c r="D439" s="2" t="s">
        <v>1045</v>
      </c>
      <c r="E439" s="2"/>
      <c r="F439" s="2" t="s">
        <v>28</v>
      </c>
      <c r="G439" s="2">
        <v>4</v>
      </c>
      <c r="H439" s="2">
        <v>174.3</v>
      </c>
      <c r="I439" s="2">
        <v>2997</v>
      </c>
      <c r="J439" s="2" t="s">
        <v>72</v>
      </c>
      <c r="K439" s="2">
        <v>2</v>
      </c>
      <c r="L439" s="2" t="s">
        <v>1046</v>
      </c>
      <c r="Q439" s="4" t="str">
        <f ca="1">IFERROR(__xludf.DUMMYFUNCTION("TRIM(SUBSTITUTE(SUBSTITUTE(D439, index(SPLIT(D439, "" ""), COLUMNS(SPLIT(D439, "" ""))), """"), index(SPLIT(D439, "" ""), COLUMNS(SPLIT(D439, "" ""))-1), """"))"),"Малотокмачанська")</f>
        <v>Малотокмачанська</v>
      </c>
    </row>
    <row r="440" spans="1:17" ht="38">
      <c r="A440" s="2"/>
      <c r="B440" s="2" t="s">
        <v>915</v>
      </c>
      <c r="C440" s="2" t="s">
        <v>1032</v>
      </c>
      <c r="D440" s="2" t="s">
        <v>1047</v>
      </c>
      <c r="E440" s="2"/>
      <c r="F440" s="2" t="s">
        <v>20</v>
      </c>
      <c r="G440" s="2">
        <v>23</v>
      </c>
      <c r="H440" s="2">
        <v>567.4</v>
      </c>
      <c r="I440" s="2">
        <v>11790</v>
      </c>
      <c r="J440" s="2" t="s">
        <v>1048</v>
      </c>
      <c r="K440" s="2">
        <v>6</v>
      </c>
      <c r="L440" s="2" t="s">
        <v>1049</v>
      </c>
      <c r="Q440" s="4" t="str">
        <f ca="1">IFERROR(__xludf.DUMMYFUNCTION("TRIM(SUBSTITUTE(SUBSTITUTE(D440, index(SPLIT(D440, "" ""), COLUMNS(SPLIT(D440, "" ""))), """"), index(SPLIT(D440, "" ""), COLUMNS(SPLIT(D440, "" ""))-1), """"))"),"Молочанська")</f>
        <v>Молочанська</v>
      </c>
    </row>
    <row r="441" spans="1:17" ht="38">
      <c r="A441" s="2"/>
      <c r="B441" s="2" t="s">
        <v>915</v>
      </c>
      <c r="C441" s="2" t="s">
        <v>1032</v>
      </c>
      <c r="D441" s="2" t="s">
        <v>1050</v>
      </c>
      <c r="E441" s="2"/>
      <c r="F441" s="2" t="s">
        <v>20</v>
      </c>
      <c r="G441" s="2">
        <v>8</v>
      </c>
      <c r="H441" s="2">
        <v>342.8</v>
      </c>
      <c r="I441" s="2">
        <v>18493</v>
      </c>
      <c r="J441" s="2" t="s">
        <v>63</v>
      </c>
      <c r="K441" s="2">
        <v>7</v>
      </c>
      <c r="L441" s="2" t="s">
        <v>1051</v>
      </c>
      <c r="Q441" s="4" t="str">
        <f ca="1">IFERROR(__xludf.DUMMYFUNCTION("TRIM(SUBSTITUTE(SUBSTITUTE(D441, index(SPLIT(D441, "" ""), COLUMNS(SPLIT(D441, "" ""))), """"), index(SPLIT(D441, "" ""), COLUMNS(SPLIT(D441, "" ""))-1), """"))"),"Оріхівська")</f>
        <v>Оріхівська</v>
      </c>
    </row>
    <row r="442" spans="1:17" ht="38">
      <c r="A442" s="2"/>
      <c r="B442" s="2" t="s">
        <v>915</v>
      </c>
      <c r="C442" s="2" t="s">
        <v>1032</v>
      </c>
      <c r="D442" s="2" t="s">
        <v>1052</v>
      </c>
      <c r="E442" s="2"/>
      <c r="F442" s="2" t="s">
        <v>20</v>
      </c>
      <c r="G442" s="2">
        <v>23</v>
      </c>
      <c r="H442" s="2">
        <v>804.9</v>
      </c>
      <c r="I442" s="2">
        <v>29472</v>
      </c>
      <c r="J442" s="2" t="s">
        <v>46</v>
      </c>
      <c r="K442" s="2">
        <v>9</v>
      </c>
      <c r="L442" s="2" t="s">
        <v>1053</v>
      </c>
      <c r="Q442" s="4" t="str">
        <f ca="1">IFERROR(__xludf.DUMMYFUNCTION("TRIM(SUBSTITUTE(SUBSTITUTE(D442, index(SPLIT(D442, "" ""), COLUMNS(SPLIT(D442, "" ""))), """"), index(SPLIT(D442, "" ""), COLUMNS(SPLIT(D442, "" ""))-1), """"))"),"Пологівська")</f>
        <v>Пологівська</v>
      </c>
    </row>
    <row r="443" spans="1:17" ht="50.5">
      <c r="A443" s="2"/>
      <c r="B443" s="2" t="s">
        <v>915</v>
      </c>
      <c r="C443" s="2" t="s">
        <v>1032</v>
      </c>
      <c r="D443" s="2" t="s">
        <v>1054</v>
      </c>
      <c r="E443" s="2"/>
      <c r="F443" s="2" t="s">
        <v>28</v>
      </c>
      <c r="G443" s="2">
        <v>15</v>
      </c>
      <c r="H443" s="2">
        <v>366</v>
      </c>
      <c r="I443" s="2">
        <v>5353</v>
      </c>
      <c r="J443" s="2" t="s">
        <v>143</v>
      </c>
      <c r="K443" s="2">
        <v>5</v>
      </c>
      <c r="L443" s="2" t="s">
        <v>1055</v>
      </c>
      <c r="Q443" s="4" t="str">
        <f ca="1">IFERROR(__xludf.DUMMYFUNCTION("TRIM(SUBSTITUTE(SUBSTITUTE(D443, index(SPLIT(D443, "" ""), COLUMNS(SPLIT(D443, "" ""))), """"), index(SPLIT(D443, "" ""), COLUMNS(SPLIT(D443, "" ""))-1), """"))"),"Преображенська")</f>
        <v>Преображенська</v>
      </c>
    </row>
    <row r="444" spans="1:17" ht="38">
      <c r="A444" s="2"/>
      <c r="B444" s="2" t="s">
        <v>915</v>
      </c>
      <c r="C444" s="2" t="s">
        <v>1032</v>
      </c>
      <c r="D444" s="2" t="s">
        <v>1056</v>
      </c>
      <c r="E444" s="2"/>
      <c r="F444" s="2" t="s">
        <v>32</v>
      </c>
      <c r="G444" s="2">
        <v>28</v>
      </c>
      <c r="H444" s="2">
        <v>610.5</v>
      </c>
      <c r="I444" s="2">
        <v>8107</v>
      </c>
      <c r="J444" s="2" t="s">
        <v>46</v>
      </c>
      <c r="K444" s="2">
        <v>8</v>
      </c>
      <c r="L444" s="2" t="s">
        <v>1057</v>
      </c>
      <c r="Q444" s="4" t="str">
        <f ca="1">IFERROR(__xludf.DUMMYFUNCTION("TRIM(SUBSTITUTE(SUBSTITUTE(D444, index(SPLIT(D444, "" ""), COLUMNS(SPLIT(D444, "" ""))), """"), index(SPLIT(D444, "" ""), COLUMNS(SPLIT(D444, "" ""))-1), """"))"),"Розівська")</f>
        <v>Розівська</v>
      </c>
    </row>
    <row r="445" spans="1:17" ht="38">
      <c r="A445" s="2"/>
      <c r="B445" s="2" t="s">
        <v>915</v>
      </c>
      <c r="C445" s="2" t="s">
        <v>1032</v>
      </c>
      <c r="D445" s="2" t="s">
        <v>1058</v>
      </c>
      <c r="E445" s="2"/>
      <c r="F445" s="2" t="s">
        <v>28</v>
      </c>
      <c r="G445" s="2">
        <v>8</v>
      </c>
      <c r="H445" s="2">
        <v>324.3</v>
      </c>
      <c r="I445" s="2">
        <v>3161</v>
      </c>
      <c r="J445" s="2" t="s">
        <v>143</v>
      </c>
      <c r="K445" s="2">
        <v>3</v>
      </c>
      <c r="L445" s="2" t="s">
        <v>1059</v>
      </c>
      <c r="Q445" s="4" t="str">
        <f ca="1">IFERROR(__xludf.DUMMYFUNCTION("TRIM(SUBSTITUTE(SUBSTITUTE(D445, index(SPLIT(D445, "" ""), COLUMNS(SPLIT(D445, "" ""))), """"), index(SPLIT(D445, "" ""), COLUMNS(SPLIT(D445, "" ""))-1), """"))"),"Смирновська")</f>
        <v>Смирновська</v>
      </c>
    </row>
    <row r="446" spans="1:17" ht="38">
      <c r="A446" s="2"/>
      <c r="B446" s="2" t="s">
        <v>915</v>
      </c>
      <c r="C446" s="2" t="s">
        <v>1032</v>
      </c>
      <c r="D446" s="2" t="s">
        <v>1060</v>
      </c>
      <c r="E446" s="2"/>
      <c r="F446" s="2" t="s">
        <v>20</v>
      </c>
      <c r="G446" s="2">
        <v>26</v>
      </c>
      <c r="H446" s="2">
        <v>728.3</v>
      </c>
      <c r="I446" s="2">
        <v>36719</v>
      </c>
      <c r="J446" s="2" t="s">
        <v>1061</v>
      </c>
      <c r="K446" s="2">
        <v>6</v>
      </c>
      <c r="L446" s="2" t="s">
        <v>1062</v>
      </c>
      <c r="Q446" s="4" t="str">
        <f ca="1">IFERROR(__xludf.DUMMYFUNCTION("TRIM(SUBSTITUTE(SUBSTITUTE(D446, index(SPLIT(D446, "" ""), COLUMNS(SPLIT(D446, "" ""))), """"), index(SPLIT(D446, "" ""), COLUMNS(SPLIT(D446, "" ""))-1), """"))"),"Токмацька")</f>
        <v>Токмацька</v>
      </c>
    </row>
    <row r="447" spans="1:17" ht="38">
      <c r="A447" s="2"/>
      <c r="B447" s="2" t="s">
        <v>915</v>
      </c>
      <c r="C447" s="2" t="s">
        <v>1032</v>
      </c>
      <c r="D447" s="2" t="s">
        <v>1063</v>
      </c>
      <c r="E447" s="2"/>
      <c r="F447" s="2" t="s">
        <v>28</v>
      </c>
      <c r="G447" s="2">
        <v>11</v>
      </c>
      <c r="H447" s="2">
        <v>275</v>
      </c>
      <c r="I447" s="2">
        <v>3285</v>
      </c>
      <c r="J447" s="2" t="s">
        <v>163</v>
      </c>
      <c r="K447" s="2">
        <v>2</v>
      </c>
      <c r="L447" s="2" t="s">
        <v>1064</v>
      </c>
      <c r="Q447" s="4" t="str">
        <f ca="1">IFERROR(__xludf.DUMMYFUNCTION("TRIM(SUBSTITUTE(SUBSTITUTE(D447, index(SPLIT(D447, "" ""), COLUMNS(SPLIT(D447, "" ""))), """"), index(SPLIT(D447, "" ""), COLUMNS(SPLIT(D447, "" ""))-1), """"))"),"Федорівська")</f>
        <v>Федорівська</v>
      </c>
    </row>
    <row r="448" spans="1:17" ht="38">
      <c r="A448" s="2"/>
      <c r="B448" s="2" t="s">
        <v>1065</v>
      </c>
      <c r="C448" s="2" t="s">
        <v>1066</v>
      </c>
      <c r="D448" s="2" t="s">
        <v>1067</v>
      </c>
      <c r="E448" s="2"/>
      <c r="F448" s="2" t="s">
        <v>32</v>
      </c>
      <c r="G448" s="2">
        <v>5</v>
      </c>
      <c r="H448" s="2">
        <v>86.2</v>
      </c>
      <c r="I448" s="2">
        <v>7491</v>
      </c>
      <c r="J448" s="2" t="s">
        <v>163</v>
      </c>
      <c r="K448" s="2">
        <v>5</v>
      </c>
      <c r="L448" s="2" t="s">
        <v>1068</v>
      </c>
      <c r="Q448" s="4" t="str">
        <f ca="1">IFERROR(__xludf.DUMMYFUNCTION("TRIM(SUBSTITUTE(SUBSTITUTE(D448, index(SPLIT(D448, "" ""), COLUMNS(SPLIT(D448, "" ""))), """"), index(SPLIT(D448, "" ""), COLUMNS(SPLIT(D448, "" ""))-1), """"))"),"Єзупільська")</f>
        <v>Єзупільська</v>
      </c>
    </row>
    <row r="449" spans="1:17" ht="88">
      <c r="A449" s="2"/>
      <c r="B449" s="2" t="s">
        <v>1065</v>
      </c>
      <c r="C449" s="2" t="s">
        <v>1066</v>
      </c>
      <c r="D449" s="2" t="s">
        <v>1069</v>
      </c>
      <c r="E449" s="2"/>
      <c r="F449" s="2" t="s">
        <v>20</v>
      </c>
      <c r="G449" s="2">
        <v>19</v>
      </c>
      <c r="H449" s="2">
        <v>263.8</v>
      </c>
      <c r="I449" s="2">
        <v>287533</v>
      </c>
      <c r="J449" s="2" t="s">
        <v>1070</v>
      </c>
      <c r="K449" s="2">
        <v>19</v>
      </c>
      <c r="L449" s="2" t="s">
        <v>1071</v>
      </c>
      <c r="Q449" s="4" t="str">
        <f ca="1">IFERROR(__xludf.DUMMYFUNCTION("TRIM(SUBSTITUTE(SUBSTITUTE(D449, index(SPLIT(D449, "" ""), COLUMNS(SPLIT(D449, "" ""))), """"), index(SPLIT(D449, "" ""), COLUMNS(SPLIT(D449, "" ""))-1), """"))"),"Івано-Франківська")</f>
        <v>Івано-Франківська</v>
      </c>
    </row>
    <row r="450" spans="1:17" ht="63">
      <c r="A450" s="2"/>
      <c r="B450" s="2" t="s">
        <v>1065</v>
      </c>
      <c r="C450" s="2" t="s">
        <v>1066</v>
      </c>
      <c r="D450" s="2" t="s">
        <v>1072</v>
      </c>
      <c r="E450" s="2"/>
      <c r="F450" s="2" t="s">
        <v>32</v>
      </c>
      <c r="G450" s="2">
        <v>17</v>
      </c>
      <c r="H450" s="2">
        <v>255.8</v>
      </c>
      <c r="I450" s="2">
        <v>28358</v>
      </c>
      <c r="J450" s="2" t="s">
        <v>1073</v>
      </c>
      <c r="K450" s="2">
        <v>13</v>
      </c>
      <c r="L450" s="2" t="s">
        <v>1074</v>
      </c>
      <c r="Q450" s="4" t="str">
        <f ca="1">IFERROR(__xludf.DUMMYFUNCTION("TRIM(SUBSTITUTE(SUBSTITUTE(D450, index(SPLIT(D450, "" ""), COLUMNS(SPLIT(D450, "" ""))), """"), index(SPLIT(D450, "" ""), COLUMNS(SPLIT(D450, "" ""))-1), """"))"),"Богородчанська")</f>
        <v>Богородчанська</v>
      </c>
    </row>
    <row r="451" spans="1:17" ht="38">
      <c r="A451" s="2"/>
      <c r="B451" s="2" t="s">
        <v>1065</v>
      </c>
      <c r="C451" s="2" t="s">
        <v>1066</v>
      </c>
      <c r="D451" s="2" t="s">
        <v>1075</v>
      </c>
      <c r="E451" s="2"/>
      <c r="F451" s="2" t="s">
        <v>32</v>
      </c>
      <c r="G451" s="2">
        <v>13</v>
      </c>
      <c r="H451" s="2">
        <v>139.30000000000001</v>
      </c>
      <c r="I451" s="2">
        <v>4776</v>
      </c>
      <c r="J451" s="2" t="s">
        <v>249</v>
      </c>
      <c r="K451" s="2">
        <v>7</v>
      </c>
      <c r="L451" s="2" t="s">
        <v>1076</v>
      </c>
      <c r="Q451" s="4" t="str">
        <f ca="1">IFERROR(__xludf.DUMMYFUNCTION("TRIM(SUBSTITUTE(SUBSTITUTE(D451, index(SPLIT(D451, "" ""), COLUMNS(SPLIT(D451, "" ""))), """"), index(SPLIT(D451, "" ""), COLUMNS(SPLIT(D451, "" ""))-1), """"))"),"Букачівська")</f>
        <v>Букачівська</v>
      </c>
    </row>
    <row r="452" spans="1:17" ht="50.5">
      <c r="A452" s="2"/>
      <c r="B452" s="2" t="s">
        <v>1065</v>
      </c>
      <c r="C452" s="2" t="s">
        <v>1066</v>
      </c>
      <c r="D452" s="2" t="s">
        <v>1077</v>
      </c>
      <c r="E452" s="2"/>
      <c r="F452" s="2" t="s">
        <v>20</v>
      </c>
      <c r="G452" s="2">
        <v>19</v>
      </c>
      <c r="H452" s="2">
        <v>201.8</v>
      </c>
      <c r="I452" s="2">
        <v>24195</v>
      </c>
      <c r="J452" s="2" t="s">
        <v>1078</v>
      </c>
      <c r="K452" s="2">
        <v>11</v>
      </c>
      <c r="L452" s="2" t="s">
        <v>1079</v>
      </c>
      <c r="Q452" s="4" t="str">
        <f ca="1">IFERROR(__xludf.DUMMYFUNCTION("TRIM(SUBSTITUTE(SUBSTITUTE(D452, index(SPLIT(D452, "" ""), COLUMNS(SPLIT(D452, "" ""))), """"), index(SPLIT(D452, "" ""), COLUMNS(SPLIT(D452, "" ""))-1), """"))"),"Бурштинська")</f>
        <v>Бурштинська</v>
      </c>
    </row>
    <row r="453" spans="1:17" ht="50.5">
      <c r="A453" s="2"/>
      <c r="B453" s="2" t="s">
        <v>1065</v>
      </c>
      <c r="C453" s="2" t="s">
        <v>1066</v>
      </c>
      <c r="D453" s="2" t="s">
        <v>1080</v>
      </c>
      <c r="E453" s="2"/>
      <c r="F453" s="2" t="s">
        <v>32</v>
      </c>
      <c r="G453" s="2">
        <v>16</v>
      </c>
      <c r="H453" s="2">
        <v>152.4</v>
      </c>
      <c r="I453" s="2">
        <v>7673</v>
      </c>
      <c r="J453" s="2" t="s">
        <v>33</v>
      </c>
      <c r="K453" s="2">
        <v>10</v>
      </c>
      <c r="L453" s="2" t="s">
        <v>1081</v>
      </c>
      <c r="Q453" s="4" t="str">
        <f ca="1">IFERROR(__xludf.DUMMYFUNCTION("TRIM(SUBSTITUTE(SUBSTITUTE(D453, index(SPLIT(D453, "" ""), COLUMNS(SPLIT(D453, "" ""))), """"), index(SPLIT(D453, "" ""), COLUMNS(SPLIT(D453, "" ""))-1), """"))"),"Більшівцівська")</f>
        <v>Більшівцівська</v>
      </c>
    </row>
    <row r="454" spans="1:17" ht="63">
      <c r="A454" s="2"/>
      <c r="B454" s="2" t="s">
        <v>1065</v>
      </c>
      <c r="C454" s="2" t="s">
        <v>1066</v>
      </c>
      <c r="D454" s="2" t="s">
        <v>1082</v>
      </c>
      <c r="E454" s="2"/>
      <c r="F454" s="2" t="s">
        <v>20</v>
      </c>
      <c r="G454" s="2">
        <v>26</v>
      </c>
      <c r="H454" s="2">
        <v>244.4</v>
      </c>
      <c r="I454" s="2">
        <v>19631</v>
      </c>
      <c r="J454" s="2" t="s">
        <v>1083</v>
      </c>
      <c r="K454" s="2">
        <v>14</v>
      </c>
      <c r="L454" s="2" t="s">
        <v>1084</v>
      </c>
      <c r="Q454" s="4" t="str">
        <f ca="1">IFERROR(__xludf.DUMMYFUNCTION("TRIM(SUBSTITUTE(SUBSTITUTE(D454, index(SPLIT(D454, "" ""), COLUMNS(SPLIT(D454, "" ""))), """"), index(SPLIT(D454, "" ""), COLUMNS(SPLIT(D454, "" ""))-1), """"))"),"Галицька")</f>
        <v>Галицька</v>
      </c>
    </row>
    <row r="455" spans="1:17" ht="38">
      <c r="A455" s="2"/>
      <c r="B455" s="2" t="s">
        <v>1065</v>
      </c>
      <c r="C455" s="2" t="s">
        <v>1066</v>
      </c>
      <c r="D455" s="2" t="s">
        <v>1085</v>
      </c>
      <c r="E455" s="2"/>
      <c r="F455" s="2" t="s">
        <v>28</v>
      </c>
      <c r="G455" s="2">
        <v>5</v>
      </c>
      <c r="H455" s="2">
        <v>80</v>
      </c>
      <c r="I455" s="2">
        <v>8291</v>
      </c>
      <c r="J455" s="2" t="s">
        <v>39</v>
      </c>
      <c r="K455" s="2">
        <v>5</v>
      </c>
      <c r="L455" s="2" t="s">
        <v>1086</v>
      </c>
      <c r="Q455" s="4" t="str">
        <f ca="1">IFERROR(__xludf.DUMMYFUNCTION("TRIM(SUBSTITUTE(SUBSTITUTE(D455, index(SPLIT(D455, "" ""), COLUMNS(SPLIT(D455, "" ""))), """"), index(SPLIT(D455, "" ""), COLUMNS(SPLIT(D455, "" ""))-1), """"))"),"Дзвиняцька")</f>
        <v>Дзвиняцька</v>
      </c>
    </row>
    <row r="456" spans="1:17" ht="38">
      <c r="A456" s="2"/>
      <c r="B456" s="2" t="s">
        <v>1065</v>
      </c>
      <c r="C456" s="2" t="s">
        <v>1066</v>
      </c>
      <c r="D456" s="2" t="s">
        <v>1087</v>
      </c>
      <c r="E456" s="2"/>
      <c r="F456" s="2" t="s">
        <v>28</v>
      </c>
      <c r="G456" s="2">
        <v>15</v>
      </c>
      <c r="H456" s="2">
        <v>172.2</v>
      </c>
      <c r="I456" s="2">
        <v>7311</v>
      </c>
      <c r="J456" s="2" t="s">
        <v>1088</v>
      </c>
      <c r="K456" s="2">
        <v>9</v>
      </c>
      <c r="L456" s="2" t="s">
        <v>1089</v>
      </c>
      <c r="Q456" s="4" t="str">
        <f ca="1">IFERROR(__xludf.DUMMYFUNCTION("TRIM(SUBSTITUTE(SUBSTITUTE(D456, index(SPLIT(D456, "" ""), COLUMNS(SPLIT(D456, "" ""))), """"), index(SPLIT(D456, "" ""), COLUMNS(SPLIT(D456, "" ""))-1), """"))"),"Дубовецька")</f>
        <v>Дубовецька</v>
      </c>
    </row>
    <row r="457" spans="1:17" ht="50.5">
      <c r="A457" s="2"/>
      <c r="B457" s="2" t="s">
        <v>1065</v>
      </c>
      <c r="C457" s="2" t="s">
        <v>1066</v>
      </c>
      <c r="D457" s="2" t="s">
        <v>1090</v>
      </c>
      <c r="E457" s="2"/>
      <c r="F457" s="2" t="s">
        <v>28</v>
      </c>
      <c r="G457" s="2">
        <v>2</v>
      </c>
      <c r="H457" s="2">
        <v>31.3</v>
      </c>
      <c r="I457" s="2">
        <v>5766</v>
      </c>
      <c r="J457" s="2" t="s">
        <v>93</v>
      </c>
      <c r="K457" s="2">
        <v>2</v>
      </c>
      <c r="L457" s="2" t="s">
        <v>1091</v>
      </c>
      <c r="Q457" s="4" t="str">
        <f ca="1">IFERROR(__xludf.DUMMYFUNCTION("TRIM(SUBSTITUTE(SUBSTITUTE(D457, index(SPLIT(D457, "" ""), COLUMNS(SPLIT(D457, "" ""))), """"), index(SPLIT(D457, "" ""), COLUMNS(SPLIT(D457, "" ""))-1), """"))"),"Загвіздянська")</f>
        <v>Загвіздянська</v>
      </c>
    </row>
    <row r="458" spans="1:17" ht="38">
      <c r="A458" s="2"/>
      <c r="B458" s="2" t="s">
        <v>1065</v>
      </c>
      <c r="C458" s="2" t="s">
        <v>1066</v>
      </c>
      <c r="D458" s="2" t="s">
        <v>1092</v>
      </c>
      <c r="E458" s="2"/>
      <c r="F458" s="2" t="s">
        <v>32</v>
      </c>
      <c r="G458" s="2">
        <v>4</v>
      </c>
      <c r="H458" s="2">
        <v>81.3</v>
      </c>
      <c r="I458" s="2">
        <v>7347</v>
      </c>
      <c r="J458" s="2" t="s">
        <v>1093</v>
      </c>
      <c r="K458" s="2">
        <v>4</v>
      </c>
      <c r="L458" s="2" t="s">
        <v>1094</v>
      </c>
      <c r="Q458" s="4" t="str">
        <f ca="1">IFERROR(__xludf.DUMMYFUNCTION("TRIM(SUBSTITUTE(SUBSTITUTE(D458, index(SPLIT(D458, "" ""), COLUMNS(SPLIT(D458, "" ""))), """"), index(SPLIT(D458, "" ""), COLUMNS(SPLIT(D458, "" ""))-1), """"))"),"Лисецька")</f>
        <v>Лисецька</v>
      </c>
    </row>
    <row r="459" spans="1:17" ht="38">
      <c r="A459" s="2"/>
      <c r="B459" s="2" t="s">
        <v>1065</v>
      </c>
      <c r="C459" s="2" t="s">
        <v>1066</v>
      </c>
      <c r="D459" s="2" t="s">
        <v>1095</v>
      </c>
      <c r="E459" s="2"/>
      <c r="F459" s="2" t="s">
        <v>32</v>
      </c>
      <c r="G459" s="2">
        <v>9</v>
      </c>
      <c r="H459" s="2">
        <v>161.30000000000001</v>
      </c>
      <c r="I459" s="2">
        <v>8914</v>
      </c>
      <c r="J459" s="2" t="s">
        <v>1096</v>
      </c>
      <c r="K459" s="2">
        <v>6</v>
      </c>
      <c r="L459" s="2" t="s">
        <v>1097</v>
      </c>
      <c r="Q459" s="4" t="str">
        <f ca="1">IFERROR(__xludf.DUMMYFUNCTION("TRIM(SUBSTITUTE(SUBSTITUTE(D459, index(SPLIT(D459, "" ""), COLUMNS(SPLIT(D459, "" ""))), """"), index(SPLIT(D459, "" ""), COLUMNS(SPLIT(D459, "" ""))-1), """"))"),"Обертинська")</f>
        <v>Обертинська</v>
      </c>
    </row>
    <row r="460" spans="1:17" ht="38">
      <c r="A460" s="2"/>
      <c r="B460" s="2" t="s">
        <v>1065</v>
      </c>
      <c r="C460" s="2" t="s">
        <v>1066</v>
      </c>
      <c r="D460" s="2" t="s">
        <v>1098</v>
      </c>
      <c r="E460" s="2"/>
      <c r="F460" s="2" t="s">
        <v>28</v>
      </c>
      <c r="G460" s="2">
        <v>15</v>
      </c>
      <c r="H460" s="2">
        <v>156.19999999999999</v>
      </c>
      <c r="I460" s="2">
        <v>8796</v>
      </c>
      <c r="J460" s="2" t="s">
        <v>63</v>
      </c>
      <c r="K460" s="2">
        <v>9</v>
      </c>
      <c r="L460" s="2" t="s">
        <v>1099</v>
      </c>
      <c r="Q460" s="4" t="str">
        <f ca="1">IFERROR(__xludf.DUMMYFUNCTION("TRIM(SUBSTITUTE(SUBSTITUTE(D460, index(SPLIT(D460, "" ""), COLUMNS(SPLIT(D460, "" ""))), """"), index(SPLIT(D460, "" ""), COLUMNS(SPLIT(D460, "" ""))-1), """"))"),"Олешанська")</f>
        <v>Олешанська</v>
      </c>
    </row>
    <row r="461" spans="1:17" ht="150.5">
      <c r="A461" s="2"/>
      <c r="B461" s="2" t="s">
        <v>1065</v>
      </c>
      <c r="C461" s="2" t="s">
        <v>1066</v>
      </c>
      <c r="D461" s="2" t="s">
        <v>1100</v>
      </c>
      <c r="E461" s="2"/>
      <c r="F461" s="2" t="s">
        <v>20</v>
      </c>
      <c r="G461" s="2">
        <v>72</v>
      </c>
      <c r="H461" s="2">
        <v>632.6</v>
      </c>
      <c r="I461" s="2">
        <v>31499</v>
      </c>
      <c r="J461" s="2" t="s">
        <v>1101</v>
      </c>
      <c r="K461" s="2">
        <v>34</v>
      </c>
      <c r="L461" s="2" t="s">
        <v>1102</v>
      </c>
      <c r="Q461" s="4" t="str">
        <f ca="1">IFERROR(__xludf.DUMMYFUNCTION("TRIM(SUBSTITUTE(SUBSTITUTE(D461, index(SPLIT(D461, "" ""), COLUMNS(SPLIT(D461, "" ""))), """"), index(SPLIT(D461, "" ""), COLUMNS(SPLIT(D461, "" ""))-1), """"))"),"Рогатинська")</f>
        <v>Рогатинська</v>
      </c>
    </row>
    <row r="462" spans="1:17" ht="50.5">
      <c r="A462" s="2"/>
      <c r="B462" s="2" t="s">
        <v>1065</v>
      </c>
      <c r="C462" s="2" t="s">
        <v>1066</v>
      </c>
      <c r="D462" s="2" t="s">
        <v>827</v>
      </c>
      <c r="E462" s="2"/>
      <c r="F462" s="2" t="s">
        <v>32</v>
      </c>
      <c r="G462" s="2">
        <v>14</v>
      </c>
      <c r="H462" s="2">
        <v>374.6</v>
      </c>
      <c r="I462" s="2">
        <v>26033</v>
      </c>
      <c r="J462" s="2" t="s">
        <v>1103</v>
      </c>
      <c r="K462" s="2">
        <v>12</v>
      </c>
      <c r="L462" s="2" t="s">
        <v>1104</v>
      </c>
      <c r="Q462" s="4" t="str">
        <f ca="1">IFERROR(__xludf.DUMMYFUNCTION("TRIM(SUBSTITUTE(SUBSTITUTE(D462, index(SPLIT(D462, "" ""), COLUMNS(SPLIT(D462, "" ""))), """"), index(SPLIT(D462, "" ""), COLUMNS(SPLIT(D462, "" ""))-1), """"))"),"Солотвинська")</f>
        <v>Солотвинська</v>
      </c>
    </row>
    <row r="463" spans="1:17" ht="50.5">
      <c r="A463" s="2"/>
      <c r="B463" s="2" t="s">
        <v>1065</v>
      </c>
      <c r="C463" s="2" t="s">
        <v>1066</v>
      </c>
      <c r="D463" s="2" t="s">
        <v>1105</v>
      </c>
      <c r="E463" s="2"/>
      <c r="F463" s="2" t="s">
        <v>28</v>
      </c>
      <c r="G463" s="2">
        <v>5</v>
      </c>
      <c r="H463" s="2">
        <v>84.1</v>
      </c>
      <c r="I463" s="2">
        <v>5926</v>
      </c>
      <c r="J463" s="2" t="s">
        <v>143</v>
      </c>
      <c r="K463" s="2">
        <v>2</v>
      </c>
      <c r="L463" s="2" t="s">
        <v>1106</v>
      </c>
      <c r="Q463" s="4" t="str">
        <f ca="1">IFERROR(__xludf.DUMMYFUNCTION("TRIM(SUBSTITUTE(SUBSTITUTE(D463, index(SPLIT(D463, "" ""), COLUMNS(SPLIT(D463, "" ""))), """"), index(SPLIT(D463, "" ""), COLUMNS(SPLIT(D463, "" ""))-1), """"))"),"Старобогородчанська")</f>
        <v>Старобогородчанська</v>
      </c>
    </row>
    <row r="464" spans="1:17" ht="75.5">
      <c r="A464" s="2"/>
      <c r="B464" s="2" t="s">
        <v>1065</v>
      </c>
      <c r="C464" s="2" t="s">
        <v>1066</v>
      </c>
      <c r="D464" s="2" t="s">
        <v>1107</v>
      </c>
      <c r="E464" s="2"/>
      <c r="F464" s="2" t="s">
        <v>20</v>
      </c>
      <c r="G464" s="2">
        <v>19</v>
      </c>
      <c r="H464" s="2">
        <v>246.3</v>
      </c>
      <c r="I464" s="2">
        <v>28505</v>
      </c>
      <c r="J464" s="2" t="s">
        <v>1108</v>
      </c>
      <c r="K464" s="2">
        <v>14</v>
      </c>
      <c r="L464" s="2" t="s">
        <v>1109</v>
      </c>
      <c r="Q464" s="4" t="str">
        <f ca="1">IFERROR(__xludf.DUMMYFUNCTION("TRIM(SUBSTITUTE(SUBSTITUTE(D464, index(SPLIT(D464, "" ""), COLUMNS(SPLIT(D464, "" ""))), """"), index(SPLIT(D464, "" ""), COLUMNS(SPLIT(D464, "" ""))-1), """"))"),"Тисменицька")</f>
        <v>Тисменицька</v>
      </c>
    </row>
    <row r="465" spans="1:17" ht="88">
      <c r="A465" s="2"/>
      <c r="B465" s="2" t="s">
        <v>1065</v>
      </c>
      <c r="C465" s="2" t="s">
        <v>1066</v>
      </c>
      <c r="D465" s="2" t="s">
        <v>1110</v>
      </c>
      <c r="E465" s="2"/>
      <c r="F465" s="2" t="s">
        <v>20</v>
      </c>
      <c r="G465" s="2">
        <v>35</v>
      </c>
      <c r="H465" s="2">
        <v>363.5</v>
      </c>
      <c r="I465" s="2">
        <v>27446</v>
      </c>
      <c r="J465" s="2" t="s">
        <v>33</v>
      </c>
      <c r="K465" s="2">
        <v>19</v>
      </c>
      <c r="L465" s="2" t="s">
        <v>1111</v>
      </c>
      <c r="Q465" s="4" t="str">
        <f ca="1">IFERROR(__xludf.DUMMYFUNCTION("TRIM(SUBSTITUTE(SUBSTITUTE(D465, index(SPLIT(D465, "" ""), COLUMNS(SPLIT(D465, "" ""))), """"), index(SPLIT(D465, "" ""), COLUMNS(SPLIT(D465, "" ""))-1), """"))"),"Тлумацька")</f>
        <v>Тлумацька</v>
      </c>
    </row>
    <row r="466" spans="1:17" ht="38">
      <c r="A466" s="2"/>
      <c r="B466" s="2" t="s">
        <v>1065</v>
      </c>
      <c r="C466" s="2" t="s">
        <v>1066</v>
      </c>
      <c r="D466" s="2" t="s">
        <v>1112</v>
      </c>
      <c r="E466" s="2"/>
      <c r="F466" s="2" t="s">
        <v>28</v>
      </c>
      <c r="G466" s="2">
        <v>2</v>
      </c>
      <c r="H466" s="2">
        <v>17.899999999999999</v>
      </c>
      <c r="I466" s="2">
        <v>3366</v>
      </c>
      <c r="J466" s="2" t="s">
        <v>93</v>
      </c>
      <c r="K466" s="2">
        <v>2</v>
      </c>
      <c r="L466" s="2" t="s">
        <v>1113</v>
      </c>
      <c r="Q466" s="4" t="str">
        <f ca="1">IFERROR(__xludf.DUMMYFUNCTION("TRIM(SUBSTITUTE(SUBSTITUTE(D466, index(SPLIT(D466, "" ""), COLUMNS(SPLIT(D466, "" ""))), """"), index(SPLIT(D466, "" ""), COLUMNS(SPLIT(D466, "" ""))-1), """"))"),"Угринівська")</f>
        <v>Угринівська</v>
      </c>
    </row>
    <row r="467" spans="1:17" ht="38">
      <c r="A467" s="2"/>
      <c r="B467" s="2" t="s">
        <v>1065</v>
      </c>
      <c r="C467" s="2" t="s">
        <v>1066</v>
      </c>
      <c r="D467" s="2" t="s">
        <v>1114</v>
      </c>
      <c r="E467" s="2"/>
      <c r="F467" s="2" t="s">
        <v>28</v>
      </c>
      <c r="G467" s="2">
        <v>7</v>
      </c>
      <c r="H467" s="2">
        <v>128</v>
      </c>
      <c r="I467" s="2">
        <v>9273</v>
      </c>
      <c r="J467" s="2" t="s">
        <v>39</v>
      </c>
      <c r="K467" s="2">
        <v>6</v>
      </c>
      <c r="L467" s="2" t="s">
        <v>1115</v>
      </c>
      <c r="Q467" s="4" t="str">
        <f ca="1">IFERROR(__xludf.DUMMYFUNCTION("TRIM(SUBSTITUTE(SUBSTITUTE(D467, index(SPLIT(D467, "" ""), COLUMNS(SPLIT(D467, "" ""))), """"), index(SPLIT(D467, "" ""), COLUMNS(SPLIT(D467, "" ""))-1), """"))"),"Ямницька")</f>
        <v>Ямницька</v>
      </c>
    </row>
    <row r="468" spans="1:17" ht="50.5">
      <c r="A468" s="2"/>
      <c r="B468" s="2" t="s">
        <v>1065</v>
      </c>
      <c r="C468" s="2" t="s">
        <v>1116</v>
      </c>
      <c r="D468" s="2" t="s">
        <v>1117</v>
      </c>
      <c r="E468" s="2"/>
      <c r="F468" s="2" t="s">
        <v>28</v>
      </c>
      <c r="G468" s="2">
        <v>17</v>
      </c>
      <c r="H468" s="2">
        <v>353.8</v>
      </c>
      <c r="I468" s="2">
        <v>8639</v>
      </c>
      <c r="J468" s="2" t="s">
        <v>254</v>
      </c>
      <c r="K468" s="2">
        <v>11</v>
      </c>
      <c r="L468" s="2" t="s">
        <v>1118</v>
      </c>
      <c r="Q468" s="4" t="str">
        <f ca="1">IFERROR(__xludf.DUMMYFUNCTION("TRIM(SUBSTITUTE(SUBSTITUTE(D468, index(SPLIT(D468, "" ""), COLUMNS(SPLIT(D468, "" ""))), """"), index(SPLIT(D468, "" ""), COLUMNS(SPLIT(D468, "" ""))-1), """"))"),"Білоберізька")</f>
        <v>Білоберізька</v>
      </c>
    </row>
    <row r="469" spans="1:17" ht="50.5">
      <c r="A469" s="2"/>
      <c r="B469" s="2" t="s">
        <v>1065</v>
      </c>
      <c r="C469" s="2" t="s">
        <v>1116</v>
      </c>
      <c r="D469" s="2" t="s">
        <v>1119</v>
      </c>
      <c r="E469" s="2"/>
      <c r="F469" s="2" t="s">
        <v>32</v>
      </c>
      <c r="G469" s="2">
        <v>20</v>
      </c>
      <c r="H469" s="2">
        <v>407.2</v>
      </c>
      <c r="I469" s="2">
        <v>19845</v>
      </c>
      <c r="J469" s="2" t="s">
        <v>1120</v>
      </c>
      <c r="K469" s="2">
        <v>11</v>
      </c>
      <c r="L469" s="2" t="s">
        <v>1121</v>
      </c>
      <c r="Q469" s="4" t="str">
        <f ca="1">IFERROR(__xludf.DUMMYFUNCTION("TRIM(SUBSTITUTE(SUBSTITUTE(D469, index(SPLIT(D469, "" ""), COLUMNS(SPLIT(D469, "" ""))), """"), index(SPLIT(D469, "" ""), COLUMNS(SPLIT(D469, "" ""))-1), """"))"),"Верховинська")</f>
        <v>Верховинська</v>
      </c>
    </row>
    <row r="470" spans="1:17" ht="38">
      <c r="A470" s="2"/>
      <c r="B470" s="2" t="s">
        <v>1065</v>
      </c>
      <c r="C470" s="2" t="s">
        <v>1116</v>
      </c>
      <c r="D470" s="2" t="s">
        <v>1122</v>
      </c>
      <c r="E470" s="2"/>
      <c r="F470" s="2" t="s">
        <v>28</v>
      </c>
      <c r="G470" s="2">
        <v>6</v>
      </c>
      <c r="H470" s="2">
        <v>487.3</v>
      </c>
      <c r="I470" s="2">
        <v>1915</v>
      </c>
      <c r="J470" s="2" t="s">
        <v>1123</v>
      </c>
      <c r="K470" s="2">
        <v>2</v>
      </c>
      <c r="L470" s="2" t="s">
        <v>1124</v>
      </c>
      <c r="Q470" s="4" t="str">
        <f ca="1">IFERROR(__xludf.DUMMYFUNCTION("TRIM(SUBSTITUTE(SUBSTITUTE(D470, index(SPLIT(D470, "" ""), COLUMNS(SPLIT(D470, "" ""))), """"), index(SPLIT(D470, "" ""), COLUMNS(SPLIT(D470, "" ""))-1), """"))"),"Зеленська")</f>
        <v>Зеленська</v>
      </c>
    </row>
    <row r="471" spans="1:17" ht="38">
      <c r="A471" s="2"/>
      <c r="B471" s="2" t="s">
        <v>1065</v>
      </c>
      <c r="C471" s="2" t="s">
        <v>1125</v>
      </c>
      <c r="D471" s="2" t="s">
        <v>1126</v>
      </c>
      <c r="E471" s="2"/>
      <c r="F471" s="2" t="s">
        <v>20</v>
      </c>
      <c r="G471" s="2">
        <v>11</v>
      </c>
      <c r="H471" s="2">
        <v>287</v>
      </c>
      <c r="I471" s="2">
        <v>19666</v>
      </c>
      <c r="J471" s="2" t="s">
        <v>1127</v>
      </c>
      <c r="K471" s="2">
        <v>6</v>
      </c>
      <c r="L471" s="2" t="s">
        <v>1128</v>
      </c>
      <c r="Q471" s="4" t="str">
        <f ca="1">IFERROR(__xludf.DUMMYFUNCTION("TRIM(SUBSTITUTE(SUBSTITUTE(D471, index(SPLIT(D471, "" ""), COLUMNS(SPLIT(D471, "" ""))), """"), index(SPLIT(D471, "" ""), COLUMNS(SPLIT(D471, "" ""))-1), """"))"),"Болехівська")</f>
        <v>Болехівська</v>
      </c>
    </row>
    <row r="472" spans="1:17" ht="50.5">
      <c r="A472" s="2"/>
      <c r="B472" s="2" t="s">
        <v>1065</v>
      </c>
      <c r="C472" s="2" t="s">
        <v>1125</v>
      </c>
      <c r="D472" s="2" t="s">
        <v>1129</v>
      </c>
      <c r="E472" s="2"/>
      <c r="F472" s="2" t="s">
        <v>32</v>
      </c>
      <c r="G472" s="2">
        <v>5</v>
      </c>
      <c r="H472" s="2">
        <v>88.5</v>
      </c>
      <c r="I472" s="2">
        <v>11160</v>
      </c>
      <c r="J472" s="2" t="s">
        <v>39</v>
      </c>
      <c r="K472" s="2">
        <v>5</v>
      </c>
      <c r="L472" s="2" t="s">
        <v>1130</v>
      </c>
      <c r="Q472" s="4" t="str">
        <f ca="1">IFERROR(__xludf.DUMMYFUNCTION("TRIM(SUBSTITUTE(SUBSTITUTE(D472, index(SPLIT(D472, "" ""), COLUMNS(SPLIT(D472, "" ""))), """"), index(SPLIT(D472, "" ""), COLUMNS(SPLIT(D472, "" ""))-1), """"))"),"Брошнів-Осадська")</f>
        <v>Брошнів-Осадська</v>
      </c>
    </row>
    <row r="473" spans="1:17" ht="38">
      <c r="A473" s="2"/>
      <c r="B473" s="2" t="s">
        <v>1065</v>
      </c>
      <c r="C473" s="2" t="s">
        <v>1125</v>
      </c>
      <c r="D473" s="2" t="s">
        <v>1131</v>
      </c>
      <c r="E473" s="2"/>
      <c r="F473" s="2" t="s">
        <v>28</v>
      </c>
      <c r="G473" s="2">
        <v>12</v>
      </c>
      <c r="H473" s="2">
        <v>139.9</v>
      </c>
      <c r="I473" s="2">
        <v>10203</v>
      </c>
      <c r="J473" s="2" t="s">
        <v>143</v>
      </c>
      <c r="K473" s="2">
        <v>6</v>
      </c>
      <c r="L473" s="2" t="s">
        <v>1132</v>
      </c>
      <c r="Q473" s="4" t="str">
        <f ca="1">IFERROR(__xludf.DUMMYFUNCTION("TRIM(SUBSTITUTE(SUBSTITUTE(D473, index(SPLIT(D473, "" ""), COLUMNS(SPLIT(D473, "" ""))), """"), index(SPLIT(D473, "" ""), COLUMNS(SPLIT(D473, "" ""))-1), """"))"),"Верхнянська")</f>
        <v>Верхнянська</v>
      </c>
    </row>
    <row r="474" spans="1:17" ht="50.5">
      <c r="A474" s="2"/>
      <c r="B474" s="2" t="s">
        <v>1065</v>
      </c>
      <c r="C474" s="2" t="s">
        <v>1125</v>
      </c>
      <c r="D474" s="2" t="s">
        <v>1133</v>
      </c>
      <c r="E474" s="2"/>
      <c r="F474" s="2" t="s">
        <v>32</v>
      </c>
      <c r="G474" s="2">
        <v>17</v>
      </c>
      <c r="H474" s="2">
        <v>797.6</v>
      </c>
      <c r="I474" s="2">
        <v>18215</v>
      </c>
      <c r="J474" s="2" t="s">
        <v>249</v>
      </c>
      <c r="K474" s="2">
        <v>12</v>
      </c>
      <c r="L474" s="2" t="s">
        <v>1134</v>
      </c>
      <c r="Q474" s="4" t="str">
        <f ca="1">IFERROR(__xludf.DUMMYFUNCTION("TRIM(SUBSTITUTE(SUBSTITUTE(D474, index(SPLIT(D474, "" ""), COLUMNS(SPLIT(D474, "" ""))), """"), index(SPLIT(D474, "" ""), COLUMNS(SPLIT(D474, "" ""))-1), """"))"),"Вигодська")</f>
        <v>Вигодська</v>
      </c>
    </row>
    <row r="475" spans="1:17" ht="38">
      <c r="A475" s="2"/>
      <c r="B475" s="2" t="s">
        <v>1065</v>
      </c>
      <c r="C475" s="2" t="s">
        <v>1125</v>
      </c>
      <c r="D475" s="2" t="s">
        <v>1135</v>
      </c>
      <c r="E475" s="2"/>
      <c r="F475" s="2" t="s">
        <v>28</v>
      </c>
      <c r="G475" s="2">
        <v>9</v>
      </c>
      <c r="H475" s="2">
        <v>154.4</v>
      </c>
      <c r="I475" s="2">
        <v>5748</v>
      </c>
      <c r="J475" s="2" t="s">
        <v>33</v>
      </c>
      <c r="K475" s="2">
        <v>5</v>
      </c>
      <c r="L475" s="2" t="s">
        <v>1136</v>
      </c>
      <c r="Q475" s="4" t="str">
        <f ca="1">IFERROR(__xludf.DUMMYFUNCTION("TRIM(SUBSTITUTE(SUBSTITUTE(D475, index(SPLIT(D475, "" ""), COLUMNS(SPLIT(D475, "" ""))), """"), index(SPLIT(D475, "" ""), COLUMNS(SPLIT(D475, "" ""))-1), """"))"),"Витвицька")</f>
        <v>Витвицька</v>
      </c>
    </row>
    <row r="476" spans="1:17" ht="38">
      <c r="A476" s="2"/>
      <c r="B476" s="2" t="s">
        <v>1065</v>
      </c>
      <c r="C476" s="2" t="s">
        <v>1125</v>
      </c>
      <c r="D476" s="2" t="s">
        <v>1137</v>
      </c>
      <c r="E476" s="2"/>
      <c r="F476" s="2" t="s">
        <v>32</v>
      </c>
      <c r="G476" s="2">
        <v>16</v>
      </c>
      <c r="H476" s="2">
        <v>163.4</v>
      </c>
      <c r="I476" s="2">
        <v>10375</v>
      </c>
      <c r="J476" s="2" t="s">
        <v>178</v>
      </c>
      <c r="K476" s="2">
        <v>5</v>
      </c>
      <c r="L476" s="2" t="s">
        <v>1138</v>
      </c>
      <c r="Q476" s="4" t="str">
        <f ca="1">IFERROR(__xludf.DUMMYFUNCTION("TRIM(SUBSTITUTE(SUBSTITUTE(D476, index(SPLIT(D476, "" ""), COLUMNS(SPLIT(D476, "" ""))), """"), index(SPLIT(D476, "" ""), COLUMNS(SPLIT(D476, "" ""))-1), """"))"),"Войнилівська")</f>
        <v>Войнилівська</v>
      </c>
    </row>
    <row r="477" spans="1:17" ht="75.5">
      <c r="A477" s="2"/>
      <c r="B477" s="2" t="s">
        <v>1065</v>
      </c>
      <c r="C477" s="2" t="s">
        <v>1125</v>
      </c>
      <c r="D477" s="2" t="s">
        <v>969</v>
      </c>
      <c r="E477" s="2"/>
      <c r="F477" s="2" t="s">
        <v>20</v>
      </c>
      <c r="G477" s="2">
        <v>22</v>
      </c>
      <c r="H477" s="2">
        <v>351.6</v>
      </c>
      <c r="I477" s="2">
        <v>48644</v>
      </c>
      <c r="J477" s="2" t="s">
        <v>46</v>
      </c>
      <c r="K477" s="2">
        <v>18</v>
      </c>
      <c r="L477" s="2" t="s">
        <v>1139</v>
      </c>
      <c r="Q477" s="4" t="str">
        <f ca="1">IFERROR(__xludf.DUMMYFUNCTION("TRIM(SUBSTITUTE(SUBSTITUTE(D477, index(SPLIT(D477, "" ""), COLUMNS(SPLIT(D477, "" ""))), """"), index(SPLIT(D477, "" ""), COLUMNS(SPLIT(D477, "" ""))-1), """"))"),"Долинська")</f>
        <v>Долинська</v>
      </c>
    </row>
    <row r="478" spans="1:17" ht="38">
      <c r="A478" s="2"/>
      <c r="B478" s="2" t="s">
        <v>1065</v>
      </c>
      <c r="C478" s="2" t="s">
        <v>1125</v>
      </c>
      <c r="D478" s="2" t="s">
        <v>220</v>
      </c>
      <c r="E478" s="2"/>
      <c r="F478" s="2" t="s">
        <v>28</v>
      </c>
      <c r="G478" s="2">
        <v>11</v>
      </c>
      <c r="H478" s="2">
        <v>91.9</v>
      </c>
      <c r="I478" s="2">
        <v>6958</v>
      </c>
      <c r="J478" s="2" t="s">
        <v>163</v>
      </c>
      <c r="K478" s="2">
        <v>6</v>
      </c>
      <c r="L478" s="2" t="s">
        <v>1140</v>
      </c>
      <c r="Q478" s="4" t="str">
        <f ca="1">IFERROR(__xludf.DUMMYFUNCTION("TRIM(SUBSTITUTE(SUBSTITUTE(D478, index(SPLIT(D478, "" ""), COLUMNS(SPLIT(D478, "" ""))), """"), index(SPLIT(D478, "" ""), COLUMNS(SPLIT(D478, "" ""))-1), """"))"),"Дубівська")</f>
        <v>Дубівська</v>
      </c>
    </row>
    <row r="479" spans="1:17" ht="50.5">
      <c r="A479" s="2"/>
      <c r="B479" s="2" t="s">
        <v>1065</v>
      </c>
      <c r="C479" s="2" t="s">
        <v>1125</v>
      </c>
      <c r="D479" s="2" t="s">
        <v>1141</v>
      </c>
      <c r="E479" s="2"/>
      <c r="F479" s="2" t="s">
        <v>20</v>
      </c>
      <c r="G479" s="2">
        <v>17</v>
      </c>
      <c r="H479" s="2">
        <v>265.5</v>
      </c>
      <c r="I479" s="2">
        <v>88154</v>
      </c>
      <c r="J479" s="2" t="s">
        <v>1142</v>
      </c>
      <c r="K479" s="2">
        <v>12</v>
      </c>
      <c r="L479" s="2" t="s">
        <v>1143</v>
      </c>
      <c r="Q479" s="4" t="str">
        <f ca="1">IFERROR(__xludf.DUMMYFUNCTION("TRIM(SUBSTITUTE(SUBSTITUTE(D479, index(SPLIT(D479, "" ""), COLUMNS(SPLIT(D479, "" ""))), """"), index(SPLIT(D479, "" ""), COLUMNS(SPLIT(D479, "" ""))-1), """"))"),"Калуська")</f>
        <v>Калуська</v>
      </c>
    </row>
    <row r="480" spans="1:17" ht="38">
      <c r="A480" s="2"/>
      <c r="B480" s="2" t="s">
        <v>1065</v>
      </c>
      <c r="C480" s="2" t="s">
        <v>1125</v>
      </c>
      <c r="D480" s="2" t="s">
        <v>1144</v>
      </c>
      <c r="E480" s="2"/>
      <c r="F480" s="2" t="s">
        <v>28</v>
      </c>
      <c r="G480" s="2">
        <v>10</v>
      </c>
      <c r="H480" s="2">
        <v>140.9</v>
      </c>
      <c r="I480" s="2">
        <v>13937</v>
      </c>
      <c r="J480" s="2" t="s">
        <v>249</v>
      </c>
      <c r="K480" s="2">
        <v>6</v>
      </c>
      <c r="L480" s="2" t="s">
        <v>1145</v>
      </c>
      <c r="Q480" s="4" t="str">
        <f ca="1">IFERROR(__xludf.DUMMYFUNCTION("TRIM(SUBSTITUTE(SUBSTITUTE(D480, index(SPLIT(D480, "" ""), COLUMNS(SPLIT(D480, "" ""))), """"), index(SPLIT(D480, "" ""), COLUMNS(SPLIT(D480, "" ""))-1), """"))"),"Новицька")</f>
        <v>Новицька</v>
      </c>
    </row>
    <row r="481" spans="1:17" ht="38">
      <c r="A481" s="2"/>
      <c r="B481" s="2" t="s">
        <v>1065</v>
      </c>
      <c r="C481" s="2" t="s">
        <v>1125</v>
      </c>
      <c r="D481" s="2" t="s">
        <v>1146</v>
      </c>
      <c r="E481" s="2"/>
      <c r="F481" s="2" t="s">
        <v>32</v>
      </c>
      <c r="G481" s="2">
        <v>16</v>
      </c>
      <c r="H481" s="2">
        <v>668.6</v>
      </c>
      <c r="I481" s="2">
        <v>23795</v>
      </c>
      <c r="J481" s="2" t="s">
        <v>1147</v>
      </c>
      <c r="K481" s="2">
        <v>6</v>
      </c>
      <c r="L481" s="2" t="s">
        <v>1148</v>
      </c>
      <c r="Q481" s="4" t="str">
        <f ca="1">IFERROR(__xludf.DUMMYFUNCTION("TRIM(SUBSTITUTE(SUBSTITUTE(D481, index(SPLIT(D481, "" ""), COLUMNS(SPLIT(D481, "" ""))), """"), index(SPLIT(D481, "" ""), COLUMNS(SPLIT(D481, "" ""))-1), """"))"),"Перегінська")</f>
        <v>Перегінська</v>
      </c>
    </row>
    <row r="482" spans="1:17" ht="38">
      <c r="A482" s="2"/>
      <c r="B482" s="2" t="s">
        <v>1065</v>
      </c>
      <c r="C482" s="2" t="s">
        <v>1125</v>
      </c>
      <c r="D482" s="2" t="s">
        <v>1149</v>
      </c>
      <c r="E482" s="2"/>
      <c r="F482" s="2" t="s">
        <v>32</v>
      </c>
      <c r="G482" s="2">
        <v>10</v>
      </c>
      <c r="H482" s="2">
        <v>179.1</v>
      </c>
      <c r="I482" s="2">
        <v>20162</v>
      </c>
      <c r="J482" s="2" t="s">
        <v>1150</v>
      </c>
      <c r="K482" s="2">
        <v>8</v>
      </c>
      <c r="L482" s="2" t="s">
        <v>1151</v>
      </c>
      <c r="Q482" s="4" t="str">
        <f ca="1">IFERROR(__xludf.DUMMYFUNCTION("TRIM(SUBSTITUTE(SUBSTITUTE(D482, index(SPLIT(D482, "" ""), COLUMNS(SPLIT(D482, "" ""))), """"), index(SPLIT(D482, "" ""), COLUMNS(SPLIT(D482, "" ""))-1), """"))"),"Рожнятівська")</f>
        <v>Рожнятівська</v>
      </c>
    </row>
    <row r="483" spans="1:17" ht="38">
      <c r="A483" s="2"/>
      <c r="B483" s="2" t="s">
        <v>1065</v>
      </c>
      <c r="C483" s="2" t="s">
        <v>1125</v>
      </c>
      <c r="D483" s="2" t="s">
        <v>1152</v>
      </c>
      <c r="E483" s="2"/>
      <c r="F483" s="2" t="s">
        <v>28</v>
      </c>
      <c r="G483" s="2">
        <v>6</v>
      </c>
      <c r="H483" s="2">
        <v>234.3</v>
      </c>
      <c r="I483" s="2">
        <v>5807</v>
      </c>
      <c r="J483" s="2" t="s">
        <v>178</v>
      </c>
      <c r="K483" s="2">
        <v>4</v>
      </c>
      <c r="L483" s="2" t="s">
        <v>1153</v>
      </c>
      <c r="Q483" s="4" t="str">
        <f ca="1">IFERROR(__xludf.DUMMYFUNCTION("TRIM(SUBSTITUTE(SUBSTITUTE(D483, index(SPLIT(D483, "" ""), COLUMNS(SPLIT(D483, "" ""))), """"), index(SPLIT(D483, "" ""), COLUMNS(SPLIT(D483, "" ""))-1), """"))"),"Спаська")</f>
        <v>Спаська</v>
      </c>
    </row>
    <row r="484" spans="1:17" ht="38">
      <c r="A484" s="2"/>
      <c r="B484" s="2" t="s">
        <v>1065</v>
      </c>
      <c r="C484" s="2" t="s">
        <v>1154</v>
      </c>
      <c r="D484" s="2" t="s">
        <v>1155</v>
      </c>
      <c r="E484" s="2"/>
      <c r="F484" s="2" t="s">
        <v>32</v>
      </c>
      <c r="G484" s="2">
        <v>8</v>
      </c>
      <c r="H484" s="2">
        <v>65.7</v>
      </c>
      <c r="I484" s="2">
        <v>7126</v>
      </c>
      <c r="J484" s="2" t="s">
        <v>163</v>
      </c>
      <c r="K484" s="2">
        <v>4</v>
      </c>
      <c r="L484" s="2" t="s">
        <v>1156</v>
      </c>
      <c r="Q484" s="4" t="str">
        <f ca="1">IFERROR(__xludf.DUMMYFUNCTION("TRIM(SUBSTITUTE(SUBSTITUTE(D484, index(SPLIT(D484, "" ""), COLUMNS(SPLIT(D484, "" ""))), """"), index(SPLIT(D484, "" ""), COLUMNS(SPLIT(D484, "" ""))-1), """"))"),"Гвіздецька")</f>
        <v>Гвіздецька</v>
      </c>
    </row>
    <row r="485" spans="1:17" ht="125.5">
      <c r="A485" s="2"/>
      <c r="B485" s="2" t="s">
        <v>1065</v>
      </c>
      <c r="C485" s="2" t="s">
        <v>1154</v>
      </c>
      <c r="D485" s="2" t="s">
        <v>1157</v>
      </c>
      <c r="E485" s="2"/>
      <c r="F485" s="2" t="s">
        <v>20</v>
      </c>
      <c r="G485" s="2">
        <v>40</v>
      </c>
      <c r="H485" s="2">
        <v>615.4</v>
      </c>
      <c r="I485" s="2">
        <v>44191</v>
      </c>
      <c r="J485" s="2" t="s">
        <v>1158</v>
      </c>
      <c r="K485" s="2">
        <v>27</v>
      </c>
      <c r="L485" s="2" t="s">
        <v>1159</v>
      </c>
      <c r="Q485" s="4" t="str">
        <f ca="1">IFERROR(__xludf.DUMMYFUNCTION("TRIM(SUBSTITUTE(SUBSTITUTE(D485, index(SPLIT(D485, "" ""), COLUMNS(SPLIT(D485, "" ""))), """"), index(SPLIT(D485, "" ""), COLUMNS(SPLIT(D485, "" ""))-1), """"))"),"Городенківська")</f>
        <v>Городенківська</v>
      </c>
    </row>
    <row r="486" spans="1:17" ht="50.5">
      <c r="A486" s="2"/>
      <c r="B486" s="2" t="s">
        <v>1065</v>
      </c>
      <c r="C486" s="2" t="s">
        <v>1154</v>
      </c>
      <c r="D486" s="2" t="s">
        <v>1160</v>
      </c>
      <c r="E486" s="2"/>
      <c r="F486" s="2" t="s">
        <v>32</v>
      </c>
      <c r="G486" s="2">
        <v>20</v>
      </c>
      <c r="H486" s="2">
        <v>213.6</v>
      </c>
      <c r="I486" s="2">
        <v>19752</v>
      </c>
      <c r="J486" s="2" t="s">
        <v>39</v>
      </c>
      <c r="K486" s="2">
        <v>11</v>
      </c>
      <c r="L486" s="2" t="s">
        <v>1161</v>
      </c>
      <c r="Q486" s="4" t="str">
        <f ca="1">IFERROR(__xludf.DUMMYFUNCTION("TRIM(SUBSTITUTE(SUBSTITUTE(D486, index(SPLIT(D486, "" ""), COLUMNS(SPLIT(D486, "" ""))), """"), index(SPLIT(D486, "" ""), COLUMNS(SPLIT(D486, "" ""))-1), """"))"),"Заболотівська")</f>
        <v>Заболотівська</v>
      </c>
    </row>
    <row r="487" spans="1:17" ht="38">
      <c r="A487" s="2"/>
      <c r="B487" s="2" t="s">
        <v>1065</v>
      </c>
      <c r="C487" s="2" t="s">
        <v>1154</v>
      </c>
      <c r="D487" s="2" t="s">
        <v>1162</v>
      </c>
      <c r="E487" s="2"/>
      <c r="F487" s="2" t="s">
        <v>20</v>
      </c>
      <c r="G487" s="2">
        <v>11</v>
      </c>
      <c r="H487" s="2">
        <v>182.5</v>
      </c>
      <c r="I487" s="2">
        <v>74497</v>
      </c>
      <c r="J487" s="2" t="s">
        <v>1163</v>
      </c>
      <c r="K487" s="2">
        <v>9</v>
      </c>
      <c r="L487" s="2" t="s">
        <v>1164</v>
      </c>
      <c r="Q487" s="4" t="str">
        <f ca="1">IFERROR(__xludf.DUMMYFUNCTION("TRIM(SUBSTITUTE(SUBSTITUTE(D487, index(SPLIT(D487, "" ""), COLUMNS(SPLIT(D487, "" ""))), """"), index(SPLIT(D487, "" ""), COLUMNS(SPLIT(D487, "" ""))-1), """"))"),"Коломийська")</f>
        <v>Коломийська</v>
      </c>
    </row>
    <row r="488" spans="1:17" ht="38">
      <c r="A488" s="2"/>
      <c r="B488" s="2" t="s">
        <v>1065</v>
      </c>
      <c r="C488" s="2" t="s">
        <v>1154</v>
      </c>
      <c r="D488" s="2" t="s">
        <v>1165</v>
      </c>
      <c r="E488" s="2"/>
      <c r="F488" s="2" t="s">
        <v>28</v>
      </c>
      <c r="G488" s="2">
        <v>8</v>
      </c>
      <c r="H488" s="2">
        <v>131</v>
      </c>
      <c r="I488" s="2">
        <v>8273</v>
      </c>
      <c r="J488" s="2" t="s">
        <v>249</v>
      </c>
      <c r="K488" s="2">
        <v>4</v>
      </c>
      <c r="L488" s="2" t="s">
        <v>1166</v>
      </c>
      <c r="Q488" s="4" t="str">
        <f ca="1">IFERROR(__xludf.DUMMYFUNCTION("TRIM(SUBSTITUTE(SUBSTITUTE(D488, index(SPLIT(D488, "" ""), COLUMNS(SPLIT(D488, "" ""))), """"), index(SPLIT(D488, "" ""), COLUMNS(SPLIT(D488, "" ""))-1), """"))"),"Коршівська")</f>
        <v>Коршівська</v>
      </c>
    </row>
    <row r="489" spans="1:17" ht="38">
      <c r="A489" s="2"/>
      <c r="B489" s="2" t="s">
        <v>1065</v>
      </c>
      <c r="C489" s="2" t="s">
        <v>1154</v>
      </c>
      <c r="D489" s="2" t="s">
        <v>1167</v>
      </c>
      <c r="E489" s="2"/>
      <c r="F489" s="2" t="s">
        <v>28</v>
      </c>
      <c r="G489" s="2">
        <v>17</v>
      </c>
      <c r="H489" s="2">
        <v>104.1</v>
      </c>
      <c r="I489" s="2">
        <v>8022</v>
      </c>
      <c r="J489" s="2" t="s">
        <v>33</v>
      </c>
      <c r="K489" s="2">
        <v>5</v>
      </c>
      <c r="L489" s="2" t="s">
        <v>1168</v>
      </c>
      <c r="Q489" s="4" t="str">
        <f ca="1">IFERROR(__xludf.DUMMYFUNCTION("TRIM(SUBSTITUTE(SUBSTITUTE(D489, index(SPLIT(D489, "" ""), COLUMNS(SPLIT(D489, "" ""))), """"), index(SPLIT(D489, "" ""), COLUMNS(SPLIT(D489, "" ""))-1), """"))"),"Матеївецька")</f>
        <v>Матеївецька</v>
      </c>
    </row>
    <row r="490" spans="1:17" ht="50.5">
      <c r="A490" s="2"/>
      <c r="B490" s="2" t="s">
        <v>1065</v>
      </c>
      <c r="C490" s="2" t="s">
        <v>1154</v>
      </c>
      <c r="D490" s="2" t="s">
        <v>1169</v>
      </c>
      <c r="E490" s="2"/>
      <c r="F490" s="2" t="s">
        <v>28</v>
      </c>
      <c r="G490" s="2">
        <v>6</v>
      </c>
      <c r="H490" s="2">
        <v>97.8</v>
      </c>
      <c r="I490" s="2">
        <v>13182</v>
      </c>
      <c r="J490" s="2" t="s">
        <v>33</v>
      </c>
      <c r="K490" s="2">
        <v>6</v>
      </c>
      <c r="L490" s="2" t="s">
        <v>1170</v>
      </c>
      <c r="Q490" s="4" t="str">
        <f ca="1">IFERROR(__xludf.DUMMYFUNCTION("TRIM(SUBSTITUTE(SUBSTITUTE(D490, index(SPLIT(D490, "" ""), COLUMNS(SPLIT(D490, "" ""))), """"), index(SPLIT(D490, "" ""), COLUMNS(SPLIT(D490, "" ""))-1), """"))"),"Нижньовербізька")</f>
        <v>Нижньовербізька</v>
      </c>
    </row>
    <row r="491" spans="1:17" ht="38">
      <c r="A491" s="2"/>
      <c r="B491" s="2" t="s">
        <v>1065</v>
      </c>
      <c r="C491" s="2" t="s">
        <v>1154</v>
      </c>
      <c r="D491" s="2" t="s">
        <v>1171</v>
      </c>
      <c r="E491" s="2"/>
      <c r="F491" s="2" t="s">
        <v>32</v>
      </c>
      <c r="G491" s="2">
        <v>19</v>
      </c>
      <c r="H491" s="2">
        <v>202.3</v>
      </c>
      <c r="I491" s="2">
        <v>20098</v>
      </c>
      <c r="J491" s="2" t="s">
        <v>1172</v>
      </c>
      <c r="K491" s="2">
        <v>9</v>
      </c>
      <c r="L491" s="2" t="s">
        <v>1173</v>
      </c>
      <c r="Q491" s="4" t="str">
        <f ca="1">IFERROR(__xludf.DUMMYFUNCTION("TRIM(SUBSTITUTE(SUBSTITUTE(D491, index(SPLIT(D491, "" ""), COLUMNS(SPLIT(D491, "" ""))), """"), index(SPLIT(D491, "" ""), COLUMNS(SPLIT(D491, "" ""))-1), """"))"),"Отинійська")</f>
        <v>Отинійська</v>
      </c>
    </row>
    <row r="492" spans="1:17" ht="38">
      <c r="A492" s="2"/>
      <c r="B492" s="2" t="s">
        <v>1065</v>
      </c>
      <c r="C492" s="2" t="s">
        <v>1154</v>
      </c>
      <c r="D492" s="2" t="s">
        <v>1174</v>
      </c>
      <c r="E492" s="2"/>
      <c r="F492" s="2" t="s">
        <v>28</v>
      </c>
      <c r="G492" s="2">
        <v>9</v>
      </c>
      <c r="H492" s="2">
        <v>126.2</v>
      </c>
      <c r="I492" s="2">
        <v>10944</v>
      </c>
      <c r="J492" s="2" t="s">
        <v>33</v>
      </c>
      <c r="K492" s="2">
        <v>6</v>
      </c>
      <c r="L492" s="2" t="s">
        <v>1175</v>
      </c>
      <c r="Q492" s="4" t="str">
        <f ca="1">IFERROR(__xludf.DUMMYFUNCTION("TRIM(SUBSTITUTE(SUBSTITUTE(D492, index(SPLIT(D492, "" ""), COLUMNS(SPLIT(D492, "" ""))), """"), index(SPLIT(D492, "" ""), COLUMNS(SPLIT(D492, "" ""))-1), """"))"),"П'ядицька")</f>
        <v>П'ядицька</v>
      </c>
    </row>
    <row r="493" spans="1:17" ht="50.5">
      <c r="A493" s="2"/>
      <c r="B493" s="2" t="s">
        <v>1065</v>
      </c>
      <c r="C493" s="2" t="s">
        <v>1154</v>
      </c>
      <c r="D493" s="2" t="s">
        <v>1176</v>
      </c>
      <c r="E493" s="2"/>
      <c r="F493" s="2" t="s">
        <v>32</v>
      </c>
      <c r="G493" s="2">
        <v>9</v>
      </c>
      <c r="H493" s="2">
        <v>183.9</v>
      </c>
      <c r="I493" s="2">
        <v>17005</v>
      </c>
      <c r="J493" s="2" t="s">
        <v>143</v>
      </c>
      <c r="K493" s="2">
        <v>8</v>
      </c>
      <c r="L493" s="2" t="s">
        <v>1177</v>
      </c>
      <c r="Q493" s="4" t="str">
        <f ca="1">IFERROR(__xludf.DUMMYFUNCTION("TRIM(SUBSTITUTE(SUBSTITUTE(D493, index(SPLIT(D493, "" ""), COLUMNS(SPLIT(D493, "" ""))), """"), index(SPLIT(D493, "" ""), COLUMNS(SPLIT(D493, "" ""))-1), """"))"),"Печеніжинська")</f>
        <v>Печеніжинська</v>
      </c>
    </row>
    <row r="494" spans="1:17" ht="50.5">
      <c r="A494" s="2"/>
      <c r="B494" s="2" t="s">
        <v>1065</v>
      </c>
      <c r="C494" s="2" t="s">
        <v>1154</v>
      </c>
      <c r="D494" s="2" t="s">
        <v>1178</v>
      </c>
      <c r="E494" s="2"/>
      <c r="F494" s="2" t="s">
        <v>28</v>
      </c>
      <c r="G494" s="2">
        <v>6</v>
      </c>
      <c r="H494" s="2">
        <v>58.3</v>
      </c>
      <c r="I494" s="2">
        <v>4928</v>
      </c>
      <c r="J494" s="2" t="s">
        <v>163</v>
      </c>
      <c r="K494" s="2">
        <v>3</v>
      </c>
      <c r="L494" s="2" t="s">
        <v>1179</v>
      </c>
      <c r="Q494" s="4" t="str">
        <f ca="1">IFERROR(__xludf.DUMMYFUNCTION("TRIM(SUBSTITUTE(SUBSTITUTE(D494, index(SPLIT(D494, "" ""), COLUMNS(SPLIT(D494, "" ""))), """"), index(SPLIT(D494, "" ""), COLUMNS(SPLIT(D494, "" ""))-1), """"))"),"Підгайчиківська")</f>
        <v>Підгайчиківська</v>
      </c>
    </row>
    <row r="495" spans="1:17" ht="100.5">
      <c r="A495" s="2"/>
      <c r="B495" s="2" t="s">
        <v>1065</v>
      </c>
      <c r="C495" s="2" t="s">
        <v>1154</v>
      </c>
      <c r="D495" s="2" t="s">
        <v>1180</v>
      </c>
      <c r="E495" s="2"/>
      <c r="F495" s="2" t="s">
        <v>20</v>
      </c>
      <c r="G495" s="2">
        <v>27</v>
      </c>
      <c r="H495" s="2">
        <v>366.1</v>
      </c>
      <c r="I495" s="2">
        <v>40954</v>
      </c>
      <c r="J495" s="2" t="s">
        <v>1181</v>
      </c>
      <c r="K495" s="2">
        <v>22</v>
      </c>
      <c r="L495" s="2" t="s">
        <v>1182</v>
      </c>
      <c r="Q495" s="4" t="str">
        <f ca="1">IFERROR(__xludf.DUMMYFUNCTION("TRIM(SUBSTITUTE(SUBSTITUTE(D495, index(SPLIT(D495, "" ""), COLUMNS(SPLIT(D495, "" ""))), """"), index(SPLIT(D495, "" ""), COLUMNS(SPLIT(D495, "" ""))-1), """"))"),"Снятинська")</f>
        <v>Снятинська</v>
      </c>
    </row>
    <row r="496" spans="1:17" ht="38">
      <c r="A496" s="2"/>
      <c r="B496" s="2" t="s">
        <v>1065</v>
      </c>
      <c r="C496" s="2" t="s">
        <v>1154</v>
      </c>
      <c r="D496" s="2" t="s">
        <v>1183</v>
      </c>
      <c r="E496" s="2"/>
      <c r="F496" s="2" t="s">
        <v>32</v>
      </c>
      <c r="G496" s="2">
        <v>10</v>
      </c>
      <c r="H496" s="2">
        <v>129.80000000000001</v>
      </c>
      <c r="I496" s="2">
        <v>6540</v>
      </c>
      <c r="J496" s="2" t="s">
        <v>1184</v>
      </c>
      <c r="K496" s="2">
        <v>6</v>
      </c>
      <c r="L496" s="2" t="s">
        <v>1185</v>
      </c>
      <c r="Q496" s="4" t="str">
        <f ca="1">IFERROR(__xludf.DUMMYFUNCTION("TRIM(SUBSTITUTE(SUBSTITUTE(D496, index(SPLIT(D496, "" ""), COLUMNS(SPLIT(D496, "" ""))), """"), index(SPLIT(D496, "" ""), COLUMNS(SPLIT(D496, "" ""))-1), """"))"),"Чернелицька")</f>
        <v>Чернелицька</v>
      </c>
    </row>
    <row r="497" spans="1:17" ht="38">
      <c r="A497" s="2"/>
      <c r="B497" s="2" t="s">
        <v>1065</v>
      </c>
      <c r="C497" s="2" t="s">
        <v>1186</v>
      </c>
      <c r="D497" s="2" t="s">
        <v>1187</v>
      </c>
      <c r="E497" s="2"/>
      <c r="F497" s="2" t="s">
        <v>28</v>
      </c>
      <c r="G497" s="2">
        <v>3</v>
      </c>
      <c r="H497" s="2">
        <v>114</v>
      </c>
      <c r="I497" s="2">
        <v>8125</v>
      </c>
      <c r="J497" s="2" t="s">
        <v>33</v>
      </c>
      <c r="K497" s="2">
        <v>3</v>
      </c>
      <c r="L497" s="2" t="s">
        <v>1188</v>
      </c>
      <c r="Q497" s="4" t="str">
        <f ca="1">IFERROR(__xludf.DUMMYFUNCTION("TRIM(SUBSTITUTE(SUBSTITUTE(D497, index(SPLIT(D497, "" ""), COLUMNS(SPLIT(D497, "" ""))), """"), index(SPLIT(D497, "" ""), COLUMNS(SPLIT(D497, "" ""))-1), """"))"),"Космацька")</f>
        <v>Космацька</v>
      </c>
    </row>
    <row r="498" spans="1:17" ht="63">
      <c r="A498" s="2"/>
      <c r="B498" s="2" t="s">
        <v>1065</v>
      </c>
      <c r="C498" s="2" t="s">
        <v>1186</v>
      </c>
      <c r="D498" s="2" t="s">
        <v>1189</v>
      </c>
      <c r="E498" s="2"/>
      <c r="F498" s="2" t="s">
        <v>20</v>
      </c>
      <c r="G498" s="2">
        <v>15</v>
      </c>
      <c r="H498" s="2">
        <v>337.3</v>
      </c>
      <c r="I498" s="2">
        <v>32600</v>
      </c>
      <c r="J498" s="2" t="s">
        <v>1190</v>
      </c>
      <c r="K498" s="2">
        <v>14</v>
      </c>
      <c r="L498" s="2" t="s">
        <v>1191</v>
      </c>
      <c r="Q498" s="4" t="str">
        <f ca="1">IFERROR(__xludf.DUMMYFUNCTION("TRIM(SUBSTITUTE(SUBSTITUTE(D498, index(SPLIT(D498, "" ""), COLUMNS(SPLIT(D498, "" ""))), """"), index(SPLIT(D498, "" ""), COLUMNS(SPLIT(D498, "" ""))-1), """"))"),"Косівська")</f>
        <v>Косівська</v>
      </c>
    </row>
    <row r="499" spans="1:17" ht="38">
      <c r="A499" s="2"/>
      <c r="B499" s="2" t="s">
        <v>1065</v>
      </c>
      <c r="C499" s="2" t="s">
        <v>1186</v>
      </c>
      <c r="D499" s="2" t="s">
        <v>1192</v>
      </c>
      <c r="E499" s="2"/>
      <c r="F499" s="2" t="s">
        <v>32</v>
      </c>
      <c r="G499" s="2">
        <v>7</v>
      </c>
      <c r="H499" s="2">
        <v>113.5</v>
      </c>
      <c r="I499" s="2">
        <v>15917</v>
      </c>
      <c r="J499" s="2" t="s">
        <v>1193</v>
      </c>
      <c r="K499" s="2">
        <v>7</v>
      </c>
      <c r="L499" s="2" t="s">
        <v>1194</v>
      </c>
      <c r="Q499" s="4" t="str">
        <f ca="1">IFERROR(__xludf.DUMMYFUNCTION("TRIM(SUBSTITUTE(SUBSTITUTE(D499, index(SPLIT(D499, "" ""), COLUMNS(SPLIT(D499, "" ""))), """"), index(SPLIT(D499, "" ""), COLUMNS(SPLIT(D499, "" ""))-1), """"))"),"Кутська")</f>
        <v>Кутська</v>
      </c>
    </row>
    <row r="500" spans="1:17" ht="38">
      <c r="A500" s="2"/>
      <c r="B500" s="2" t="s">
        <v>1065</v>
      </c>
      <c r="C500" s="2" t="s">
        <v>1186</v>
      </c>
      <c r="D500" s="2" t="s">
        <v>1195</v>
      </c>
      <c r="E500" s="2"/>
      <c r="F500" s="2" t="s">
        <v>28</v>
      </c>
      <c r="G500" s="2">
        <v>4</v>
      </c>
      <c r="H500" s="2">
        <v>105.9</v>
      </c>
      <c r="I500" s="2">
        <v>11994</v>
      </c>
      <c r="J500" s="2" t="s">
        <v>39</v>
      </c>
      <c r="K500" s="2">
        <v>4</v>
      </c>
      <c r="L500" s="2" t="s">
        <v>1196</v>
      </c>
      <c r="Q500" s="4" t="str">
        <f ca="1">IFERROR(__xludf.DUMMYFUNCTION("TRIM(SUBSTITUTE(SUBSTITUTE(D500, index(SPLIT(D500, "" ""), COLUMNS(SPLIT(D500, "" ""))), """"), index(SPLIT(D500, "" ""), COLUMNS(SPLIT(D500, "" ""))-1), """"))"),"Рожнівська")</f>
        <v>Рожнівська</v>
      </c>
    </row>
    <row r="501" spans="1:17" ht="50.5">
      <c r="A501" s="2"/>
      <c r="B501" s="2" t="s">
        <v>1065</v>
      </c>
      <c r="C501" s="2" t="s">
        <v>1186</v>
      </c>
      <c r="D501" s="2" t="s">
        <v>1197</v>
      </c>
      <c r="E501" s="2"/>
      <c r="F501" s="2" t="s">
        <v>32</v>
      </c>
      <c r="G501" s="2">
        <v>11</v>
      </c>
      <c r="H501" s="2">
        <v>206.5</v>
      </c>
      <c r="I501" s="2">
        <v>15801</v>
      </c>
      <c r="J501" s="2" t="s">
        <v>39</v>
      </c>
      <c r="K501" s="2">
        <v>11</v>
      </c>
      <c r="L501" s="2" t="s">
        <v>1198</v>
      </c>
      <c r="Q501" s="4" t="str">
        <f ca="1">IFERROR(__xludf.DUMMYFUNCTION("TRIM(SUBSTITUTE(SUBSTITUTE(D501, index(SPLIT(D501, "" ""), COLUMNS(SPLIT(D501, "" ""))), """"), index(SPLIT(D501, "" ""), COLUMNS(SPLIT(D501, "" ""))-1), """"))"),"Яблунівська")</f>
        <v>Яблунівська</v>
      </c>
    </row>
    <row r="502" spans="1:17" ht="50.5">
      <c r="A502" s="2"/>
      <c r="B502" s="2" t="s">
        <v>1065</v>
      </c>
      <c r="C502" s="2" t="s">
        <v>1199</v>
      </c>
      <c r="D502" s="2" t="s">
        <v>1200</v>
      </c>
      <c r="E502" s="2"/>
      <c r="F502" s="2" t="s">
        <v>32</v>
      </c>
      <c r="G502" s="2">
        <v>2</v>
      </c>
      <c r="H502" s="2">
        <v>249.7</v>
      </c>
      <c r="I502" s="2">
        <v>6003</v>
      </c>
      <c r="J502" s="2" t="s">
        <v>1201</v>
      </c>
      <c r="K502" s="2">
        <v>2</v>
      </c>
      <c r="L502" s="2" t="s">
        <v>1202</v>
      </c>
      <c r="Q502" s="4" t="str">
        <f ca="1">IFERROR(__xludf.DUMMYFUNCTION("TRIM(SUBSTITUTE(SUBSTITUTE(D502, index(SPLIT(D502, "" ""), COLUMNS(SPLIT(D502, "" ""))), """"), index(SPLIT(D502, "" ""), COLUMNS(SPLIT(D502, "" ""))-1), """"))"),"Ворохтянська")</f>
        <v>Ворохтянська</v>
      </c>
    </row>
    <row r="503" spans="1:17" ht="38">
      <c r="A503" s="2"/>
      <c r="B503" s="2" t="s">
        <v>1065</v>
      </c>
      <c r="C503" s="2" t="s">
        <v>1199</v>
      </c>
      <c r="D503" s="2" t="s">
        <v>1203</v>
      </c>
      <c r="E503" s="2"/>
      <c r="F503" s="2" t="s">
        <v>32</v>
      </c>
      <c r="G503" s="2">
        <v>5</v>
      </c>
      <c r="H503" s="2">
        <v>206.9</v>
      </c>
      <c r="I503" s="2">
        <v>21312</v>
      </c>
      <c r="J503" s="2" t="s">
        <v>178</v>
      </c>
      <c r="K503" s="2">
        <v>5</v>
      </c>
      <c r="L503" s="2" t="s">
        <v>1204</v>
      </c>
      <c r="Q503" s="4" t="str">
        <f ca="1">IFERROR(__xludf.DUMMYFUNCTION("TRIM(SUBSTITUTE(SUBSTITUTE(D503, index(SPLIT(D503, "" ""), COLUMNS(SPLIT(D503, "" ""))), """"), index(SPLIT(D503, "" ""), COLUMNS(SPLIT(D503, "" ""))-1), """"))"),"Делятинська")</f>
        <v>Делятинська</v>
      </c>
    </row>
    <row r="504" spans="1:17" ht="38">
      <c r="A504" s="2"/>
      <c r="B504" s="2" t="s">
        <v>1065</v>
      </c>
      <c r="C504" s="2" t="s">
        <v>1199</v>
      </c>
      <c r="D504" s="2" t="s">
        <v>1205</v>
      </c>
      <c r="E504" s="2"/>
      <c r="F504" s="2" t="s">
        <v>32</v>
      </c>
      <c r="G504" s="2">
        <v>5</v>
      </c>
      <c r="H504" s="2">
        <v>84.5</v>
      </c>
      <c r="I504" s="2">
        <v>11092</v>
      </c>
      <c r="J504" s="2" t="s">
        <v>39</v>
      </c>
      <c r="K504" s="2">
        <v>3</v>
      </c>
      <c r="L504" s="2" t="s">
        <v>1206</v>
      </c>
      <c r="Q504" s="4" t="str">
        <f ca="1">IFERROR(__xludf.DUMMYFUNCTION("TRIM(SUBSTITUTE(SUBSTITUTE(D504, index(SPLIT(D504, "" ""), COLUMNS(SPLIT(D504, "" ""))), """"), index(SPLIT(D504, "" ""), COLUMNS(SPLIT(D504, "" ""))-1), """"))"),"Ланчинська")</f>
        <v>Ланчинська</v>
      </c>
    </row>
    <row r="505" spans="1:17" ht="50.5">
      <c r="A505" s="2"/>
      <c r="B505" s="2" t="s">
        <v>1065</v>
      </c>
      <c r="C505" s="2" t="s">
        <v>1199</v>
      </c>
      <c r="D505" s="2" t="s">
        <v>1207</v>
      </c>
      <c r="E505" s="2"/>
      <c r="F505" s="2" t="s">
        <v>20</v>
      </c>
      <c r="G505" s="2">
        <v>13</v>
      </c>
      <c r="H505" s="2">
        <v>190.8</v>
      </c>
      <c r="I505" s="2">
        <v>43065</v>
      </c>
      <c r="J505" s="2" t="s">
        <v>1208</v>
      </c>
      <c r="K505" s="2">
        <v>10</v>
      </c>
      <c r="L505" s="2" t="s">
        <v>1209</v>
      </c>
      <c r="Q505" s="4" t="str">
        <f ca="1">IFERROR(__xludf.DUMMYFUNCTION("TRIM(SUBSTITUTE(SUBSTITUTE(D505, index(SPLIT(D505, "" ""), COLUMNS(SPLIT(D505, "" ""))), """"), index(SPLIT(D505, "" ""), COLUMNS(SPLIT(D505, "" ""))-1), """"))"),"Надвірнянська")</f>
        <v>Надвірнянська</v>
      </c>
    </row>
    <row r="506" spans="1:17" ht="38">
      <c r="A506" s="2"/>
      <c r="B506" s="2" t="s">
        <v>1065</v>
      </c>
      <c r="C506" s="2" t="s">
        <v>1199</v>
      </c>
      <c r="D506" s="2" t="s">
        <v>1210</v>
      </c>
      <c r="E506" s="2"/>
      <c r="F506" s="2" t="s">
        <v>28</v>
      </c>
      <c r="G506" s="2">
        <v>11</v>
      </c>
      <c r="H506" s="2">
        <v>420</v>
      </c>
      <c r="I506" s="2">
        <v>20848</v>
      </c>
      <c r="J506" s="2" t="s">
        <v>163</v>
      </c>
      <c r="K506" s="2">
        <v>4</v>
      </c>
      <c r="L506" s="2" t="s">
        <v>1211</v>
      </c>
      <c r="Q506" s="4" t="str">
        <f ca="1">IFERROR(__xludf.DUMMYFUNCTION("TRIM(SUBSTITUTE(SUBSTITUTE(D506, index(SPLIT(D506, "" ""), COLUMNS(SPLIT(D506, "" ""))), """"), index(SPLIT(D506, "" ""), COLUMNS(SPLIT(D506, "" ""))-1), """"))"),"Пасічнянська")</f>
        <v>Пасічнянська</v>
      </c>
    </row>
    <row r="507" spans="1:17" ht="50.5">
      <c r="A507" s="2"/>
      <c r="B507" s="2" t="s">
        <v>1065</v>
      </c>
      <c r="C507" s="2" t="s">
        <v>1199</v>
      </c>
      <c r="D507" s="2" t="s">
        <v>1212</v>
      </c>
      <c r="E507" s="2"/>
      <c r="F507" s="2" t="s">
        <v>28</v>
      </c>
      <c r="G507" s="2">
        <v>5</v>
      </c>
      <c r="H507" s="2">
        <v>96.5</v>
      </c>
      <c r="I507" s="2">
        <v>9185</v>
      </c>
      <c r="J507" s="2" t="s">
        <v>39</v>
      </c>
      <c r="K507" s="2">
        <v>5</v>
      </c>
      <c r="L507" s="2" t="s">
        <v>1213</v>
      </c>
      <c r="Q507" s="4" t="str">
        <f ca="1">IFERROR(__xludf.DUMMYFUNCTION("TRIM(SUBSTITUTE(SUBSTITUTE(D507, index(SPLIT(D507, "" ""), COLUMNS(SPLIT(D507, "" ""))), """"), index(SPLIT(D507, "" ""), COLUMNS(SPLIT(D507, "" ""))-1), """"))"),"Переріслянська")</f>
        <v>Переріслянська</v>
      </c>
    </row>
    <row r="508" spans="1:17" ht="38">
      <c r="A508" s="2"/>
      <c r="B508" s="2" t="s">
        <v>1065</v>
      </c>
      <c r="C508" s="2" t="s">
        <v>1199</v>
      </c>
      <c r="D508" s="2" t="s">
        <v>1214</v>
      </c>
      <c r="E508" s="2"/>
      <c r="F508" s="2" t="s">
        <v>28</v>
      </c>
      <c r="G508" s="2">
        <v>7</v>
      </c>
      <c r="H508" s="2">
        <v>342.9</v>
      </c>
      <c r="I508" s="2">
        <v>4760</v>
      </c>
      <c r="J508" s="2" t="s">
        <v>1215</v>
      </c>
      <c r="K508" s="2">
        <v>3</v>
      </c>
      <c r="L508" s="2" t="s">
        <v>1216</v>
      </c>
      <c r="Q508" s="4" t="str">
        <f ca="1">IFERROR(__xludf.DUMMYFUNCTION("TRIM(SUBSTITUTE(SUBSTITUTE(D508, index(SPLIT(D508, "" ""), COLUMNS(SPLIT(D508, "" ""))), """"), index(SPLIT(D508, "" ""), COLUMNS(SPLIT(D508, "" ""))-1), """"))"),"Поляницька")</f>
        <v>Поляницька</v>
      </c>
    </row>
    <row r="509" spans="1:17" ht="38">
      <c r="A509" s="2"/>
      <c r="B509" s="2" t="s">
        <v>1065</v>
      </c>
      <c r="C509" s="2" t="s">
        <v>1199</v>
      </c>
      <c r="D509" s="2" t="s">
        <v>1217</v>
      </c>
      <c r="E509" s="2"/>
      <c r="F509" s="2" t="s">
        <v>20</v>
      </c>
      <c r="G509" s="2">
        <v>2</v>
      </c>
      <c r="H509" s="2">
        <v>270.8</v>
      </c>
      <c r="I509" s="2">
        <v>13674</v>
      </c>
      <c r="J509" s="2" t="s">
        <v>1218</v>
      </c>
      <c r="K509" s="2">
        <v>2</v>
      </c>
      <c r="L509" s="2" t="s">
        <v>1219</v>
      </c>
      <c r="Q509" s="4" t="str">
        <f ca="1">IFERROR(__xludf.DUMMYFUNCTION("TRIM(SUBSTITUTE(SUBSTITUTE(D509, index(SPLIT(D509, "" ""), COLUMNS(SPLIT(D509, "" ""))), """"), index(SPLIT(D509, "" ""), COLUMNS(SPLIT(D509, "" ""))-1), """"))"),"Яремчанська")</f>
        <v>Яремчанська</v>
      </c>
    </row>
    <row r="510" spans="1:17" ht="50.5">
      <c r="A510" s="2"/>
      <c r="B510" s="2" t="s">
        <v>1220</v>
      </c>
      <c r="C510" s="2" t="s">
        <v>1221</v>
      </c>
      <c r="D510" s="2" t="s">
        <v>1222</v>
      </c>
      <c r="E510" s="2"/>
      <c r="F510" s="2" t="s">
        <v>20</v>
      </c>
      <c r="G510" s="2">
        <v>19</v>
      </c>
      <c r="H510" s="2">
        <v>527.29999999999995</v>
      </c>
      <c r="I510" s="2">
        <v>80765</v>
      </c>
      <c r="J510" s="2" t="s">
        <v>1223</v>
      </c>
      <c r="K510" s="2">
        <v>7</v>
      </c>
      <c r="L510" s="2" t="s">
        <v>1224</v>
      </c>
      <c r="Q510" s="4" t="str">
        <f ca="1">IFERROR(__xludf.DUMMYFUNCTION("TRIM(SUBSTITUTE(SUBSTITUTE(D510, index(SPLIT(D510, "" ""), COLUMNS(SPLIT(D510, "" ""))), """"), index(SPLIT(D510, "" ""), COLUMNS(SPLIT(D510, "" ""))-1), """"))"),"Бориспільська")</f>
        <v>Бориспільська</v>
      </c>
    </row>
    <row r="511" spans="1:17" ht="50.5">
      <c r="A511" s="2"/>
      <c r="B511" s="2" t="s">
        <v>1220</v>
      </c>
      <c r="C511" s="2" t="s">
        <v>1221</v>
      </c>
      <c r="D511" s="2" t="s">
        <v>1225</v>
      </c>
      <c r="E511" s="2"/>
      <c r="F511" s="2" t="s">
        <v>28</v>
      </c>
      <c r="G511" s="2">
        <v>10</v>
      </c>
      <c r="H511" s="2">
        <v>667.7</v>
      </c>
      <c r="I511" s="2">
        <v>13806</v>
      </c>
      <c r="J511" s="2" t="s">
        <v>1226</v>
      </c>
      <c r="K511" s="2">
        <v>6</v>
      </c>
      <c r="L511" s="2" t="s">
        <v>1227</v>
      </c>
      <c r="Q511" s="4" t="str">
        <f ca="1">IFERROR(__xludf.DUMMYFUNCTION("TRIM(SUBSTITUTE(SUBSTITUTE(D511, index(SPLIT(D511, "" ""), COLUMNS(SPLIT(D511, "" ""))), """"), index(SPLIT(D511, "" ""), COLUMNS(SPLIT(D511, "" ""))-1), """"))"),"Вороньківська")</f>
        <v>Вороньківська</v>
      </c>
    </row>
    <row r="512" spans="1:17" ht="38">
      <c r="A512" s="2"/>
      <c r="B512" s="2" t="s">
        <v>1220</v>
      </c>
      <c r="C512" s="2" t="s">
        <v>1221</v>
      </c>
      <c r="D512" s="2" t="s">
        <v>1228</v>
      </c>
      <c r="E512" s="2"/>
      <c r="F512" s="2" t="s">
        <v>28</v>
      </c>
      <c r="G512" s="2">
        <v>4</v>
      </c>
      <c r="H512" s="2">
        <v>60.9</v>
      </c>
      <c r="I512" s="2">
        <v>6179</v>
      </c>
      <c r="J512" s="2" t="s">
        <v>1229</v>
      </c>
      <c r="K512" s="2">
        <v>3</v>
      </c>
      <c r="L512" s="2" t="s">
        <v>1230</v>
      </c>
      <c r="Q512" s="4" t="str">
        <f ca="1">IFERROR(__xludf.DUMMYFUNCTION("TRIM(SUBSTITUTE(SUBSTITUTE(D512, index(SPLIT(D512, "" ""), COLUMNS(SPLIT(D512, "" ""))), """"), index(SPLIT(D512, "" ""), COLUMNS(SPLIT(D512, "" ""))-1), """"))"),"Гірська")</f>
        <v>Гірська</v>
      </c>
    </row>
    <row r="513" spans="1:17" ht="38">
      <c r="A513" s="2"/>
      <c r="B513" s="2" t="s">
        <v>1220</v>
      </c>
      <c r="C513" s="2" t="s">
        <v>1221</v>
      </c>
      <c r="D513" s="2" t="s">
        <v>1231</v>
      </c>
      <c r="E513" s="2"/>
      <c r="F513" s="2" t="s">
        <v>28</v>
      </c>
      <c r="G513" s="2">
        <v>7</v>
      </c>
      <c r="H513" s="2">
        <v>262.60000000000002</v>
      </c>
      <c r="I513" s="2">
        <v>4367</v>
      </c>
      <c r="J513" s="2" t="s">
        <v>39</v>
      </c>
      <c r="K513" s="2">
        <v>4</v>
      </c>
      <c r="L513" s="2" t="s">
        <v>1232</v>
      </c>
      <c r="Q513" s="4" t="str">
        <f ca="1">IFERROR(__xludf.DUMMYFUNCTION("TRIM(SUBSTITUTE(SUBSTITUTE(D513, index(SPLIT(D513, "" ""), COLUMNS(SPLIT(D513, "" ""))), """"), index(SPLIT(D513, "" ""), COLUMNS(SPLIT(D513, "" ""))-1), """"))"),"Дівичківська")</f>
        <v>Дівичківська</v>
      </c>
    </row>
    <row r="514" spans="1:17" ht="38">
      <c r="A514" s="2"/>
      <c r="B514" s="2" t="s">
        <v>1220</v>
      </c>
      <c r="C514" s="2" t="s">
        <v>1221</v>
      </c>
      <c r="D514" s="2" t="s">
        <v>1233</v>
      </c>
      <c r="E514" s="2"/>
      <c r="F514" s="2" t="s">
        <v>28</v>
      </c>
      <c r="G514" s="2">
        <v>3</v>
      </c>
      <c r="H514" s="2">
        <v>148.4</v>
      </c>
      <c r="I514" s="2">
        <v>5851</v>
      </c>
      <c r="J514" s="2" t="s">
        <v>1234</v>
      </c>
      <c r="K514" s="2">
        <v>2</v>
      </c>
      <c r="L514" s="2" t="s">
        <v>1235</v>
      </c>
      <c r="Q514" s="4" t="str">
        <f ca="1">IFERROR(__xludf.DUMMYFUNCTION("TRIM(SUBSTITUTE(SUBSTITUTE(D514, index(SPLIT(D514, "" ""), COLUMNS(SPLIT(D514, "" ""))), """"), index(SPLIT(D514, "" ""), COLUMNS(SPLIT(D514, "" ""))-1), """"))"),"Золочівська")</f>
        <v>Золочівська</v>
      </c>
    </row>
    <row r="515" spans="1:17" ht="50.5">
      <c r="A515" s="2"/>
      <c r="B515" s="2" t="s">
        <v>1220</v>
      </c>
      <c r="C515" s="2" t="s">
        <v>1221</v>
      </c>
      <c r="D515" s="2" t="s">
        <v>1236</v>
      </c>
      <c r="E515" s="2"/>
      <c r="F515" s="2" t="s">
        <v>20</v>
      </c>
      <c r="G515" s="2">
        <v>13</v>
      </c>
      <c r="H515" s="2">
        <v>260.89999999999998</v>
      </c>
      <c r="I515" s="2">
        <v>31947</v>
      </c>
      <c r="J515" s="2" t="s">
        <v>1237</v>
      </c>
      <c r="K515" s="2">
        <v>7</v>
      </c>
      <c r="L515" s="2" t="s">
        <v>1238</v>
      </c>
      <c r="Q515" s="4" t="str">
        <f ca="1">IFERROR(__xludf.DUMMYFUNCTION("TRIM(SUBSTITUTE(SUBSTITUTE(D515, index(SPLIT(D515, "" ""), COLUMNS(SPLIT(D515, "" ""))), """"), index(SPLIT(D515, "" ""), COLUMNS(SPLIT(D515, "" ""))-1), """"))"),"Переяславська")</f>
        <v>Переяславська</v>
      </c>
    </row>
    <row r="516" spans="1:17" ht="38">
      <c r="A516" s="2"/>
      <c r="B516" s="2" t="s">
        <v>1220</v>
      </c>
      <c r="C516" s="2" t="s">
        <v>1221</v>
      </c>
      <c r="D516" s="2" t="s">
        <v>1239</v>
      </c>
      <c r="E516" s="2"/>
      <c r="F516" s="2" t="s">
        <v>28</v>
      </c>
      <c r="G516" s="2">
        <v>8</v>
      </c>
      <c r="H516" s="2">
        <v>104.3</v>
      </c>
      <c r="I516" s="2">
        <v>10994</v>
      </c>
      <c r="J516" s="2" t="s">
        <v>1240</v>
      </c>
      <c r="K516" s="2">
        <v>3</v>
      </c>
      <c r="L516" s="2" t="s">
        <v>1241</v>
      </c>
      <c r="Q516" s="4" t="str">
        <f ca="1">IFERROR(__xludf.DUMMYFUNCTION("TRIM(SUBSTITUTE(SUBSTITUTE(D516, index(SPLIT(D516, "" ""), COLUMNS(SPLIT(D516, "" ""))), """"), index(SPLIT(D516, "" ""), COLUMNS(SPLIT(D516, "" ""))-1), """"))"),"Пристолична")</f>
        <v>Пристолична</v>
      </c>
    </row>
    <row r="517" spans="1:17" ht="50.5">
      <c r="A517" s="2"/>
      <c r="B517" s="2" t="s">
        <v>1220</v>
      </c>
      <c r="C517" s="2" t="s">
        <v>1221</v>
      </c>
      <c r="D517" s="2" t="s">
        <v>1242</v>
      </c>
      <c r="E517" s="2"/>
      <c r="F517" s="2" t="s">
        <v>28</v>
      </c>
      <c r="G517" s="2">
        <v>11</v>
      </c>
      <c r="H517" s="2">
        <v>324.8</v>
      </c>
      <c r="I517" s="2">
        <v>6964</v>
      </c>
      <c r="J517" s="2" t="s">
        <v>178</v>
      </c>
      <c r="K517" s="2">
        <v>8</v>
      </c>
      <c r="L517" s="2" t="s">
        <v>1243</v>
      </c>
      <c r="Q517" s="4" t="str">
        <f ca="1">IFERROR(__xludf.DUMMYFUNCTION("TRIM(SUBSTITUTE(SUBSTITUTE(D517, index(SPLIT(D517, "" ""), COLUMNS(SPLIT(D517, "" ""))), """"), index(SPLIT(D517, "" ""), COLUMNS(SPLIT(D517, "" ""))-1), """"))"),"Студениківська")</f>
        <v>Студениківська</v>
      </c>
    </row>
    <row r="518" spans="1:17" ht="50.5">
      <c r="A518" s="2"/>
      <c r="B518" s="2" t="s">
        <v>1220</v>
      </c>
      <c r="C518" s="2" t="s">
        <v>1221</v>
      </c>
      <c r="D518" s="2" t="s">
        <v>1244</v>
      </c>
      <c r="E518" s="2"/>
      <c r="F518" s="2" t="s">
        <v>28</v>
      </c>
      <c r="G518" s="2">
        <v>16</v>
      </c>
      <c r="H518" s="2">
        <v>335.3</v>
      </c>
      <c r="I518" s="2">
        <v>5308</v>
      </c>
      <c r="J518" s="2" t="s">
        <v>46</v>
      </c>
      <c r="K518" s="2">
        <v>9</v>
      </c>
      <c r="L518" s="2" t="s">
        <v>1245</v>
      </c>
      <c r="Q518" s="4" t="str">
        <f ca="1">IFERROR(__xludf.DUMMYFUNCTION("TRIM(SUBSTITUTE(SUBSTITUTE(D518, index(SPLIT(D518, "" ""), COLUMNS(SPLIT(D518, "" ""))), """"), index(SPLIT(D518, "" ""), COLUMNS(SPLIT(D518, "" ""))-1), """"))"),"Ташанська")</f>
        <v>Ташанська</v>
      </c>
    </row>
    <row r="519" spans="1:17" ht="38">
      <c r="A519" s="2"/>
      <c r="B519" s="2" t="s">
        <v>1220</v>
      </c>
      <c r="C519" s="2" t="s">
        <v>1221</v>
      </c>
      <c r="D519" s="2" t="s">
        <v>1246</v>
      </c>
      <c r="E519" s="2"/>
      <c r="F519" s="2" t="s">
        <v>28</v>
      </c>
      <c r="G519" s="2">
        <v>7</v>
      </c>
      <c r="H519" s="2">
        <v>389.4</v>
      </c>
      <c r="I519" s="2">
        <v>5938</v>
      </c>
      <c r="J519" s="2" t="s">
        <v>46</v>
      </c>
      <c r="K519" s="2">
        <v>5</v>
      </c>
      <c r="L519" s="2" t="s">
        <v>1247</v>
      </c>
      <c r="Q519" s="4" t="str">
        <f ca="1">IFERROR(__xludf.DUMMYFUNCTION("TRIM(SUBSTITUTE(SUBSTITUTE(D519, index(SPLIT(D519, "" ""), COLUMNS(SPLIT(D519, "" ""))), """"), index(SPLIT(D519, "" ""), COLUMNS(SPLIT(D519, "" ""))-1), """"))"),"Циблівська")</f>
        <v>Циблівська</v>
      </c>
    </row>
    <row r="520" spans="1:17" ht="88">
      <c r="A520" s="2"/>
      <c r="B520" s="2" t="s">
        <v>1220</v>
      </c>
      <c r="C520" s="2" t="s">
        <v>1221</v>
      </c>
      <c r="D520" s="2" t="s">
        <v>1248</v>
      </c>
      <c r="E520" s="2"/>
      <c r="F520" s="2" t="s">
        <v>20</v>
      </c>
      <c r="G520" s="2">
        <v>42</v>
      </c>
      <c r="H520" s="2">
        <v>791.6</v>
      </c>
      <c r="I520" s="2">
        <v>31154</v>
      </c>
      <c r="J520" s="2" t="s">
        <v>1249</v>
      </c>
      <c r="K520" s="2">
        <v>19</v>
      </c>
      <c r="L520" s="2" t="s">
        <v>1250</v>
      </c>
      <c r="Q520" s="4" t="str">
        <f ca="1">IFERROR(__xludf.DUMMYFUNCTION("TRIM(SUBSTITUTE(SUBSTITUTE(D520, index(SPLIT(D520, "" ""), COLUMNS(SPLIT(D520, "" ""))), """"), index(SPLIT(D520, "" ""), COLUMNS(SPLIT(D520, "" ""))-1), """"))"),"Яготинська")</f>
        <v>Яготинська</v>
      </c>
    </row>
    <row r="521" spans="1:17" ht="88">
      <c r="A521" s="2"/>
      <c r="B521" s="2" t="s">
        <v>1220</v>
      </c>
      <c r="C521" s="2" t="s">
        <v>1251</v>
      </c>
      <c r="D521" s="2" t="s">
        <v>1252</v>
      </c>
      <c r="E521" s="2"/>
      <c r="F521" s="2" t="s">
        <v>32</v>
      </c>
      <c r="G521" s="2">
        <v>28</v>
      </c>
      <c r="H521" s="2">
        <v>695.4</v>
      </c>
      <c r="I521" s="2">
        <v>26999</v>
      </c>
      <c r="J521" s="2" t="s">
        <v>249</v>
      </c>
      <c r="K521" s="2">
        <v>19</v>
      </c>
      <c r="L521" s="2" t="s">
        <v>1253</v>
      </c>
      <c r="Q521" s="4" t="str">
        <f ca="1">IFERROR(__xludf.DUMMYFUNCTION("TRIM(SUBSTITUTE(SUBSTITUTE(D521, index(SPLIT(D521, "" ""), COLUMNS(SPLIT(D521, "" ""))), """"), index(SPLIT(D521, "" ""), COLUMNS(SPLIT(D521, "" ""))-1), """"))"),"Баришівська")</f>
        <v>Баришівська</v>
      </c>
    </row>
    <row r="522" spans="1:17" ht="38">
      <c r="A522" s="2"/>
      <c r="B522" s="2" t="s">
        <v>1220</v>
      </c>
      <c r="C522" s="2" t="s">
        <v>1251</v>
      </c>
      <c r="D522" s="2" t="s">
        <v>1254</v>
      </c>
      <c r="E522" s="2"/>
      <c r="F522" s="2" t="s">
        <v>20</v>
      </c>
      <c r="G522" s="2">
        <v>10</v>
      </c>
      <c r="H522" s="2">
        <v>210.2</v>
      </c>
      <c r="I522" s="2">
        <v>21921</v>
      </c>
      <c r="J522" s="2" t="s">
        <v>1255</v>
      </c>
      <c r="K522" s="2">
        <v>8</v>
      </c>
      <c r="L522" s="2" t="s">
        <v>1256</v>
      </c>
      <c r="Q522" s="4" t="str">
        <f ca="1">IFERROR(__xludf.DUMMYFUNCTION("TRIM(SUBSTITUTE(SUBSTITUTE(D522, index(SPLIT(D522, "" ""), COLUMNS(SPLIT(D522, "" ""))), """"), index(SPLIT(D522, "" ""), COLUMNS(SPLIT(D522, "" ""))-1), """"))"),"Березанська")</f>
        <v>Березанська</v>
      </c>
    </row>
    <row r="523" spans="1:17" ht="38">
      <c r="A523" s="2"/>
      <c r="B523" s="2" t="s">
        <v>1220</v>
      </c>
      <c r="C523" s="2" t="s">
        <v>1251</v>
      </c>
      <c r="D523" s="2" t="s">
        <v>1257</v>
      </c>
      <c r="E523" s="2"/>
      <c r="F523" s="2" t="s">
        <v>20</v>
      </c>
      <c r="G523" s="2">
        <v>4</v>
      </c>
      <c r="H523" s="2">
        <v>125.2</v>
      </c>
      <c r="I523" s="2">
        <v>119573</v>
      </c>
      <c r="J523" s="2" t="s">
        <v>1258</v>
      </c>
      <c r="K523" s="2">
        <v>3</v>
      </c>
      <c r="L523" s="2" t="s">
        <v>1259</v>
      </c>
      <c r="Q523" s="4" t="str">
        <f ca="1">IFERROR(__xludf.DUMMYFUNCTION("TRIM(SUBSTITUTE(SUBSTITUTE(D523, index(SPLIT(D523, "" ""), COLUMNS(SPLIT(D523, "" ""))), """"), index(SPLIT(D523, "" ""), COLUMNS(SPLIT(D523, "" ""))-1), """"))"),"Броварська")</f>
        <v>Броварська</v>
      </c>
    </row>
    <row r="524" spans="1:17" ht="50.5">
      <c r="A524" s="2"/>
      <c r="B524" s="2" t="s">
        <v>1220</v>
      </c>
      <c r="C524" s="2" t="s">
        <v>1251</v>
      </c>
      <c r="D524" s="2" t="s">
        <v>1260</v>
      </c>
      <c r="E524" s="2"/>
      <c r="F524" s="2" t="s">
        <v>32</v>
      </c>
      <c r="G524" s="2">
        <v>23</v>
      </c>
      <c r="H524" s="2">
        <v>530.29999999999995</v>
      </c>
      <c r="I524" s="2">
        <v>30237</v>
      </c>
      <c r="J524" s="2" t="s">
        <v>39</v>
      </c>
      <c r="K524" s="2">
        <v>11</v>
      </c>
      <c r="L524" s="2" t="s">
        <v>1261</v>
      </c>
      <c r="Q524" s="4" t="str">
        <f ca="1">IFERROR(__xludf.DUMMYFUNCTION("TRIM(SUBSTITUTE(SUBSTITUTE(D524, index(SPLIT(D524, "" ""), COLUMNS(SPLIT(D524, "" ""))), """"), index(SPLIT(D524, "" ""), COLUMNS(SPLIT(D524, "" ""))-1), """"))"),"Великодимерська")</f>
        <v>Великодимерська</v>
      </c>
    </row>
    <row r="525" spans="1:17" ht="38">
      <c r="A525" s="2"/>
      <c r="B525" s="2" t="s">
        <v>1220</v>
      </c>
      <c r="C525" s="2" t="s">
        <v>1251</v>
      </c>
      <c r="D525" s="2" t="s">
        <v>1262</v>
      </c>
      <c r="E525" s="2"/>
      <c r="F525" s="2" t="s">
        <v>28</v>
      </c>
      <c r="G525" s="2">
        <v>7</v>
      </c>
      <c r="H525" s="2">
        <v>255.8</v>
      </c>
      <c r="I525" s="2">
        <v>9190</v>
      </c>
      <c r="J525" s="2" t="s">
        <v>163</v>
      </c>
      <c r="K525" s="2">
        <v>6</v>
      </c>
      <c r="L525" s="2" t="s">
        <v>1263</v>
      </c>
      <c r="Q525" s="4" t="str">
        <f ca="1">IFERROR(__xludf.DUMMYFUNCTION("TRIM(SUBSTITUTE(SUBSTITUTE(D525, index(SPLIT(D525, "" ""), COLUMNS(SPLIT(D525, "" ""))), """"), index(SPLIT(D525, "" ""), COLUMNS(SPLIT(D525, "" ""))-1), """"))"),"Зазимська")</f>
        <v>Зазимська</v>
      </c>
    </row>
    <row r="526" spans="1:17" ht="100.5">
      <c r="A526" s="2"/>
      <c r="B526" s="2" t="s">
        <v>1220</v>
      </c>
      <c r="C526" s="2" t="s">
        <v>1251</v>
      </c>
      <c r="D526" s="2" t="s">
        <v>1264</v>
      </c>
      <c r="E526" s="2"/>
      <c r="F526" s="2" t="s">
        <v>32</v>
      </c>
      <c r="G526" s="2">
        <v>41</v>
      </c>
      <c r="H526" s="2">
        <v>760.3</v>
      </c>
      <c r="I526" s="2">
        <v>15227</v>
      </c>
      <c r="J526" s="2" t="s">
        <v>1265</v>
      </c>
      <c r="K526" s="2">
        <v>21</v>
      </c>
      <c r="L526" s="2" t="s">
        <v>1266</v>
      </c>
      <c r="Q526" s="4" t="str">
        <f ca="1">IFERROR(__xludf.DUMMYFUNCTION("TRIM(SUBSTITUTE(SUBSTITUTE(D526, index(SPLIT(D526, "" ""), COLUMNS(SPLIT(D526, "" ""))), """"), index(SPLIT(D526, "" ""), COLUMNS(SPLIT(D526, "" ""))-1), """"))"),"Згурівська")</f>
        <v>Згурівська</v>
      </c>
    </row>
    <row r="527" spans="1:17" ht="38">
      <c r="A527" s="2"/>
      <c r="B527" s="2" t="s">
        <v>1220</v>
      </c>
      <c r="C527" s="2" t="s">
        <v>1251</v>
      </c>
      <c r="D527" s="2" t="s">
        <v>158</v>
      </c>
      <c r="E527" s="2"/>
      <c r="F527" s="2" t="s">
        <v>32</v>
      </c>
      <c r="G527" s="2">
        <v>6</v>
      </c>
      <c r="H527" s="2">
        <v>65.8</v>
      </c>
      <c r="I527" s="2">
        <v>8468</v>
      </c>
      <c r="J527" s="2" t="s">
        <v>163</v>
      </c>
      <c r="K527" s="2">
        <v>3</v>
      </c>
      <c r="L527" s="2" t="s">
        <v>1267</v>
      </c>
      <c r="Q527" s="4" t="str">
        <f ca="1">IFERROR(__xludf.DUMMYFUNCTION("TRIM(SUBSTITUTE(SUBSTITUTE(D527, index(SPLIT(D527, "" ""), COLUMNS(SPLIT(D527, "" ""))), """"), index(SPLIT(D527, "" ""), COLUMNS(SPLIT(D527, "" ""))-1), """"))"),"Калинівська")</f>
        <v>Калинівська</v>
      </c>
    </row>
    <row r="528" spans="1:17" ht="38">
      <c r="A528" s="2"/>
      <c r="B528" s="2" t="s">
        <v>1220</v>
      </c>
      <c r="C528" s="2" t="s">
        <v>1251</v>
      </c>
      <c r="D528" s="2" t="s">
        <v>1268</v>
      </c>
      <c r="E528" s="2"/>
      <c r="F528" s="2" t="s">
        <v>32</v>
      </c>
      <c r="G528" s="2">
        <v>6</v>
      </c>
      <c r="H528" s="2">
        <v>245.2</v>
      </c>
      <c r="I528" s="2">
        <v>10565</v>
      </c>
      <c r="J528" s="2" t="s">
        <v>143</v>
      </c>
      <c r="K528" s="2">
        <v>4</v>
      </c>
      <c r="L528" s="2" t="s">
        <v>1269</v>
      </c>
      <c r="Q528" s="4" t="str">
        <f ca="1">IFERROR(__xludf.DUMMYFUNCTION("TRIM(SUBSTITUTE(SUBSTITUTE(D528, index(SPLIT(D528, "" ""), COLUMNS(SPLIT(D528, "" ""))), """"), index(SPLIT(D528, "" ""), COLUMNS(SPLIT(D528, "" ""))-1), """"))"),"Калитянська")</f>
        <v>Калитянська</v>
      </c>
    </row>
    <row r="529" spans="1:17" ht="38">
      <c r="A529" s="2"/>
      <c r="B529" s="2" t="s">
        <v>1220</v>
      </c>
      <c r="C529" s="2" t="s">
        <v>1270</v>
      </c>
      <c r="D529" s="2" t="s">
        <v>1271</v>
      </c>
      <c r="E529" s="2"/>
      <c r="F529" s="2" t="s">
        <v>20</v>
      </c>
      <c r="G529" s="2">
        <v>5</v>
      </c>
      <c r="H529" s="2">
        <v>117.2</v>
      </c>
      <c r="I529" s="2">
        <v>69962</v>
      </c>
      <c r="J529" s="2" t="s">
        <v>1272</v>
      </c>
      <c r="K529" s="2">
        <v>3</v>
      </c>
      <c r="L529" s="2" t="s">
        <v>1273</v>
      </c>
      <c r="Q529" s="4" t="str">
        <f ca="1">IFERROR(__xludf.DUMMYFUNCTION("TRIM(SUBSTITUTE(SUBSTITUTE(D529, index(SPLIT(D529, "" ""), COLUMNS(SPLIT(D529, "" ""))), """"), index(SPLIT(D529, "" ""), COLUMNS(SPLIT(D529, "" ""))-1), """"))"),"Ірпінська")</f>
        <v>Ірпінська</v>
      </c>
    </row>
    <row r="530" spans="1:17" ht="63">
      <c r="A530" s="2"/>
      <c r="B530" s="2" t="s">
        <v>1220</v>
      </c>
      <c r="C530" s="2" t="s">
        <v>1270</v>
      </c>
      <c r="D530" s="2" t="s">
        <v>1274</v>
      </c>
      <c r="E530" s="2"/>
      <c r="F530" s="2" t="s">
        <v>32</v>
      </c>
      <c r="G530" s="2">
        <v>32</v>
      </c>
      <c r="H530" s="2">
        <v>512.70000000000005</v>
      </c>
      <c r="I530" s="2">
        <v>25332</v>
      </c>
      <c r="J530" s="2" t="s">
        <v>249</v>
      </c>
      <c r="K530" s="2">
        <v>13</v>
      </c>
      <c r="L530" s="2" t="s">
        <v>1275</v>
      </c>
      <c r="Q530" s="4" t="str">
        <f ca="1">IFERROR(__xludf.DUMMYFUNCTION("TRIM(SUBSTITUTE(SUBSTITUTE(D530, index(SPLIT(D530, "" ""), COLUMNS(SPLIT(D530, "" ""))), """"), index(SPLIT(D530, "" ""), COLUMNS(SPLIT(D530, "" ""))-1), """"))"),"Бородянська")</f>
        <v>Бородянська</v>
      </c>
    </row>
    <row r="531" spans="1:17" ht="50.5">
      <c r="A531" s="2"/>
      <c r="B531" s="2" t="s">
        <v>1220</v>
      </c>
      <c r="C531" s="2" t="s">
        <v>1270</v>
      </c>
      <c r="D531" s="2" t="s">
        <v>1276</v>
      </c>
      <c r="E531" s="2"/>
      <c r="F531" s="2" t="s">
        <v>28</v>
      </c>
      <c r="G531" s="2">
        <v>3</v>
      </c>
      <c r="H531" s="2">
        <v>38.700000000000003</v>
      </c>
      <c r="I531" s="2">
        <v>21894</v>
      </c>
      <c r="J531" s="2" t="s">
        <v>1277</v>
      </c>
      <c r="K531" s="2">
        <v>2</v>
      </c>
      <c r="L531" s="2" t="s">
        <v>1278</v>
      </c>
      <c r="Q531" s="4" t="str">
        <f ca="1">IFERROR(__xludf.DUMMYFUNCTION("TRIM(SUBSTITUTE(SUBSTITUTE(D531, index(SPLIT(D531, "" ""), COLUMNS(SPLIT(D531, "" ""))), """"), index(SPLIT(D531, "" ""), COLUMNS(SPLIT(D531, "" ""))-1), """"))"),"Борщагівська")</f>
        <v>Борщагівська</v>
      </c>
    </row>
    <row r="532" spans="1:17" ht="38">
      <c r="A532" s="2"/>
      <c r="B532" s="2" t="s">
        <v>1220</v>
      </c>
      <c r="C532" s="2" t="s">
        <v>1270</v>
      </c>
      <c r="D532" s="2" t="s">
        <v>1279</v>
      </c>
      <c r="E532" s="2"/>
      <c r="F532" s="2" t="s">
        <v>20</v>
      </c>
      <c r="G532" s="2">
        <v>14</v>
      </c>
      <c r="H532" s="2">
        <v>260.8</v>
      </c>
      <c r="I532" s="2">
        <v>57163</v>
      </c>
      <c r="J532" s="2" t="s">
        <v>1280</v>
      </c>
      <c r="K532" s="2">
        <v>9</v>
      </c>
      <c r="L532" s="2" t="s">
        <v>1281</v>
      </c>
      <c r="Q532" s="4" t="str">
        <f ca="1">IFERROR(__xludf.DUMMYFUNCTION("TRIM(SUBSTITUTE(SUBSTITUTE(D532, index(SPLIT(D532, "" ""), COLUMNS(SPLIT(D532, "" ""))), """"), index(SPLIT(D532, "" ""), COLUMNS(SPLIT(D532, "" ""))-1), """"))"),"Бучанська")</f>
        <v>Бучанська</v>
      </c>
    </row>
    <row r="533" spans="1:17" ht="50.5">
      <c r="A533" s="2"/>
      <c r="B533" s="2" t="s">
        <v>1220</v>
      </c>
      <c r="C533" s="2" t="s">
        <v>1270</v>
      </c>
      <c r="D533" s="2" t="s">
        <v>1282</v>
      </c>
      <c r="E533" s="2"/>
      <c r="F533" s="2" t="s">
        <v>28</v>
      </c>
      <c r="G533" s="2">
        <v>10</v>
      </c>
      <c r="H533" s="2">
        <v>151.1</v>
      </c>
      <c r="I533" s="2">
        <v>25392</v>
      </c>
      <c r="J533" s="2" t="s">
        <v>1283</v>
      </c>
      <c r="K533" s="2">
        <v>5</v>
      </c>
      <c r="L533" s="2" t="s">
        <v>1284</v>
      </c>
      <c r="Q533" s="4" t="str">
        <f ca="1">IFERROR(__xludf.DUMMYFUNCTION("TRIM(SUBSTITUTE(SUBSTITUTE(D533, index(SPLIT(D533, "" ""), COLUMNS(SPLIT(D533, "" ""))), """"), index(SPLIT(D533, "" ""), COLUMNS(SPLIT(D533, "" ""))-1), """"))"),"Білогородська")</f>
        <v>Білогородська</v>
      </c>
    </row>
    <row r="534" spans="1:17" ht="38">
      <c r="A534" s="2"/>
      <c r="B534" s="2" t="s">
        <v>1220</v>
      </c>
      <c r="C534" s="2" t="s">
        <v>1270</v>
      </c>
      <c r="D534" s="2" t="s">
        <v>1285</v>
      </c>
      <c r="E534" s="2"/>
      <c r="F534" s="2" t="s">
        <v>20</v>
      </c>
      <c r="G534" s="2">
        <v>2</v>
      </c>
      <c r="H534" s="2">
        <v>17.600000000000001</v>
      </c>
      <c r="I534" s="2">
        <v>48357</v>
      </c>
      <c r="J534" s="2" t="s">
        <v>1286</v>
      </c>
      <c r="K534" s="2">
        <v>2</v>
      </c>
      <c r="L534" s="2" t="s">
        <v>1287</v>
      </c>
      <c r="Q534" s="4" t="str">
        <f ca="1">IFERROR(__xludf.DUMMYFUNCTION("TRIM(SUBSTITUTE(SUBSTITUTE(D534, index(SPLIT(D534, "" ""), COLUMNS(SPLIT(D534, "" ""))), """"), index(SPLIT(D534, "" ""), COLUMNS(SPLIT(D534, "" ""))-1), """"))"),"Вишнева")</f>
        <v>Вишнева</v>
      </c>
    </row>
    <row r="535" spans="1:17" ht="50.5">
      <c r="A535" s="2"/>
      <c r="B535" s="2" t="s">
        <v>1220</v>
      </c>
      <c r="C535" s="2" t="s">
        <v>1270</v>
      </c>
      <c r="D535" s="2" t="s">
        <v>1288</v>
      </c>
      <c r="E535" s="2"/>
      <c r="F535" s="2" t="s">
        <v>32</v>
      </c>
      <c r="G535" s="2">
        <v>4</v>
      </c>
      <c r="H535" s="2">
        <v>66.5</v>
      </c>
      <c r="I535" s="2">
        <v>28649</v>
      </c>
      <c r="J535" s="2" t="s">
        <v>1289</v>
      </c>
      <c r="K535" s="2">
        <v>3</v>
      </c>
      <c r="L535" s="2" t="s">
        <v>1290</v>
      </c>
      <c r="Q535" s="4" t="str">
        <f ca="1">IFERROR(__xludf.DUMMYFUNCTION("TRIM(SUBSTITUTE(SUBSTITUTE(D535, index(SPLIT(D535, "" ""), COLUMNS(SPLIT(D535, "" ""))), """"), index(SPLIT(D535, "" ""), COLUMNS(SPLIT(D535, "" ""))-1), """"))"),"Гостомельська")</f>
        <v>Гостомельська</v>
      </c>
    </row>
    <row r="536" spans="1:17" ht="38">
      <c r="A536" s="2"/>
      <c r="B536" s="2" t="s">
        <v>1220</v>
      </c>
      <c r="C536" s="2" t="s">
        <v>1270</v>
      </c>
      <c r="D536" s="2" t="s">
        <v>1291</v>
      </c>
      <c r="E536" s="2"/>
      <c r="F536" s="2" t="s">
        <v>28</v>
      </c>
      <c r="G536" s="2">
        <v>14</v>
      </c>
      <c r="H536" s="2">
        <v>138.80000000000001</v>
      </c>
      <c r="I536" s="2">
        <v>17944</v>
      </c>
      <c r="J536" s="2" t="s">
        <v>1292</v>
      </c>
      <c r="K536" s="2">
        <v>5</v>
      </c>
      <c r="L536" s="2" t="s">
        <v>1293</v>
      </c>
      <c r="Q536" s="4" t="str">
        <f ca="1">IFERROR(__xludf.DUMMYFUNCTION("TRIM(SUBSTITUTE(SUBSTITUTE(D536, index(SPLIT(D536, "" ""), COLUMNS(SPLIT(D536, "" ""))), """"), index(SPLIT(D536, "" ""), COLUMNS(SPLIT(D536, "" ""))-1), """"))"),"Дмитрівська")</f>
        <v>Дмитрівська</v>
      </c>
    </row>
    <row r="537" spans="1:17" ht="38">
      <c r="A537" s="2"/>
      <c r="B537" s="2" t="s">
        <v>1220</v>
      </c>
      <c r="C537" s="2" t="s">
        <v>1270</v>
      </c>
      <c r="D537" s="2" t="s">
        <v>1294</v>
      </c>
      <c r="E537" s="2"/>
      <c r="F537" s="2" t="s">
        <v>32</v>
      </c>
      <c r="G537" s="2">
        <v>1</v>
      </c>
      <c r="H537" s="2">
        <v>2.4</v>
      </c>
      <c r="I537" s="2">
        <v>17249</v>
      </c>
      <c r="J537" s="2" t="s">
        <v>1295</v>
      </c>
      <c r="K537" s="2">
        <v>1</v>
      </c>
      <c r="L537" s="2" t="s">
        <v>1296</v>
      </c>
      <c r="Q537" s="4" t="str">
        <f ca="1">IFERROR(__xludf.DUMMYFUNCTION("TRIM(SUBSTITUTE(SUBSTITUTE(D537, index(SPLIT(D537, "" ""), COLUMNS(SPLIT(D537, "" ""))), """"), index(SPLIT(D537, "" ""), COLUMNS(SPLIT(D537, "" ""))-1), """"))"),"Коцюбинська")</f>
        <v>Коцюбинська</v>
      </c>
    </row>
    <row r="538" spans="1:17" ht="113">
      <c r="A538" s="2"/>
      <c r="B538" s="2" t="s">
        <v>1220</v>
      </c>
      <c r="C538" s="2" t="s">
        <v>1270</v>
      </c>
      <c r="D538" s="2" t="s">
        <v>1297</v>
      </c>
      <c r="E538" s="2"/>
      <c r="F538" s="2" t="s">
        <v>32</v>
      </c>
      <c r="G538" s="2">
        <v>49</v>
      </c>
      <c r="H538" s="2">
        <v>1012.3</v>
      </c>
      <c r="I538" s="2">
        <v>27352</v>
      </c>
      <c r="J538" s="2" t="s">
        <v>1298</v>
      </c>
      <c r="K538" s="2">
        <v>26</v>
      </c>
      <c r="L538" s="2" t="s">
        <v>1299</v>
      </c>
      <c r="Q538" s="4" t="str">
        <f ca="1">IFERROR(__xludf.DUMMYFUNCTION("TRIM(SUBSTITUTE(SUBSTITUTE(D538, index(SPLIT(D538, "" ""), COLUMNS(SPLIT(D538, "" ""))), """"), index(SPLIT(D538, "" ""), COLUMNS(SPLIT(D538, "" ""))-1), """"))"),"Макарівська")</f>
        <v>Макарівська</v>
      </c>
    </row>
    <row r="539" spans="1:17" ht="50.5">
      <c r="A539" s="2"/>
      <c r="B539" s="2" t="s">
        <v>1220</v>
      </c>
      <c r="C539" s="2" t="s">
        <v>1270</v>
      </c>
      <c r="D539" s="2" t="s">
        <v>1300</v>
      </c>
      <c r="E539" s="2"/>
      <c r="F539" s="2" t="s">
        <v>32</v>
      </c>
      <c r="G539" s="2">
        <v>4</v>
      </c>
      <c r="H539" s="2">
        <v>80</v>
      </c>
      <c r="I539" s="2">
        <v>15184</v>
      </c>
      <c r="J539" s="2" t="s">
        <v>1301</v>
      </c>
      <c r="K539" s="2">
        <v>3</v>
      </c>
      <c r="L539" s="2" t="s">
        <v>1302</v>
      </c>
      <c r="Q539" s="4" t="str">
        <f ca="1">IFERROR(__xludf.DUMMYFUNCTION("TRIM(SUBSTITUTE(SUBSTITUTE(D539, index(SPLIT(D539, "" ""), COLUMNS(SPLIT(D539, "" ""))), """"), index(SPLIT(D539, "" ""), COLUMNS(SPLIT(D539, "" ""))-1), """"))"),"Немішаївська")</f>
        <v>Немішаївська</v>
      </c>
    </row>
    <row r="540" spans="1:17" ht="38">
      <c r="A540" s="2"/>
      <c r="B540" s="2" t="s">
        <v>1220</v>
      </c>
      <c r="C540" s="2" t="s">
        <v>1270</v>
      </c>
      <c r="D540" s="2" t="s">
        <v>1303</v>
      </c>
      <c r="E540" s="2"/>
      <c r="F540" s="2" t="s">
        <v>32</v>
      </c>
      <c r="G540" s="2">
        <v>3</v>
      </c>
      <c r="H540" s="2">
        <v>157.4</v>
      </c>
      <c r="I540" s="2">
        <v>7904</v>
      </c>
      <c r="J540" s="2" t="s">
        <v>1304</v>
      </c>
      <c r="K540" s="2">
        <v>2</v>
      </c>
      <c r="L540" s="2" t="s">
        <v>1305</v>
      </c>
      <c r="Q540" s="4" t="str">
        <f ca="1">IFERROR(__xludf.DUMMYFUNCTION("TRIM(SUBSTITUTE(SUBSTITUTE(D540, index(SPLIT(D540, "" ""), COLUMNS(SPLIT(D540, "" ""))), """"), index(SPLIT(D540, "" ""), COLUMNS(SPLIT(D540, "" ""))-1), """"))"),"Пісківська")</f>
        <v>Пісківська</v>
      </c>
    </row>
    <row r="541" spans="1:17" ht="50.5">
      <c r="A541" s="2"/>
      <c r="B541" s="2" t="s">
        <v>1220</v>
      </c>
      <c r="C541" s="2" t="s">
        <v>1306</v>
      </c>
      <c r="D541" s="2" t="s">
        <v>1307</v>
      </c>
      <c r="E541" s="2"/>
      <c r="F541" s="2" t="s">
        <v>20</v>
      </c>
      <c r="G541" s="2">
        <v>17</v>
      </c>
      <c r="H541" s="2">
        <v>394.4</v>
      </c>
      <c r="I541" s="2">
        <v>218981</v>
      </c>
      <c r="J541" s="2" t="s">
        <v>1308</v>
      </c>
      <c r="K541" s="2">
        <v>11</v>
      </c>
      <c r="L541" s="2" t="s">
        <v>1309</v>
      </c>
      <c r="Q541" s="4" t="str">
        <f ca="1">IFERROR(__xludf.DUMMYFUNCTION("TRIM(SUBSTITUTE(SUBSTITUTE(D541, index(SPLIT(D541, "" ""), COLUMNS(SPLIT(D541, "" ""))), """"), index(SPLIT(D541, "" ""), COLUMNS(SPLIT(D541, "" ""))-1), """"))"),"Білоцерківська")</f>
        <v>Білоцерківська</v>
      </c>
    </row>
    <row r="542" spans="1:17" ht="100.5">
      <c r="A542" s="2"/>
      <c r="B542" s="2" t="s">
        <v>1220</v>
      </c>
      <c r="C542" s="2" t="s">
        <v>1306</v>
      </c>
      <c r="D542" s="2" t="s">
        <v>1310</v>
      </c>
      <c r="E542" s="2"/>
      <c r="F542" s="2" t="s">
        <v>32</v>
      </c>
      <c r="G542" s="2">
        <v>34</v>
      </c>
      <c r="H542" s="2">
        <v>619.20000000000005</v>
      </c>
      <c r="I542" s="2">
        <v>15670</v>
      </c>
      <c r="J542" s="2" t="s">
        <v>1311</v>
      </c>
      <c r="K542" s="2">
        <v>21</v>
      </c>
      <c r="L542" s="2" t="s">
        <v>1312</v>
      </c>
      <c r="Q542" s="4" t="str">
        <f ca="1">IFERROR(__xludf.DUMMYFUNCTION("TRIM(SUBSTITUTE(SUBSTITUTE(D542, index(SPLIT(D542, "" ""), COLUMNS(SPLIT(D542, "" ""))), """"), index(SPLIT(D542, "" ""), COLUMNS(SPLIT(D542, "" ""))-1), """"))"),"Володарська")</f>
        <v>Володарська</v>
      </c>
    </row>
    <row r="543" spans="1:17" ht="50.5">
      <c r="A543" s="2"/>
      <c r="B543" s="2" t="s">
        <v>1220</v>
      </c>
      <c r="C543" s="2" t="s">
        <v>1306</v>
      </c>
      <c r="D543" s="2" t="s">
        <v>1313</v>
      </c>
      <c r="E543" s="2"/>
      <c r="F543" s="2" t="s">
        <v>32</v>
      </c>
      <c r="G543" s="2">
        <v>12</v>
      </c>
      <c r="H543" s="2">
        <v>260.2</v>
      </c>
      <c r="I543" s="2">
        <v>13565</v>
      </c>
      <c r="J543" s="2" t="s">
        <v>1314</v>
      </c>
      <c r="K543" s="2">
        <v>9</v>
      </c>
      <c r="L543" s="2" t="s">
        <v>1315</v>
      </c>
      <c r="Q543" s="4" t="str">
        <f ca="1">IFERROR(__xludf.DUMMYFUNCTION("TRIM(SUBSTITUTE(SUBSTITUTE(D543, index(SPLIT(D543, "" ""), COLUMNS(SPLIT(D543, "" ""))), """"), index(SPLIT(D543, "" ""), COLUMNS(SPLIT(D543, "" ""))-1), """"))"),"Гребінківська")</f>
        <v>Гребінківська</v>
      </c>
    </row>
    <row r="544" spans="1:17" ht="50.5">
      <c r="A544" s="2"/>
      <c r="B544" s="2" t="s">
        <v>1220</v>
      </c>
      <c r="C544" s="2" t="s">
        <v>1306</v>
      </c>
      <c r="D544" s="2" t="s">
        <v>1316</v>
      </c>
      <c r="E544" s="2"/>
      <c r="F544" s="2" t="s">
        <v>28</v>
      </c>
      <c r="G544" s="2">
        <v>9</v>
      </c>
      <c r="H544" s="2">
        <v>231.6</v>
      </c>
      <c r="I544" s="2">
        <v>6566</v>
      </c>
      <c r="J544" s="2" t="s">
        <v>249</v>
      </c>
      <c r="K544" s="2">
        <v>9</v>
      </c>
      <c r="L544" s="2" t="s">
        <v>1317</v>
      </c>
      <c r="Q544" s="4" t="str">
        <f ca="1">IFERROR(__xludf.DUMMYFUNCTION("TRIM(SUBSTITUTE(SUBSTITUTE(D544, index(SPLIT(D544, "" ""), COLUMNS(SPLIT(D544, "" ""))), """"), index(SPLIT(D544, "" ""), COLUMNS(SPLIT(D544, "" ""))-1), """"))"),"Ковалівська")</f>
        <v>Ковалівська</v>
      </c>
    </row>
    <row r="545" spans="1:17" ht="50.5">
      <c r="A545" s="2"/>
      <c r="B545" s="2" t="s">
        <v>1220</v>
      </c>
      <c r="C545" s="2" t="s">
        <v>1306</v>
      </c>
      <c r="D545" s="2" t="s">
        <v>1318</v>
      </c>
      <c r="E545" s="2"/>
      <c r="F545" s="2" t="s">
        <v>28</v>
      </c>
      <c r="G545" s="2">
        <v>21</v>
      </c>
      <c r="H545" s="2">
        <v>362.9</v>
      </c>
      <c r="I545" s="2">
        <v>10636</v>
      </c>
      <c r="J545" s="2" t="s">
        <v>1319</v>
      </c>
      <c r="K545" s="2">
        <v>11</v>
      </c>
      <c r="L545" s="2" t="s">
        <v>1320</v>
      </c>
      <c r="Q545" s="4" t="str">
        <f ca="1">IFERROR(__xludf.DUMMYFUNCTION("TRIM(SUBSTITUTE(SUBSTITUTE(D545, index(SPLIT(D545, "" ""), COLUMNS(SPLIT(D545, "" ""))), """"), index(SPLIT(D545, "" ""), COLUMNS(SPLIT(D545, "" ""))-1), """"))"),"Маловільшанська")</f>
        <v>Маловільшанська</v>
      </c>
    </row>
    <row r="546" spans="1:17" ht="38">
      <c r="A546" s="2"/>
      <c r="B546" s="2" t="s">
        <v>1220</v>
      </c>
      <c r="C546" s="2" t="s">
        <v>1306</v>
      </c>
      <c r="D546" s="2" t="s">
        <v>1321</v>
      </c>
      <c r="E546" s="2"/>
      <c r="F546" s="2" t="s">
        <v>28</v>
      </c>
      <c r="G546" s="2">
        <v>12</v>
      </c>
      <c r="H546" s="2">
        <v>231.4</v>
      </c>
      <c r="I546" s="2">
        <v>5511</v>
      </c>
      <c r="J546" s="2" t="s">
        <v>39</v>
      </c>
      <c r="K546" s="2">
        <v>6</v>
      </c>
      <c r="L546" s="2" t="s">
        <v>1322</v>
      </c>
      <c r="Q546" s="4" t="str">
        <f ca="1">IFERROR(__xludf.DUMMYFUNCTION("TRIM(SUBSTITUTE(SUBSTITUTE(D546, index(SPLIT(D546, "" ""), COLUMNS(SPLIT(D546, "" ""))), """"), index(SPLIT(D546, "" ""), COLUMNS(SPLIT(D546, "" ""))-1), """"))"),"Медвинська")</f>
        <v>Медвинська</v>
      </c>
    </row>
    <row r="547" spans="1:17" ht="63">
      <c r="A547" s="2"/>
      <c r="B547" s="2" t="s">
        <v>1220</v>
      </c>
      <c r="C547" s="2" t="s">
        <v>1306</v>
      </c>
      <c r="D547" s="2" t="s">
        <v>1323</v>
      </c>
      <c r="E547" s="2"/>
      <c r="F547" s="2" t="s">
        <v>32</v>
      </c>
      <c r="G547" s="2">
        <v>23</v>
      </c>
      <c r="H547" s="2">
        <v>664.8</v>
      </c>
      <c r="I547" s="2">
        <v>25279</v>
      </c>
      <c r="J547" s="2" t="s">
        <v>1324</v>
      </c>
      <c r="K547" s="2">
        <v>15</v>
      </c>
      <c r="L547" s="2" t="s">
        <v>1325</v>
      </c>
      <c r="Q547" s="4" t="str">
        <f ca="1">IFERROR(__xludf.DUMMYFUNCTION("TRIM(SUBSTITUTE(SUBSTITUTE(D547, index(SPLIT(D547, "" ""), COLUMNS(SPLIT(D547, "" ""))), """"), index(SPLIT(D547, "" ""), COLUMNS(SPLIT(D547, "" ""))-1), """"))"),"Рокитнянська")</f>
        <v>Рокитнянська</v>
      </c>
    </row>
    <row r="548" spans="1:17" ht="113">
      <c r="A548" s="2"/>
      <c r="B548" s="2" t="s">
        <v>1220</v>
      </c>
      <c r="C548" s="2" t="s">
        <v>1306</v>
      </c>
      <c r="D548" s="2" t="s">
        <v>1326</v>
      </c>
      <c r="E548" s="2"/>
      <c r="F548" s="2" t="s">
        <v>20</v>
      </c>
      <c r="G548" s="2">
        <v>45</v>
      </c>
      <c r="H548" s="2">
        <v>873</v>
      </c>
      <c r="I548" s="2">
        <v>31695</v>
      </c>
      <c r="J548" s="2" t="s">
        <v>1327</v>
      </c>
      <c r="K548" s="2">
        <v>26</v>
      </c>
      <c r="L548" s="2" t="s">
        <v>1328</v>
      </c>
      <c r="Q548" s="4" t="str">
        <f ca="1">IFERROR(__xludf.DUMMYFUNCTION("TRIM(SUBSTITUTE(SUBSTITUTE(D548, index(SPLIT(D548, "" ""), COLUMNS(SPLIT(D548, "" ""))), """"), index(SPLIT(D548, "" ""), COLUMNS(SPLIT(D548, "" ""))-1), """"))"),"Сквирська")</f>
        <v>Сквирська</v>
      </c>
    </row>
    <row r="549" spans="1:17" ht="100.5">
      <c r="A549" s="2"/>
      <c r="B549" s="2" t="s">
        <v>1220</v>
      </c>
      <c r="C549" s="2" t="s">
        <v>1306</v>
      </c>
      <c r="D549" s="2" t="s">
        <v>1329</v>
      </c>
      <c r="E549" s="2"/>
      <c r="F549" s="2" t="s">
        <v>32</v>
      </c>
      <c r="G549" s="2">
        <v>30</v>
      </c>
      <c r="H549" s="2">
        <v>673.2</v>
      </c>
      <c r="I549" s="2">
        <v>20599</v>
      </c>
      <c r="J549" s="2" t="s">
        <v>1330</v>
      </c>
      <c r="K549" s="2">
        <v>23</v>
      </c>
      <c r="L549" s="2" t="s">
        <v>1331</v>
      </c>
      <c r="Q549" s="4" t="str">
        <f ca="1">IFERROR(__xludf.DUMMYFUNCTION("TRIM(SUBSTITUTE(SUBSTITUTE(D549, index(SPLIT(D549, "" ""), COLUMNS(SPLIT(D549, "" ""))), """"), index(SPLIT(D549, "" ""), COLUMNS(SPLIT(D549, "" ""))-1), """"))"),"Ставищенська")</f>
        <v>Ставищенська</v>
      </c>
    </row>
    <row r="550" spans="1:17" ht="100.5">
      <c r="A550" s="2"/>
      <c r="B550" s="2" t="s">
        <v>1220</v>
      </c>
      <c r="C550" s="2" t="s">
        <v>1306</v>
      </c>
      <c r="D550" s="2" t="s">
        <v>1332</v>
      </c>
      <c r="E550" s="2"/>
      <c r="F550" s="2" t="s">
        <v>20</v>
      </c>
      <c r="G550" s="2">
        <v>35</v>
      </c>
      <c r="H550" s="2">
        <v>757.3</v>
      </c>
      <c r="I550" s="2">
        <v>26010</v>
      </c>
      <c r="J550" s="2" t="s">
        <v>1333</v>
      </c>
      <c r="K550" s="2">
        <v>24</v>
      </c>
      <c r="L550" s="2" t="s">
        <v>1334</v>
      </c>
      <c r="Q550" s="4" t="str">
        <f ca="1">IFERROR(__xludf.DUMMYFUNCTION("TRIM(SUBSTITUTE(SUBSTITUTE(D550, index(SPLIT(D550, "" ""), COLUMNS(SPLIT(D550, "" ""))), """"), index(SPLIT(D550, "" ""), COLUMNS(SPLIT(D550, "" ""))-1), """"))"),"Таращанська")</f>
        <v>Таращанська</v>
      </c>
    </row>
    <row r="551" spans="1:17" ht="100.5">
      <c r="A551" s="2"/>
      <c r="B551" s="2" t="s">
        <v>1220</v>
      </c>
      <c r="C551" s="2" t="s">
        <v>1306</v>
      </c>
      <c r="D551" s="2" t="s">
        <v>1335</v>
      </c>
      <c r="E551" s="2"/>
      <c r="F551" s="2" t="s">
        <v>20</v>
      </c>
      <c r="G551" s="2">
        <v>33</v>
      </c>
      <c r="H551" s="2">
        <v>756.6</v>
      </c>
      <c r="I551" s="2">
        <v>30629</v>
      </c>
      <c r="J551" s="2" t="s">
        <v>178</v>
      </c>
      <c r="K551" s="2">
        <v>23</v>
      </c>
      <c r="L551" s="2" t="s">
        <v>1336</v>
      </c>
      <c r="Q551" s="4" t="str">
        <f ca="1">IFERROR(__xludf.DUMMYFUNCTION("TRIM(SUBSTITUTE(SUBSTITUTE(D551, index(SPLIT(D551, "" ""), COLUMNS(SPLIT(D551, "" ""))), """"), index(SPLIT(D551, "" ""), COLUMNS(SPLIT(D551, "" ""))-1), """"))"),"Тетіївська")</f>
        <v>Тетіївська</v>
      </c>
    </row>
    <row r="552" spans="1:17" ht="50.5">
      <c r="A552" s="2"/>
      <c r="B552" s="2" t="s">
        <v>1220</v>
      </c>
      <c r="C552" s="2" t="s">
        <v>1306</v>
      </c>
      <c r="D552" s="2" t="s">
        <v>1337</v>
      </c>
      <c r="E552" s="2"/>
      <c r="F552" s="2" t="s">
        <v>20</v>
      </c>
      <c r="G552" s="2">
        <v>20</v>
      </c>
      <c r="H552" s="2">
        <v>407.9</v>
      </c>
      <c r="I552" s="2">
        <v>20245</v>
      </c>
      <c r="J552" s="2" t="s">
        <v>178</v>
      </c>
      <c r="K552" s="2">
        <v>12</v>
      </c>
      <c r="L552" s="2" t="s">
        <v>1338</v>
      </c>
      <c r="Q552" s="4" t="str">
        <f ca="1">IFERROR(__xludf.DUMMYFUNCTION("TRIM(SUBSTITUTE(SUBSTITUTE(D552, index(SPLIT(D552, "" ""), COLUMNS(SPLIT(D552, "" ""))), """"), index(SPLIT(D552, "" ""), COLUMNS(SPLIT(D552, "" ""))-1), """"))"),"Узинська")</f>
        <v>Узинська</v>
      </c>
    </row>
    <row r="553" spans="1:17" ht="38">
      <c r="A553" s="2"/>
      <c r="B553" s="2" t="s">
        <v>1220</v>
      </c>
      <c r="C553" s="2" t="s">
        <v>1306</v>
      </c>
      <c r="D553" s="2" t="s">
        <v>1339</v>
      </c>
      <c r="E553" s="2"/>
      <c r="F553" s="2" t="s">
        <v>28</v>
      </c>
      <c r="G553" s="2">
        <v>11</v>
      </c>
      <c r="H553" s="2">
        <v>277.8</v>
      </c>
      <c r="I553" s="2">
        <v>10729</v>
      </c>
      <c r="J553" s="2" t="s">
        <v>39</v>
      </c>
      <c r="K553" s="2">
        <v>6</v>
      </c>
      <c r="L553" s="2" t="s">
        <v>1340</v>
      </c>
      <c r="Q553" s="4" t="str">
        <f ca="1">IFERROR(__xludf.DUMMYFUNCTION("TRIM(SUBSTITUTE(SUBSTITUTE(D553, index(SPLIT(D553, "" ""), COLUMNS(SPLIT(D553, "" ""))), """"), index(SPLIT(D553, "" ""), COLUMNS(SPLIT(D553, "" ""))-1), """"))"),"Фурсівська")</f>
        <v>Фурсівська</v>
      </c>
    </row>
    <row r="554" spans="1:17" ht="113">
      <c r="A554" s="2"/>
      <c r="B554" s="2" t="s">
        <v>1220</v>
      </c>
      <c r="C554" s="2" t="s">
        <v>1341</v>
      </c>
      <c r="D554" s="2" t="s">
        <v>1342</v>
      </c>
      <c r="E554" s="2"/>
      <c r="F554" s="2" t="s">
        <v>32</v>
      </c>
      <c r="G554" s="2">
        <v>81</v>
      </c>
      <c r="H554" s="2">
        <v>1779.6</v>
      </c>
      <c r="I554" s="2">
        <v>28798</v>
      </c>
      <c r="J554" s="2" t="s">
        <v>1343</v>
      </c>
      <c r="K554" s="2">
        <v>27</v>
      </c>
      <c r="L554" s="2" t="s">
        <v>1344</v>
      </c>
      <c r="Q554" s="4" t="str">
        <f ca="1">IFERROR(__xludf.DUMMYFUNCTION("TRIM(SUBSTITUTE(SUBSTITUTE(D554, index(SPLIT(D554, "" ""), COLUMNS(SPLIT(D554, "" ""))), """"), index(SPLIT(D554, "" ""), COLUMNS(SPLIT(D554, "" ""))-1), """"))"),"Іванківська")</f>
        <v>Іванківська</v>
      </c>
    </row>
    <row r="555" spans="1:17" ht="50.5">
      <c r="A555" s="2"/>
      <c r="B555" s="2" t="s">
        <v>1220</v>
      </c>
      <c r="C555" s="2" t="s">
        <v>1341</v>
      </c>
      <c r="D555" s="2" t="s">
        <v>1345</v>
      </c>
      <c r="E555" s="2"/>
      <c r="F555" s="2" t="s">
        <v>20</v>
      </c>
      <c r="G555" s="2">
        <v>3</v>
      </c>
      <c r="H555" s="2">
        <v>93.7</v>
      </c>
      <c r="I555" s="2">
        <v>33276</v>
      </c>
      <c r="J555" s="2" t="s">
        <v>1346</v>
      </c>
      <c r="K555" s="2">
        <v>2</v>
      </c>
      <c r="L555" s="2" t="s">
        <v>1347</v>
      </c>
      <c r="Q555" s="4" t="str">
        <f ca="1">IFERROR(__xludf.DUMMYFUNCTION("TRIM(SUBSTITUTE(SUBSTITUTE(D555, index(SPLIT(D555, "" ""), COLUMNS(SPLIT(D555, "" ""))), """"), index(SPLIT(D555, "" ""), COLUMNS(SPLIT(D555, "" ""))-1), """"))"),"Вишгородська")</f>
        <v>Вишгородська</v>
      </c>
    </row>
    <row r="556" spans="1:17" ht="63">
      <c r="A556" s="2"/>
      <c r="B556" s="2" t="s">
        <v>1220</v>
      </c>
      <c r="C556" s="2" t="s">
        <v>1341</v>
      </c>
      <c r="D556" s="2" t="s">
        <v>1348</v>
      </c>
      <c r="E556" s="2"/>
      <c r="F556" s="2" t="s">
        <v>32</v>
      </c>
      <c r="G556" s="2">
        <v>34</v>
      </c>
      <c r="H556" s="2">
        <v>956</v>
      </c>
      <c r="I556" s="2">
        <v>21042</v>
      </c>
      <c r="J556" s="2" t="s">
        <v>1349</v>
      </c>
      <c r="K556" s="2">
        <v>15</v>
      </c>
      <c r="L556" s="2" t="s">
        <v>1350</v>
      </c>
      <c r="Q556" s="4" t="str">
        <f ca="1">IFERROR(__xludf.DUMMYFUNCTION("TRIM(SUBSTITUTE(SUBSTITUTE(D556, index(SPLIT(D556, "" ""), COLUMNS(SPLIT(D556, "" ""))), """"), index(SPLIT(D556, "" ""), COLUMNS(SPLIT(D556, "" ""))-1), """"))"),"Димерська")</f>
        <v>Димерська</v>
      </c>
    </row>
    <row r="557" spans="1:17" ht="38">
      <c r="A557" s="2"/>
      <c r="B557" s="2" t="s">
        <v>1220</v>
      </c>
      <c r="C557" s="2" t="s">
        <v>1341</v>
      </c>
      <c r="D557" s="2" t="s">
        <v>1351</v>
      </c>
      <c r="E557" s="2"/>
      <c r="F557" s="2" t="s">
        <v>28</v>
      </c>
      <c r="G557" s="2">
        <v>4</v>
      </c>
      <c r="H557" s="2">
        <v>192.3</v>
      </c>
      <c r="I557" s="2">
        <v>12001</v>
      </c>
      <c r="J557" s="2" t="s">
        <v>1352</v>
      </c>
      <c r="K557" s="2">
        <v>3</v>
      </c>
      <c r="L557" s="2" t="s">
        <v>1353</v>
      </c>
      <c r="Q557" s="4" t="str">
        <f ca="1">IFERROR(__xludf.DUMMYFUNCTION("TRIM(SUBSTITUTE(SUBSTITUTE(D557, index(SPLIT(D557, "" ""), COLUMNS(SPLIT(D557, "" ""))), """"), index(SPLIT(D557, "" ""), COLUMNS(SPLIT(D557, "" ""))-1), """"))"),"Петрівська")</f>
        <v>Петрівська</v>
      </c>
    </row>
    <row r="558" spans="1:17" ht="50.5">
      <c r="A558" s="2"/>
      <c r="B558" s="2" t="s">
        <v>1220</v>
      </c>
      <c r="C558" s="2" t="s">
        <v>1341</v>
      </c>
      <c r="D558" s="2" t="s">
        <v>1354</v>
      </c>
      <c r="E558" s="2"/>
      <c r="F558" s="2" t="s">
        <v>32</v>
      </c>
      <c r="G558" s="2">
        <v>30</v>
      </c>
      <c r="H558" s="2">
        <v>563.79999999999995</v>
      </c>
      <c r="I558" s="2">
        <v>5391</v>
      </c>
      <c r="J558" s="2" t="s">
        <v>1355</v>
      </c>
      <c r="K558" s="2">
        <v>12</v>
      </c>
      <c r="L558" s="2" t="s">
        <v>1356</v>
      </c>
      <c r="Q558" s="4" t="str">
        <f ca="1">IFERROR(__xludf.DUMMYFUNCTION("TRIM(SUBSTITUTE(SUBSTITUTE(D558, index(SPLIT(D558, "" ""), COLUMNS(SPLIT(D558, "" ""))), """"), index(SPLIT(D558, "" ""), COLUMNS(SPLIT(D558, "" ""))-1), """"))"),"Поліська")</f>
        <v>Поліська</v>
      </c>
    </row>
    <row r="559" spans="1:17" ht="38">
      <c r="A559" s="2"/>
      <c r="B559" s="2" t="s">
        <v>1220</v>
      </c>
      <c r="C559" s="2" t="s">
        <v>1341</v>
      </c>
      <c r="D559" s="2" t="s">
        <v>1357</v>
      </c>
      <c r="E559" s="2"/>
      <c r="F559" s="2" t="s">
        <v>28</v>
      </c>
      <c r="G559" s="2">
        <v>10</v>
      </c>
      <c r="H559" s="2">
        <v>727.1</v>
      </c>
      <c r="I559" s="2">
        <v>6764</v>
      </c>
      <c r="J559" s="2" t="s">
        <v>1358</v>
      </c>
      <c r="K559" s="2">
        <v>8</v>
      </c>
      <c r="L559" s="2" t="s">
        <v>1359</v>
      </c>
      <c r="Q559" s="4" t="str">
        <f ca="1">IFERROR(__xludf.DUMMYFUNCTION("TRIM(SUBSTITUTE(SUBSTITUTE(D559, index(SPLIT(D559, "" ""), COLUMNS(SPLIT(D559, "" ""))), """"), index(SPLIT(D559, "" ""), COLUMNS(SPLIT(D559, "" ""))-1), """"))"),"Пірнівська")</f>
        <v>Пірнівська</v>
      </c>
    </row>
    <row r="560" spans="1:17" ht="38">
      <c r="A560" s="2"/>
      <c r="B560" s="2" t="s">
        <v>1220</v>
      </c>
      <c r="C560" s="2" t="s">
        <v>1341</v>
      </c>
      <c r="D560" s="2" t="s">
        <v>1360</v>
      </c>
      <c r="E560" s="2"/>
      <c r="F560" s="2" t="s">
        <v>20</v>
      </c>
      <c r="G560" s="2">
        <v>1</v>
      </c>
      <c r="H560" s="2">
        <v>20.5</v>
      </c>
      <c r="I560" s="2">
        <v>24685</v>
      </c>
      <c r="J560" s="2" t="s">
        <v>1361</v>
      </c>
      <c r="K560" s="2">
        <v>1</v>
      </c>
      <c r="L560" s="2" t="s">
        <v>1362</v>
      </c>
      <c r="Q560" s="4" t="str">
        <f ca="1">IFERROR(__xludf.DUMMYFUNCTION("TRIM(SUBSTITUTE(SUBSTITUTE(D560, index(SPLIT(D560, "" ""), COLUMNS(SPLIT(D560, "" ""))), """"), index(SPLIT(D560, "" ""), COLUMNS(SPLIT(D560, "" ""))-1), """"))"),"Славутицька")</f>
        <v>Славутицька</v>
      </c>
    </row>
    <row r="561" spans="1:17" ht="63">
      <c r="A561" s="2"/>
      <c r="B561" s="2" t="s">
        <v>1220</v>
      </c>
      <c r="C561" s="2" t="s">
        <v>1363</v>
      </c>
      <c r="D561" s="2" t="s">
        <v>1364</v>
      </c>
      <c r="E561" s="2"/>
      <c r="F561" s="2" t="s">
        <v>20</v>
      </c>
      <c r="G561" s="2">
        <v>26</v>
      </c>
      <c r="H561" s="2">
        <v>492.6</v>
      </c>
      <c r="I561" s="2">
        <v>25821</v>
      </c>
      <c r="J561" s="2" t="s">
        <v>46</v>
      </c>
      <c r="K561" s="2">
        <v>14</v>
      </c>
      <c r="L561" s="2" t="s">
        <v>1365</v>
      </c>
      <c r="Q561" s="4" t="str">
        <f ca="1">IFERROR(__xludf.DUMMYFUNCTION("TRIM(SUBSTITUTE(SUBSTITUTE(D561, index(SPLIT(D561, "" ""), COLUMNS(SPLIT(D561, "" ""))), """"), index(SPLIT(D561, "" ""), COLUMNS(SPLIT(D561, "" ""))-1), """"))"),"Богуславська")</f>
        <v>Богуславська</v>
      </c>
    </row>
    <row r="562" spans="1:17" ht="63">
      <c r="A562" s="2"/>
      <c r="B562" s="2" t="s">
        <v>1220</v>
      </c>
      <c r="C562" s="2" t="s">
        <v>1363</v>
      </c>
      <c r="D562" s="2" t="s">
        <v>434</v>
      </c>
      <c r="E562" s="2"/>
      <c r="F562" s="2" t="s">
        <v>20</v>
      </c>
      <c r="G562" s="2">
        <v>20</v>
      </c>
      <c r="H562" s="2">
        <v>356.5</v>
      </c>
      <c r="I562" s="2">
        <v>45406</v>
      </c>
      <c r="J562" s="2" t="s">
        <v>1366</v>
      </c>
      <c r="K562" s="2">
        <v>13</v>
      </c>
      <c r="L562" s="2" t="s">
        <v>1367</v>
      </c>
      <c r="Q562" s="4" t="str">
        <f ca="1">IFERROR(__xludf.DUMMYFUNCTION("TRIM(SUBSTITUTE(SUBSTITUTE(D562, index(SPLIT(D562, "" ""), COLUMNS(SPLIT(D562, "" ""))), """"), index(SPLIT(D562, "" ""), COLUMNS(SPLIT(D562, "" ""))-1), """"))"),"Васильківська")</f>
        <v>Васильківська</v>
      </c>
    </row>
    <row r="563" spans="1:17" ht="100.5">
      <c r="A563" s="2"/>
      <c r="B563" s="2" t="s">
        <v>1220</v>
      </c>
      <c r="C563" s="2" t="s">
        <v>1363</v>
      </c>
      <c r="D563" s="2" t="s">
        <v>1368</v>
      </c>
      <c r="E563" s="2"/>
      <c r="F563" s="2" t="s">
        <v>20</v>
      </c>
      <c r="G563" s="2">
        <v>36</v>
      </c>
      <c r="H563" s="2">
        <v>671.4</v>
      </c>
      <c r="I563" s="2">
        <v>26849</v>
      </c>
      <c r="J563" s="2" t="s">
        <v>1369</v>
      </c>
      <c r="K563" s="2">
        <v>23</v>
      </c>
      <c r="L563" s="2" t="s">
        <v>1370</v>
      </c>
      <c r="Q563" s="4" t="str">
        <f ca="1">IFERROR(__xludf.DUMMYFUNCTION("TRIM(SUBSTITUTE(SUBSTITUTE(D563, index(SPLIT(D563, "" ""), COLUMNS(SPLIT(D563, "" ""))), """"), index(SPLIT(D563, "" ""), COLUMNS(SPLIT(D563, "" ""))-1), """"))"),"Кагарлицька")</f>
        <v>Кагарлицька</v>
      </c>
    </row>
    <row r="564" spans="1:17" ht="38">
      <c r="A564" s="2"/>
      <c r="B564" s="2" t="s">
        <v>1220</v>
      </c>
      <c r="C564" s="2" t="s">
        <v>1363</v>
      </c>
      <c r="D564" s="2" t="s">
        <v>1371</v>
      </c>
      <c r="E564" s="2"/>
      <c r="F564" s="2" t="s">
        <v>32</v>
      </c>
      <c r="G564" s="2">
        <v>13</v>
      </c>
      <c r="H564" s="2">
        <v>168.6</v>
      </c>
      <c r="I564" s="2">
        <v>5646</v>
      </c>
      <c r="J564" s="2" t="s">
        <v>1372</v>
      </c>
      <c r="K564" s="2">
        <v>4</v>
      </c>
      <c r="L564" s="2" t="s">
        <v>1373</v>
      </c>
      <c r="Q564" s="4" t="str">
        <f ca="1">IFERROR(__xludf.DUMMYFUNCTION("TRIM(SUBSTITUTE(SUBSTITUTE(D564, index(SPLIT(D564, "" ""), COLUMNS(SPLIT(D564, "" ""))), """"), index(SPLIT(D564, "" ""), COLUMNS(SPLIT(D564, "" ""))-1), """"))"),"Козинська")</f>
        <v>Козинська</v>
      </c>
    </row>
    <row r="565" spans="1:17" ht="100.5">
      <c r="A565" s="2"/>
      <c r="B565" s="2" t="s">
        <v>1220</v>
      </c>
      <c r="C565" s="2" t="s">
        <v>1363</v>
      </c>
      <c r="D565" s="2" t="s">
        <v>1374</v>
      </c>
      <c r="E565" s="2"/>
      <c r="F565" s="2" t="s">
        <v>20</v>
      </c>
      <c r="G565" s="2">
        <v>40</v>
      </c>
      <c r="H565" s="2">
        <v>797.5</v>
      </c>
      <c r="I565" s="2">
        <v>32037</v>
      </c>
      <c r="J565" s="2" t="s">
        <v>249</v>
      </c>
      <c r="K565" s="2">
        <v>23</v>
      </c>
      <c r="L565" s="2" t="s">
        <v>1375</v>
      </c>
      <c r="Q565" s="4" t="str">
        <f ca="1">IFERROR(__xludf.DUMMYFUNCTION("TRIM(SUBSTITUTE(SUBSTITUTE(D565, index(SPLIT(D565, "" ""), COLUMNS(SPLIT(D565, "" ""))), """"), index(SPLIT(D565, "" ""), COLUMNS(SPLIT(D565, "" ""))-1), """"))"),"Миронівська")</f>
        <v>Миронівська</v>
      </c>
    </row>
    <row r="566" spans="1:17" ht="88">
      <c r="A566" s="2"/>
      <c r="B566" s="2" t="s">
        <v>1220</v>
      </c>
      <c r="C566" s="2" t="s">
        <v>1363</v>
      </c>
      <c r="D566" s="2" t="s">
        <v>305</v>
      </c>
      <c r="E566" s="2"/>
      <c r="F566" s="2" t="s">
        <v>20</v>
      </c>
      <c r="G566" s="2">
        <v>25</v>
      </c>
      <c r="H566" s="2">
        <v>396.8</v>
      </c>
      <c r="I566" s="2">
        <v>42639</v>
      </c>
      <c r="J566" s="2" t="s">
        <v>1376</v>
      </c>
      <c r="K566" s="2">
        <v>14</v>
      </c>
      <c r="L566" s="2" t="s">
        <v>1377</v>
      </c>
      <c r="Q566" s="4" t="str">
        <f ca="1">IFERROR(__xludf.DUMMYFUNCTION("TRIM(SUBSTITUTE(SUBSTITUTE(D566, index(SPLIT(D566, "" ""), COLUMNS(SPLIT(D566, "" ""))), """"), index(SPLIT(D566, "" ""), COLUMNS(SPLIT(D566, "" ""))-1), """"))"),"Обухівська")</f>
        <v>Обухівська</v>
      </c>
    </row>
    <row r="567" spans="1:17" ht="50.5">
      <c r="A567" s="2"/>
      <c r="B567" s="2" t="s">
        <v>1220</v>
      </c>
      <c r="C567" s="2" t="s">
        <v>1363</v>
      </c>
      <c r="D567" s="2" t="s">
        <v>1378</v>
      </c>
      <c r="E567" s="2"/>
      <c r="F567" s="2" t="s">
        <v>20</v>
      </c>
      <c r="G567" s="2">
        <v>24</v>
      </c>
      <c r="H567" s="2">
        <v>430.2</v>
      </c>
      <c r="I567" s="2">
        <v>14425</v>
      </c>
      <c r="J567" s="2" t="s">
        <v>1379</v>
      </c>
      <c r="K567" s="2">
        <v>12</v>
      </c>
      <c r="L567" s="2" t="s">
        <v>1380</v>
      </c>
      <c r="Q567" s="4" t="str">
        <f ca="1">IFERROR(__xludf.DUMMYFUNCTION("TRIM(SUBSTITUTE(SUBSTITUTE(D567, index(SPLIT(D567, "" ""), COLUMNS(SPLIT(D567, "" ""))), """"), index(SPLIT(D567, "" ""), COLUMNS(SPLIT(D567, "" ""))-1), """"))"),"Ржищівська")</f>
        <v>Ржищівська</v>
      </c>
    </row>
    <row r="568" spans="1:17" ht="38">
      <c r="A568" s="2"/>
      <c r="B568" s="2" t="s">
        <v>1220</v>
      </c>
      <c r="C568" s="2" t="s">
        <v>1363</v>
      </c>
      <c r="D568" s="2" t="s">
        <v>462</v>
      </c>
      <c r="E568" s="2"/>
      <c r="F568" s="2" t="s">
        <v>20</v>
      </c>
      <c r="G568" s="2">
        <v>8</v>
      </c>
      <c r="H568" s="2">
        <v>206.7</v>
      </c>
      <c r="I568" s="2">
        <v>20806</v>
      </c>
      <c r="J568" s="2" t="s">
        <v>1381</v>
      </c>
      <c r="K568" s="2">
        <v>7</v>
      </c>
      <c r="L568" s="2" t="s">
        <v>1382</v>
      </c>
      <c r="Q568" s="4" t="str">
        <f ca="1">IFERROR(__xludf.DUMMYFUNCTION("TRIM(SUBSTITUTE(SUBSTITUTE(D568, index(SPLIT(D568, "" ""), COLUMNS(SPLIT(D568, "" ""))), """"), index(SPLIT(D568, "" ""), COLUMNS(SPLIT(D568, "" ""))-1), """"))"),"Українська")</f>
        <v>Українська</v>
      </c>
    </row>
    <row r="569" spans="1:17" ht="50.5">
      <c r="A569" s="2"/>
      <c r="B569" s="2" t="s">
        <v>1220</v>
      </c>
      <c r="C569" s="2" t="s">
        <v>1363</v>
      </c>
      <c r="D569" s="2" t="s">
        <v>1383</v>
      </c>
      <c r="E569" s="2"/>
      <c r="F569" s="2" t="s">
        <v>28</v>
      </c>
      <c r="G569" s="2">
        <v>8</v>
      </c>
      <c r="H569" s="2">
        <v>115</v>
      </c>
      <c r="I569" s="2">
        <v>15200</v>
      </c>
      <c r="J569" s="2" t="s">
        <v>1384</v>
      </c>
      <c r="K569" s="2">
        <v>6</v>
      </c>
      <c r="L569" s="2" t="s">
        <v>1385</v>
      </c>
      <c r="Q569" s="4" t="str">
        <f ca="1">IFERROR(__xludf.DUMMYFUNCTION("TRIM(SUBSTITUTE(SUBSTITUTE(D569, index(SPLIT(D569, "" ""), COLUMNS(SPLIT(D569, "" ""))), """"), index(SPLIT(D569, "" ""), COLUMNS(SPLIT(D569, "" ""))-1), """"))"),"Феодосіївська")</f>
        <v>Феодосіївська</v>
      </c>
    </row>
    <row r="570" spans="1:17" ht="38">
      <c r="A570" s="2"/>
      <c r="B570" s="2" t="s">
        <v>1220</v>
      </c>
      <c r="C570" s="2" t="s">
        <v>1386</v>
      </c>
      <c r="D570" s="2" t="s">
        <v>1387</v>
      </c>
      <c r="E570" s="2"/>
      <c r="F570" s="2" t="s">
        <v>28</v>
      </c>
      <c r="G570" s="2">
        <v>15</v>
      </c>
      <c r="H570" s="2">
        <v>279.5</v>
      </c>
      <c r="I570" s="2">
        <v>6073</v>
      </c>
      <c r="J570" s="2" t="s">
        <v>1388</v>
      </c>
      <c r="K570" s="2">
        <v>9</v>
      </c>
      <c r="L570" s="2" t="s">
        <v>1389</v>
      </c>
      <c r="Q570" s="4" t="str">
        <f ca="1">IFERROR(__xludf.DUMMYFUNCTION("TRIM(SUBSTITUTE(SUBSTITUTE(D570, index(SPLIT(D570, "" ""), COLUMNS(SPLIT(D570, "" ""))), """"), index(SPLIT(D570, "" ""), COLUMNS(SPLIT(D570, "" ""))-1), """"))"),"Бишівська")</f>
        <v>Бишівська</v>
      </c>
    </row>
    <row r="571" spans="1:17" ht="38">
      <c r="A571" s="2"/>
      <c r="B571" s="2" t="s">
        <v>1220</v>
      </c>
      <c r="C571" s="2" t="s">
        <v>1386</v>
      </c>
      <c r="D571" s="2" t="s">
        <v>1390</v>
      </c>
      <c r="E571" s="2"/>
      <c r="F571" s="2" t="s">
        <v>20</v>
      </c>
      <c r="G571" s="2">
        <v>11</v>
      </c>
      <c r="H571" s="2">
        <v>207.8</v>
      </c>
      <c r="I571" s="2">
        <v>53620</v>
      </c>
      <c r="J571" s="2" t="s">
        <v>1391</v>
      </c>
      <c r="K571" s="2">
        <v>7</v>
      </c>
      <c r="L571" s="2" t="s">
        <v>1392</v>
      </c>
      <c r="Q571" s="4" t="str">
        <f ca="1">IFERROR(__xludf.DUMMYFUNCTION("TRIM(SUBSTITUTE(SUBSTITUTE(D571, index(SPLIT(D571, "" ""), COLUMNS(SPLIT(D571, "" ""))), """"), index(SPLIT(D571, "" ""), COLUMNS(SPLIT(D571, "" ""))-1), """"))"),"Боярська")</f>
        <v>Боярська</v>
      </c>
    </row>
    <row r="572" spans="1:17" ht="38">
      <c r="A572" s="2"/>
      <c r="B572" s="2" t="s">
        <v>1220</v>
      </c>
      <c r="C572" s="2" t="s">
        <v>1386</v>
      </c>
      <c r="D572" s="2" t="s">
        <v>1393</v>
      </c>
      <c r="E572" s="2"/>
      <c r="F572" s="2" t="s">
        <v>28</v>
      </c>
      <c r="G572" s="2">
        <v>3</v>
      </c>
      <c r="H572" s="2">
        <v>36.6</v>
      </c>
      <c r="I572" s="2">
        <v>9417</v>
      </c>
      <c r="J572" s="2" t="s">
        <v>1394</v>
      </c>
      <c r="K572" s="2">
        <v>2</v>
      </c>
      <c r="L572" s="2" t="s">
        <v>1395</v>
      </c>
      <c r="Q572" s="4" t="str">
        <f ca="1">IFERROR(__xludf.DUMMYFUNCTION("TRIM(SUBSTITUTE(SUBSTITUTE(D572, index(SPLIT(D572, "" ""), COLUMNS(SPLIT(D572, "" ""))), """"), index(SPLIT(D572, "" ""), COLUMNS(SPLIT(D572, "" ""))-1), """"))"),"Гатненська")</f>
        <v>Гатненська</v>
      </c>
    </row>
    <row r="573" spans="1:17" ht="38">
      <c r="A573" s="2"/>
      <c r="B573" s="2" t="s">
        <v>1220</v>
      </c>
      <c r="C573" s="2" t="s">
        <v>1386</v>
      </c>
      <c r="D573" s="2" t="s">
        <v>1396</v>
      </c>
      <c r="E573" s="2"/>
      <c r="F573" s="2" t="s">
        <v>32</v>
      </c>
      <c r="G573" s="2">
        <v>13</v>
      </c>
      <c r="H573" s="2">
        <v>96.6</v>
      </c>
      <c r="I573" s="2">
        <v>12776</v>
      </c>
      <c r="J573" s="2" t="s">
        <v>46</v>
      </c>
      <c r="K573" s="2">
        <v>4</v>
      </c>
      <c r="L573" s="2" t="s">
        <v>1397</v>
      </c>
      <c r="Q573" s="4" t="str">
        <f ca="1">IFERROR(__xludf.DUMMYFUNCTION("TRIM(SUBSTITUTE(SUBSTITUTE(D573, index(SPLIT(D573, "" ""), COLUMNS(SPLIT(D573, "" ""))), """"), index(SPLIT(D573, "" ""), COLUMNS(SPLIT(D573, "" ""))-1), """"))"),"Глевахівська")</f>
        <v>Глевахівська</v>
      </c>
    </row>
    <row r="574" spans="1:17" ht="38">
      <c r="A574" s="2"/>
      <c r="B574" s="2" t="s">
        <v>1220</v>
      </c>
      <c r="C574" s="2" t="s">
        <v>1386</v>
      </c>
      <c r="D574" s="2" t="s">
        <v>158</v>
      </c>
      <c r="E574" s="2"/>
      <c r="F574" s="2" t="s">
        <v>32</v>
      </c>
      <c r="G574" s="2">
        <v>15</v>
      </c>
      <c r="H574" s="2">
        <v>193.3</v>
      </c>
      <c r="I574" s="2">
        <v>15777</v>
      </c>
      <c r="J574" s="2" t="s">
        <v>163</v>
      </c>
      <c r="K574" s="2">
        <v>3</v>
      </c>
      <c r="L574" s="2" t="s">
        <v>1267</v>
      </c>
      <c r="Q574" s="4" t="str">
        <f ca="1">IFERROR(__xludf.DUMMYFUNCTION("TRIM(SUBSTITUTE(SUBSTITUTE(D574, index(SPLIT(D574, "" ""), COLUMNS(SPLIT(D574, "" ""))), """"), index(SPLIT(D574, "" ""), COLUMNS(SPLIT(D574, "" ""))-1), """"))"),"Калинівська")</f>
        <v>Калинівська</v>
      </c>
    </row>
    <row r="575" spans="1:17" ht="38">
      <c r="A575" s="2"/>
      <c r="B575" s="2" t="s">
        <v>1220</v>
      </c>
      <c r="C575" s="2" t="s">
        <v>1386</v>
      </c>
      <c r="D575" s="2" t="s">
        <v>1398</v>
      </c>
      <c r="E575" s="2"/>
      <c r="F575" s="2" t="s">
        <v>32</v>
      </c>
      <c r="G575" s="2">
        <v>15</v>
      </c>
      <c r="H575" s="2">
        <v>334.9</v>
      </c>
      <c r="I575" s="2">
        <v>8050</v>
      </c>
      <c r="J575" s="2" t="s">
        <v>1399</v>
      </c>
      <c r="K575" s="2">
        <v>8</v>
      </c>
      <c r="L575" s="2" t="s">
        <v>1400</v>
      </c>
      <c r="Q575" s="4" t="str">
        <f ca="1">IFERROR(__xludf.DUMMYFUNCTION("TRIM(SUBSTITUTE(SUBSTITUTE(D575, index(SPLIT(D575, "" ""), COLUMNS(SPLIT(D575, "" ""))), """"), index(SPLIT(D575, "" ""), COLUMNS(SPLIT(D575, "" ""))-1), """"))"),"Кожанська")</f>
        <v>Кожанська</v>
      </c>
    </row>
    <row r="576" spans="1:17" ht="38">
      <c r="A576" s="2"/>
      <c r="B576" s="2" t="s">
        <v>1220</v>
      </c>
      <c r="C576" s="2" t="s">
        <v>1386</v>
      </c>
      <c r="D576" s="2" t="s">
        <v>1401</v>
      </c>
      <c r="E576" s="2"/>
      <c r="F576" s="2" t="s">
        <v>28</v>
      </c>
      <c r="G576" s="2">
        <v>17</v>
      </c>
      <c r="H576" s="2">
        <v>262</v>
      </c>
      <c r="I576" s="2">
        <v>3957</v>
      </c>
      <c r="J576" s="2" t="s">
        <v>46</v>
      </c>
      <c r="K576" s="2">
        <v>7</v>
      </c>
      <c r="L576" s="2" t="s">
        <v>1402</v>
      </c>
      <c r="Q576" s="4" t="str">
        <f ca="1">IFERROR(__xludf.DUMMYFUNCTION("TRIM(SUBSTITUTE(SUBSTITUTE(D576, index(SPLIT(D576, "" ""), COLUMNS(SPLIT(D576, "" ""))), """"), index(SPLIT(D576, "" ""), COLUMNS(SPLIT(D576, "" ""))-1), """"))"),"Томашівська")</f>
        <v>Томашівська</v>
      </c>
    </row>
    <row r="577" spans="1:17" ht="50.5">
      <c r="A577" s="2"/>
      <c r="B577" s="2" t="s">
        <v>1220</v>
      </c>
      <c r="C577" s="2" t="s">
        <v>1386</v>
      </c>
      <c r="D577" s="2" t="s">
        <v>1403</v>
      </c>
      <c r="E577" s="2"/>
      <c r="F577" s="2" t="s">
        <v>20</v>
      </c>
      <c r="G577" s="2">
        <v>18</v>
      </c>
      <c r="H577" s="2">
        <v>336.2</v>
      </c>
      <c r="I577" s="2">
        <v>62720</v>
      </c>
      <c r="J577" s="2" t="s">
        <v>1404</v>
      </c>
      <c r="K577" s="2">
        <v>10</v>
      </c>
      <c r="L577" s="2" t="s">
        <v>1405</v>
      </c>
      <c r="Q577" s="4" t="str">
        <f ca="1">IFERROR(__xludf.DUMMYFUNCTION("TRIM(SUBSTITUTE(SUBSTITUTE(D577, index(SPLIT(D577, "" ""), COLUMNS(SPLIT(D577, "" ""))), """"), index(SPLIT(D577, "" ""), COLUMNS(SPLIT(D577, "" ""))-1), """"))"),"Фастівська")</f>
        <v>Фастівська</v>
      </c>
    </row>
    <row r="578" spans="1:17" ht="38">
      <c r="A578" s="2"/>
      <c r="B578" s="2" t="s">
        <v>1220</v>
      </c>
      <c r="C578" s="2" t="s">
        <v>1386</v>
      </c>
      <c r="D578" s="2" t="s">
        <v>1406</v>
      </c>
      <c r="E578" s="2"/>
      <c r="F578" s="2" t="s">
        <v>32</v>
      </c>
      <c r="G578" s="2">
        <v>2</v>
      </c>
      <c r="H578" s="2">
        <v>12.8</v>
      </c>
      <c r="I578" s="2">
        <v>11404</v>
      </c>
      <c r="J578" s="2" t="s">
        <v>1407</v>
      </c>
      <c r="K578" s="2">
        <v>1</v>
      </c>
      <c r="L578" s="2" t="s">
        <v>1408</v>
      </c>
      <c r="Q578" s="4" t="str">
        <f ca="1">IFERROR(__xludf.DUMMYFUNCTION("TRIM(SUBSTITUTE(SUBSTITUTE(D578, index(SPLIT(D578, "" ""), COLUMNS(SPLIT(D578, "" ""))), """"), index(SPLIT(D578, "" ""), COLUMNS(SPLIT(D578, "" ""))-1), """"))"),"Чабанівська")</f>
        <v>Чабанівська</v>
      </c>
    </row>
    <row r="579" spans="1:17" ht="88">
      <c r="A579" s="2"/>
      <c r="B579" s="2" t="s">
        <v>1409</v>
      </c>
      <c r="C579" s="2" t="s">
        <v>1410</v>
      </c>
      <c r="D579" s="2" t="s">
        <v>936</v>
      </c>
      <c r="E579" s="2"/>
      <c r="F579" s="2" t="s">
        <v>20</v>
      </c>
      <c r="G579" s="2">
        <v>27</v>
      </c>
      <c r="H579" s="2">
        <v>702.9</v>
      </c>
      <c r="I579" s="2">
        <v>21499</v>
      </c>
      <c r="J579" s="2" t="s">
        <v>1411</v>
      </c>
      <c r="K579" s="2">
        <v>18</v>
      </c>
      <c r="L579" s="2" t="s">
        <v>1412</v>
      </c>
      <c r="Q579" s="4" t="str">
        <f ca="1">IFERROR(__xludf.DUMMYFUNCTION("TRIM(SUBSTITUTE(SUBSTITUTE(D579, index(SPLIT(D579, "" ""), COLUMNS(SPLIT(D579, "" ""))), """"), index(SPLIT(D579, "" ""), COLUMNS(SPLIT(D579, "" ""))-1), """"))"),"Благовіщенська")</f>
        <v>Благовіщенська</v>
      </c>
    </row>
    <row r="580" spans="1:17" ht="63">
      <c r="A580" s="2"/>
      <c r="B580" s="2" t="s">
        <v>1409</v>
      </c>
      <c r="C580" s="2" t="s">
        <v>1410</v>
      </c>
      <c r="D580" s="2" t="s">
        <v>622</v>
      </c>
      <c r="E580" s="2"/>
      <c r="F580" s="2" t="s">
        <v>32</v>
      </c>
      <c r="G580" s="2">
        <v>23</v>
      </c>
      <c r="H580" s="2">
        <v>589.9</v>
      </c>
      <c r="I580" s="2">
        <v>11137</v>
      </c>
      <c r="J580" s="2" t="s">
        <v>1413</v>
      </c>
      <c r="K580" s="2">
        <v>14</v>
      </c>
      <c r="L580" s="2" t="s">
        <v>1414</v>
      </c>
      <c r="Q580" s="4" t="str">
        <f ca="1">IFERROR(__xludf.DUMMYFUNCTION("TRIM(SUBSTITUTE(SUBSTITUTE(D580, index(SPLIT(D580, "" ""), COLUMNS(SPLIT(D580, "" ""))), """"), index(SPLIT(D580, "" ""), COLUMNS(SPLIT(D580, "" ""))-1), """"))"),"Вільшанська")</f>
        <v>Вільшанська</v>
      </c>
    </row>
    <row r="581" spans="1:17" ht="63">
      <c r="A581" s="2"/>
      <c r="B581" s="2" t="s">
        <v>1409</v>
      </c>
      <c r="C581" s="2" t="s">
        <v>1410</v>
      </c>
      <c r="D581" s="2" t="s">
        <v>1415</v>
      </c>
      <c r="E581" s="2"/>
      <c r="F581" s="2" t="s">
        <v>20</v>
      </c>
      <c r="G581" s="2">
        <v>17</v>
      </c>
      <c r="H581" s="2">
        <v>440.2</v>
      </c>
      <c r="I581" s="2">
        <v>24710</v>
      </c>
      <c r="J581" s="2" t="s">
        <v>1416</v>
      </c>
      <c r="K581" s="2">
        <v>13</v>
      </c>
      <c r="L581" s="2" t="s">
        <v>1417</v>
      </c>
      <c r="Q581" s="4" t="str">
        <f ca="1">IFERROR(__xludf.DUMMYFUNCTION("TRIM(SUBSTITUTE(SUBSTITUTE(D581, index(SPLIT(D581, "" ""), COLUMNS(SPLIT(D581, "" ""))), """"), index(SPLIT(D581, "" ""), COLUMNS(SPLIT(D581, "" ""))-1), """"))"),"Гайворонська")</f>
        <v>Гайворонська</v>
      </c>
    </row>
    <row r="582" spans="1:17" ht="63">
      <c r="A582" s="2"/>
      <c r="B582" s="2" t="s">
        <v>1409</v>
      </c>
      <c r="C582" s="2" t="s">
        <v>1410</v>
      </c>
      <c r="D582" s="2" t="s">
        <v>1418</v>
      </c>
      <c r="E582" s="2"/>
      <c r="F582" s="2" t="s">
        <v>32</v>
      </c>
      <c r="G582" s="2">
        <v>32</v>
      </c>
      <c r="H582" s="2">
        <v>663.4</v>
      </c>
      <c r="I582" s="2">
        <v>16234</v>
      </c>
      <c r="J582" s="2" t="s">
        <v>1419</v>
      </c>
      <c r="K582" s="2">
        <v>15</v>
      </c>
      <c r="L582" s="2" t="s">
        <v>1420</v>
      </c>
      <c r="Q582" s="4" t="str">
        <f ca="1">IFERROR(__xludf.DUMMYFUNCTION("TRIM(SUBSTITUTE(SUBSTITUTE(D582, index(SPLIT(D582, "" ""), COLUMNS(SPLIT(D582, "" ""))), """"), index(SPLIT(D582, "" ""), COLUMNS(SPLIT(D582, "" ""))-1), """"))"),"Голованівська")</f>
        <v>Голованівська</v>
      </c>
    </row>
    <row r="583" spans="1:17" ht="38">
      <c r="A583" s="2"/>
      <c r="B583" s="2" t="s">
        <v>1409</v>
      </c>
      <c r="C583" s="2" t="s">
        <v>1410</v>
      </c>
      <c r="D583" s="2" t="s">
        <v>1421</v>
      </c>
      <c r="E583" s="2"/>
      <c r="F583" s="2" t="s">
        <v>32</v>
      </c>
      <c r="G583" s="2">
        <v>12</v>
      </c>
      <c r="H583" s="2">
        <v>256</v>
      </c>
      <c r="I583" s="2">
        <v>10961</v>
      </c>
      <c r="J583" s="2" t="s">
        <v>1422</v>
      </c>
      <c r="K583" s="2">
        <v>6</v>
      </c>
      <c r="L583" s="2" t="s">
        <v>1423</v>
      </c>
      <c r="Q583" s="4" t="str">
        <f ca="1">IFERROR(__xludf.DUMMYFUNCTION("TRIM(SUBSTITUTE(SUBSTITUTE(D583, index(SPLIT(D583, "" ""), COLUMNS(SPLIT(D583, "" ""))), """"), index(SPLIT(D583, "" ""), COLUMNS(SPLIT(D583, "" ""))-1), """"))"),"Заваллівська")</f>
        <v>Заваллівська</v>
      </c>
    </row>
    <row r="584" spans="1:17" ht="38">
      <c r="A584" s="2"/>
      <c r="B584" s="2" t="s">
        <v>1409</v>
      </c>
      <c r="C584" s="2" t="s">
        <v>1410</v>
      </c>
      <c r="D584" s="2" t="s">
        <v>1424</v>
      </c>
      <c r="E584" s="2"/>
      <c r="F584" s="2" t="s">
        <v>28</v>
      </c>
      <c r="G584" s="2">
        <v>13</v>
      </c>
      <c r="H584" s="2">
        <v>270.8</v>
      </c>
      <c r="I584" s="2">
        <v>4232</v>
      </c>
      <c r="J584" s="2" t="s">
        <v>1425</v>
      </c>
      <c r="K584" s="2">
        <v>5</v>
      </c>
      <c r="L584" s="2" t="s">
        <v>1426</v>
      </c>
      <c r="Q584" s="4" t="str">
        <f ca="1">IFERROR(__xludf.DUMMYFUNCTION("TRIM(SUBSTITUTE(SUBSTITUTE(D584, index(SPLIT(D584, "" ""), COLUMNS(SPLIT(D584, "" ""))), """"), index(SPLIT(D584, "" ""), COLUMNS(SPLIT(D584, "" ""))-1), """"))"),"Надлацька")</f>
        <v>Надлацька</v>
      </c>
    </row>
    <row r="585" spans="1:17" ht="50.5">
      <c r="A585" s="2"/>
      <c r="B585" s="2" t="s">
        <v>1409</v>
      </c>
      <c r="C585" s="2" t="s">
        <v>1410</v>
      </c>
      <c r="D585" s="2" t="s">
        <v>1427</v>
      </c>
      <c r="E585" s="2"/>
      <c r="F585" s="2" t="s">
        <v>32</v>
      </c>
      <c r="G585" s="2">
        <v>21</v>
      </c>
      <c r="H585" s="2">
        <v>487.6</v>
      </c>
      <c r="I585" s="2">
        <v>12455</v>
      </c>
      <c r="J585" s="2" t="s">
        <v>1428</v>
      </c>
      <c r="K585" s="2">
        <v>8</v>
      </c>
      <c r="L585" s="2" t="s">
        <v>1429</v>
      </c>
      <c r="Q585" s="4" t="str">
        <f ca="1">IFERROR(__xludf.DUMMYFUNCTION("TRIM(SUBSTITUTE(SUBSTITUTE(D585, index(SPLIT(D585, "" ""), COLUMNS(SPLIT(D585, "" ""))), """"), index(SPLIT(D585, "" ""), COLUMNS(SPLIT(D585, "" ""))-1), """"))"),"Новоархангельська")</f>
        <v>Новоархангельська</v>
      </c>
    </row>
    <row r="586" spans="1:17" ht="50.5">
      <c r="A586" s="2"/>
      <c r="B586" s="2" t="s">
        <v>1409</v>
      </c>
      <c r="C586" s="2" t="s">
        <v>1410</v>
      </c>
      <c r="D586" s="2" t="s">
        <v>1430</v>
      </c>
      <c r="E586" s="2"/>
      <c r="F586" s="2" t="s">
        <v>28</v>
      </c>
      <c r="G586" s="2">
        <v>10</v>
      </c>
      <c r="H586" s="2">
        <v>190.2</v>
      </c>
      <c r="I586" s="2">
        <v>4499</v>
      </c>
      <c r="J586" s="2" t="s">
        <v>1431</v>
      </c>
      <c r="K586" s="2">
        <v>4</v>
      </c>
      <c r="L586" s="2" t="s">
        <v>1432</v>
      </c>
      <c r="Q586" s="4" t="str">
        <f ca="1">IFERROR(__xludf.DUMMYFUNCTION("TRIM(SUBSTITUTE(SUBSTITUTE(D586, index(SPLIT(D586, "" ""), COLUMNS(SPLIT(D586, "" ""))), """"), index(SPLIT(D586, "" ""), COLUMNS(SPLIT(D586, "" ""))-1), """"))"),"Перегонівська")</f>
        <v>Перегонівська</v>
      </c>
    </row>
    <row r="587" spans="1:17" ht="38">
      <c r="A587" s="2"/>
      <c r="B587" s="2" t="s">
        <v>1409</v>
      </c>
      <c r="C587" s="2" t="s">
        <v>1410</v>
      </c>
      <c r="D587" s="2" t="s">
        <v>1433</v>
      </c>
      <c r="E587" s="2"/>
      <c r="F587" s="2" t="s">
        <v>32</v>
      </c>
      <c r="G587" s="2">
        <v>9</v>
      </c>
      <c r="H587" s="2">
        <v>195.3</v>
      </c>
      <c r="I587" s="2">
        <v>8955</v>
      </c>
      <c r="J587" s="2" t="s">
        <v>1434</v>
      </c>
      <c r="K587" s="2">
        <v>6</v>
      </c>
      <c r="L587" s="2" t="s">
        <v>1435</v>
      </c>
      <c r="Q587" s="4" t="str">
        <f ca="1">IFERROR(__xludf.DUMMYFUNCTION("TRIM(SUBSTITUTE(SUBSTITUTE(D587, index(SPLIT(D587, "" ""), COLUMNS(SPLIT(D587, "" ""))), """"), index(SPLIT(D587, "" ""), COLUMNS(SPLIT(D587, "" ""))-1), """"))"),"Побузька")</f>
        <v>Побузька</v>
      </c>
    </row>
    <row r="588" spans="1:17" ht="38">
      <c r="A588" s="2"/>
      <c r="B588" s="2" t="s">
        <v>1409</v>
      </c>
      <c r="C588" s="2" t="s">
        <v>1410</v>
      </c>
      <c r="D588" s="2" t="s">
        <v>1436</v>
      </c>
      <c r="E588" s="2"/>
      <c r="F588" s="2" t="s">
        <v>28</v>
      </c>
      <c r="G588" s="2">
        <v>17</v>
      </c>
      <c r="H588" s="2">
        <v>447.7</v>
      </c>
      <c r="I588" s="2">
        <v>6468</v>
      </c>
      <c r="J588" s="2" t="s">
        <v>1437</v>
      </c>
      <c r="K588" s="2">
        <v>9</v>
      </c>
      <c r="L588" s="2" t="s">
        <v>1438</v>
      </c>
      <c r="Q588" s="4" t="str">
        <f ca="1">IFERROR(__xludf.DUMMYFUNCTION("TRIM(SUBSTITUTE(SUBSTITUTE(D588, index(SPLIT(D588, "" ""), COLUMNS(SPLIT(D588, "" ""))), """"), index(SPLIT(D588, "" ""), COLUMNS(SPLIT(D588, "" ""))-1), """"))"),"Підвисоцька")</f>
        <v>Підвисоцька</v>
      </c>
    </row>
    <row r="589" spans="1:17" ht="38">
      <c r="A589" s="2"/>
      <c r="B589" s="2" t="s">
        <v>1409</v>
      </c>
      <c r="C589" s="2" t="s">
        <v>1439</v>
      </c>
      <c r="D589" s="2" t="s">
        <v>1440</v>
      </c>
      <c r="E589" s="2"/>
      <c r="F589" s="2" t="s">
        <v>28</v>
      </c>
      <c r="G589" s="2">
        <v>11</v>
      </c>
      <c r="H589" s="2">
        <v>291.39999999999998</v>
      </c>
      <c r="I589" s="2">
        <v>5984</v>
      </c>
      <c r="J589" s="2" t="s">
        <v>1441</v>
      </c>
      <c r="K589" s="2">
        <v>4</v>
      </c>
      <c r="L589" s="2" t="s">
        <v>1442</v>
      </c>
      <c r="Q589" s="4" t="str">
        <f ca="1">IFERROR(__xludf.DUMMYFUNCTION("TRIM(SUBSTITUTE(SUBSTITUTE(D589, index(SPLIT(D589, "" ""), COLUMNS(SPLIT(D589, "" ""))), """"), index(SPLIT(D589, "" ""), COLUMNS(SPLIT(D589, "" ""))-1), """"))"),"Аджамська")</f>
        <v>Аджамська</v>
      </c>
    </row>
    <row r="590" spans="1:17" ht="38">
      <c r="A590" s="2"/>
      <c r="B590" s="2" t="s">
        <v>1409</v>
      </c>
      <c r="C590" s="2" t="s">
        <v>1439</v>
      </c>
      <c r="D590" s="2" t="s">
        <v>1443</v>
      </c>
      <c r="E590" s="2"/>
      <c r="F590" s="2" t="s">
        <v>20</v>
      </c>
      <c r="G590" s="2">
        <v>9</v>
      </c>
      <c r="H590" s="2">
        <v>194.7</v>
      </c>
      <c r="I590" s="2">
        <v>11338</v>
      </c>
      <c r="J590" s="2" t="s">
        <v>143</v>
      </c>
      <c r="K590" s="2">
        <v>2</v>
      </c>
      <c r="L590" s="2" t="s">
        <v>1444</v>
      </c>
      <c r="Q590" s="4" t="str">
        <f ca="1">IFERROR(__xludf.DUMMYFUNCTION("TRIM(SUBSTITUTE(SUBSTITUTE(D590, index(SPLIT(D590, "" ""), COLUMNS(SPLIT(D590, "" ""))), """"), index(SPLIT(D590, "" ""), COLUMNS(SPLIT(D590, "" ""))-1), """"))"),"Бобринецька")</f>
        <v>Бобринецька</v>
      </c>
    </row>
    <row r="591" spans="1:17" ht="50.5">
      <c r="A591" s="2"/>
      <c r="B591" s="2" t="s">
        <v>1409</v>
      </c>
      <c r="C591" s="2" t="s">
        <v>1439</v>
      </c>
      <c r="D591" s="2" t="s">
        <v>1445</v>
      </c>
      <c r="E591" s="2"/>
      <c r="F591" s="2" t="s">
        <v>28</v>
      </c>
      <c r="G591" s="2">
        <v>11</v>
      </c>
      <c r="H591" s="2">
        <v>223.7</v>
      </c>
      <c r="I591" s="2">
        <v>6183</v>
      </c>
      <c r="J591" s="2" t="s">
        <v>63</v>
      </c>
      <c r="K591" s="2">
        <v>4</v>
      </c>
      <c r="L591" s="2" t="s">
        <v>1446</v>
      </c>
      <c r="Q591" s="4" t="str">
        <f ca="1">IFERROR(__xludf.DUMMYFUNCTION("TRIM(SUBSTITUTE(SUBSTITUTE(D591, index(SPLIT(D591, "" ""), COLUMNS(SPLIT(D591, "" ""))), """"), index(SPLIT(D591, "" ""), COLUMNS(SPLIT(D591, "" ""))-1), """"))"),"Великосеверинівська")</f>
        <v>Великосеверинівська</v>
      </c>
    </row>
    <row r="592" spans="1:17" ht="38">
      <c r="A592" s="2"/>
      <c r="B592" s="2" t="s">
        <v>1409</v>
      </c>
      <c r="C592" s="2" t="s">
        <v>1439</v>
      </c>
      <c r="D592" s="2" t="s">
        <v>1447</v>
      </c>
      <c r="E592" s="2"/>
      <c r="F592" s="2" t="s">
        <v>28</v>
      </c>
      <c r="G592" s="2">
        <v>16</v>
      </c>
      <c r="H592" s="2">
        <v>628.70000000000005</v>
      </c>
      <c r="I592" s="2">
        <v>5596</v>
      </c>
      <c r="J592" s="2" t="s">
        <v>163</v>
      </c>
      <c r="K592" s="2">
        <v>7</v>
      </c>
      <c r="L592" s="2" t="s">
        <v>1448</v>
      </c>
      <c r="Q592" s="4" t="str">
        <f ca="1">IFERROR(__xludf.DUMMYFUNCTION("TRIM(SUBSTITUTE(SUBSTITUTE(D592, index(SPLIT(D592, "" ""), COLUMNS(SPLIT(D592, "" ""))), """"), index(SPLIT(D592, "" ""), COLUMNS(SPLIT(D592, "" ""))-1), """"))"),"Гурівська")</f>
        <v>Гурівська</v>
      </c>
    </row>
    <row r="593" spans="1:17" ht="38">
      <c r="A593" s="2"/>
      <c r="B593" s="2" t="s">
        <v>1409</v>
      </c>
      <c r="C593" s="2" t="s">
        <v>1439</v>
      </c>
      <c r="D593" s="2" t="s">
        <v>1291</v>
      </c>
      <c r="E593" s="2"/>
      <c r="F593" s="2" t="s">
        <v>28</v>
      </c>
      <c r="G593" s="2">
        <v>14</v>
      </c>
      <c r="H593" s="2">
        <v>545.70000000000005</v>
      </c>
      <c r="I593" s="2">
        <v>6460</v>
      </c>
      <c r="J593" s="2" t="s">
        <v>93</v>
      </c>
      <c r="K593" s="2">
        <v>4</v>
      </c>
      <c r="L593" s="2" t="s">
        <v>1449</v>
      </c>
      <c r="Q593" s="4" t="str">
        <f ca="1">IFERROR(__xludf.DUMMYFUNCTION("TRIM(SUBSTITUTE(SUBSTITUTE(D593, index(SPLIT(D593, "" ""), COLUMNS(SPLIT(D593, "" ""))), """"), index(SPLIT(D593, "" ""), COLUMNS(SPLIT(D593, "" ""))-1), """"))"),"Дмитрівська")</f>
        <v>Дмитрівська</v>
      </c>
    </row>
    <row r="594" spans="1:17" ht="63">
      <c r="A594" s="2"/>
      <c r="B594" s="2" t="s">
        <v>1409</v>
      </c>
      <c r="C594" s="2" t="s">
        <v>1439</v>
      </c>
      <c r="D594" s="2" t="s">
        <v>969</v>
      </c>
      <c r="E594" s="2"/>
      <c r="F594" s="2" t="s">
        <v>20</v>
      </c>
      <c r="G594" s="2">
        <v>32</v>
      </c>
      <c r="H594" s="2">
        <v>649.6</v>
      </c>
      <c r="I594" s="2">
        <v>26507</v>
      </c>
      <c r="J594" s="2" t="s">
        <v>1450</v>
      </c>
      <c r="K594" s="2">
        <v>12</v>
      </c>
      <c r="L594" s="2" t="s">
        <v>1451</v>
      </c>
      <c r="Q594" s="4" t="str">
        <f ca="1">IFERROR(__xludf.DUMMYFUNCTION("TRIM(SUBSTITUTE(SUBSTITUTE(D594, index(SPLIT(D594, "" ""), COLUMNS(SPLIT(D594, "" ""))), """"), index(SPLIT(D594, "" ""), COLUMNS(SPLIT(D594, "" ""))-1), """"))"),"Долинська")</f>
        <v>Долинська</v>
      </c>
    </row>
    <row r="595" spans="1:17" ht="38">
      <c r="A595" s="2"/>
      <c r="B595" s="2" t="s">
        <v>1409</v>
      </c>
      <c r="C595" s="2" t="s">
        <v>1439</v>
      </c>
      <c r="D595" s="2" t="s">
        <v>1452</v>
      </c>
      <c r="E595" s="2"/>
      <c r="F595" s="2" t="s">
        <v>20</v>
      </c>
      <c r="G595" s="2">
        <v>6</v>
      </c>
      <c r="H595" s="2">
        <v>113.1</v>
      </c>
      <c r="I595" s="2">
        <v>28234</v>
      </c>
      <c r="J595" s="2" t="s">
        <v>1453</v>
      </c>
      <c r="K595" s="2">
        <v>3</v>
      </c>
      <c r="L595" s="2" t="s">
        <v>1454</v>
      </c>
      <c r="Q595" s="4" t="str">
        <f ca="1">IFERROR(__xludf.DUMMYFUNCTION("TRIM(SUBSTITUTE(SUBSTITUTE(D595, index(SPLIT(D595, "" ""), COLUMNS(SPLIT(D595, "" ""))), """"), index(SPLIT(D595, "" ""), COLUMNS(SPLIT(D595, "" ""))-1), """"))"),"Знам’янська")</f>
        <v>Знам’янська</v>
      </c>
    </row>
    <row r="596" spans="1:17" ht="50.5">
      <c r="A596" s="2"/>
      <c r="B596" s="2" t="s">
        <v>1409</v>
      </c>
      <c r="C596" s="2" t="s">
        <v>1439</v>
      </c>
      <c r="D596" s="2" t="s">
        <v>1455</v>
      </c>
      <c r="E596" s="2"/>
      <c r="F596" s="2" t="s">
        <v>28</v>
      </c>
      <c r="G596" s="2">
        <v>13</v>
      </c>
      <c r="H596" s="2">
        <v>293.7</v>
      </c>
      <c r="I596" s="2">
        <v>5606</v>
      </c>
      <c r="J596" s="2" t="s">
        <v>39</v>
      </c>
      <c r="K596" s="2">
        <v>6</v>
      </c>
      <c r="L596" s="2" t="s">
        <v>1456</v>
      </c>
      <c r="Q596" s="4" t="str">
        <f ca="1">IFERROR(__xludf.DUMMYFUNCTION("TRIM(SUBSTITUTE(SUBSTITUTE(D596, index(SPLIT(D596, "" ""), COLUMNS(SPLIT(D596, "" ""))), """"), index(SPLIT(D596, "" ""), COLUMNS(SPLIT(D596, "" ""))-1), """"))"),"Катеринівська")</f>
        <v>Катеринівська</v>
      </c>
    </row>
    <row r="597" spans="1:17" ht="113">
      <c r="A597" s="2"/>
      <c r="B597" s="2" t="s">
        <v>1409</v>
      </c>
      <c r="C597" s="2" t="s">
        <v>1439</v>
      </c>
      <c r="D597" s="2" t="s">
        <v>1457</v>
      </c>
      <c r="E597" s="2"/>
      <c r="F597" s="2" t="s">
        <v>28</v>
      </c>
      <c r="G597" s="2">
        <v>73</v>
      </c>
      <c r="H597" s="2">
        <v>1301.8</v>
      </c>
      <c r="I597" s="2">
        <v>12979</v>
      </c>
      <c r="J597" s="2" t="s">
        <v>1458</v>
      </c>
      <c r="K597" s="2">
        <v>24</v>
      </c>
      <c r="L597" s="2" t="s">
        <v>1459</v>
      </c>
      <c r="Q597" s="4" t="str">
        <f ca="1">IFERROR(__xludf.DUMMYFUNCTION("TRIM(SUBSTITUTE(SUBSTITUTE(D597, index(SPLIT(D597, "" ""), COLUMNS(SPLIT(D597, "" ""))), """"), index(SPLIT(D597, "" ""), COLUMNS(SPLIT(D597, "" ""))-1), """"))"),"Кетрисанівська")</f>
        <v>Кетрисанівська</v>
      </c>
    </row>
    <row r="598" spans="1:17" ht="75.5">
      <c r="A598" s="2"/>
      <c r="B598" s="2" t="s">
        <v>1409</v>
      </c>
      <c r="C598" s="2" t="s">
        <v>1439</v>
      </c>
      <c r="D598" s="2" t="s">
        <v>1460</v>
      </c>
      <c r="E598" s="2"/>
      <c r="F598" s="2" t="s">
        <v>32</v>
      </c>
      <c r="G598" s="2">
        <v>51</v>
      </c>
      <c r="H598" s="2">
        <v>967.8</v>
      </c>
      <c r="I598" s="2">
        <v>14505</v>
      </c>
      <c r="J598" s="2" t="s">
        <v>39</v>
      </c>
      <c r="K598" s="2">
        <v>17</v>
      </c>
      <c r="L598" s="2" t="s">
        <v>1461</v>
      </c>
      <c r="Q598" s="4" t="str">
        <f ca="1">IFERROR(__xludf.DUMMYFUNCTION("TRIM(SUBSTITUTE(SUBSTITUTE(D598, index(SPLIT(D598, "" ""), COLUMNS(SPLIT(D598, "" ""))), """"), index(SPLIT(D598, "" ""), COLUMNS(SPLIT(D598, "" ""))-1), """"))"),"Компаніївська")</f>
        <v>Компаніївська</v>
      </c>
    </row>
    <row r="599" spans="1:17" ht="50.5">
      <c r="A599" s="2"/>
      <c r="B599" s="2" t="s">
        <v>1409</v>
      </c>
      <c r="C599" s="2" t="s">
        <v>1439</v>
      </c>
      <c r="D599" s="2" t="s">
        <v>1462</v>
      </c>
      <c r="E599" s="2"/>
      <c r="F599" s="2" t="s">
        <v>20</v>
      </c>
      <c r="G599" s="2">
        <v>2</v>
      </c>
      <c r="H599" s="2">
        <v>105</v>
      </c>
      <c r="I599" s="2">
        <v>231162</v>
      </c>
      <c r="J599" s="2" t="s">
        <v>1463</v>
      </c>
      <c r="K599" s="2">
        <v>2</v>
      </c>
      <c r="L599" s="2" t="s">
        <v>1464</v>
      </c>
      <c r="Q599" s="4" t="str">
        <f ca="1">IFERROR(__xludf.DUMMYFUNCTION("TRIM(SUBSTITUTE(SUBSTITUTE(D599, index(SPLIT(D599, "" ""), COLUMNS(SPLIT(D599, "" ""))), """"), index(SPLIT(D599, "" ""), COLUMNS(SPLIT(D599, "" ""))-1), """"))"),"Кропивницька")</f>
        <v>Кропивницька</v>
      </c>
    </row>
    <row r="600" spans="1:17" ht="50.5">
      <c r="A600" s="2"/>
      <c r="B600" s="2" t="s">
        <v>1409</v>
      </c>
      <c r="C600" s="2" t="s">
        <v>1439</v>
      </c>
      <c r="D600" s="2" t="s">
        <v>1465</v>
      </c>
      <c r="E600" s="2"/>
      <c r="F600" s="2" t="s">
        <v>32</v>
      </c>
      <c r="G600" s="2">
        <v>27</v>
      </c>
      <c r="H600" s="2">
        <v>996.1</v>
      </c>
      <c r="I600" s="2">
        <v>14573</v>
      </c>
      <c r="J600" s="2" t="s">
        <v>1466</v>
      </c>
      <c r="K600" s="2">
        <v>11</v>
      </c>
      <c r="L600" s="2" t="s">
        <v>1467</v>
      </c>
      <c r="Q600" s="4" t="str">
        <f ca="1">IFERROR(__xludf.DUMMYFUNCTION("TRIM(SUBSTITUTE(SUBSTITUTE(D600, index(SPLIT(D600, "" ""), COLUMNS(SPLIT(D600, "" ""))), """"), index(SPLIT(D600, "" ""), COLUMNS(SPLIT(D600, "" ""))-1), """"))"),"Новгородківська")</f>
        <v>Новгородківська</v>
      </c>
    </row>
    <row r="601" spans="1:17" ht="100.5">
      <c r="A601" s="2"/>
      <c r="B601" s="2" t="s">
        <v>1409</v>
      </c>
      <c r="C601" s="2" t="s">
        <v>1439</v>
      </c>
      <c r="D601" s="2" t="s">
        <v>523</v>
      </c>
      <c r="E601" s="2"/>
      <c r="F601" s="2" t="s">
        <v>32</v>
      </c>
      <c r="G601" s="2">
        <v>53</v>
      </c>
      <c r="H601" s="2">
        <v>1155.3</v>
      </c>
      <c r="I601" s="2">
        <v>25281</v>
      </c>
      <c r="J601" s="2" t="s">
        <v>1468</v>
      </c>
      <c r="K601" s="2">
        <v>23</v>
      </c>
      <c r="L601" s="2" t="s">
        <v>1469</v>
      </c>
      <c r="Q601" s="4" t="str">
        <f ca="1">IFERROR(__xludf.DUMMYFUNCTION("TRIM(SUBSTITUTE(SUBSTITUTE(D601, index(SPLIT(D601, "" ""), COLUMNS(SPLIT(D601, "" ""))), """"), index(SPLIT(D601, "" ""), COLUMNS(SPLIT(D601, "" ""))-1), """"))"),"Олександрівська")</f>
        <v>Олександрівська</v>
      </c>
    </row>
    <row r="602" spans="1:17" ht="50.5">
      <c r="A602" s="2"/>
      <c r="B602" s="2" t="s">
        <v>1409</v>
      </c>
      <c r="C602" s="2" t="s">
        <v>1439</v>
      </c>
      <c r="D602" s="2" t="s">
        <v>1470</v>
      </c>
      <c r="E602" s="2"/>
      <c r="F602" s="2" t="s">
        <v>28</v>
      </c>
      <c r="G602" s="2">
        <v>19</v>
      </c>
      <c r="H602" s="2">
        <v>382.5</v>
      </c>
      <c r="I602" s="2">
        <v>8590</v>
      </c>
      <c r="J602" s="2" t="s">
        <v>249</v>
      </c>
      <c r="K602" s="2">
        <v>8</v>
      </c>
      <c r="L602" s="2" t="s">
        <v>1471</v>
      </c>
      <c r="Q602" s="4" t="str">
        <f ca="1">IFERROR(__xludf.DUMMYFUNCTION("TRIM(SUBSTITUTE(SUBSTITUTE(D602, index(SPLIT(D602, "" ""), COLUMNS(SPLIT(D602, "" ""))), """"), index(SPLIT(D602, "" ""), COLUMNS(SPLIT(D602, "" ""))-1), """"))"),"Первозванівська")</f>
        <v>Первозванівська</v>
      </c>
    </row>
    <row r="603" spans="1:17" ht="38">
      <c r="A603" s="2"/>
      <c r="B603" s="2" t="s">
        <v>1409</v>
      </c>
      <c r="C603" s="2" t="s">
        <v>1439</v>
      </c>
      <c r="D603" s="2" t="s">
        <v>1472</v>
      </c>
      <c r="E603" s="2"/>
      <c r="F603" s="2" t="s">
        <v>28</v>
      </c>
      <c r="G603" s="2">
        <v>22</v>
      </c>
      <c r="H603" s="2">
        <v>399.9</v>
      </c>
      <c r="I603" s="2">
        <v>10173</v>
      </c>
      <c r="J603" s="2" t="s">
        <v>33</v>
      </c>
      <c r="K603" s="2">
        <v>9</v>
      </c>
      <c r="L603" s="2" t="s">
        <v>1473</v>
      </c>
      <c r="Q603" s="4" t="str">
        <f ca="1">IFERROR(__xludf.DUMMYFUNCTION("TRIM(SUBSTITUTE(SUBSTITUTE(D603, index(SPLIT(D603, "" ""), COLUMNS(SPLIT(D603, "" ""))), """"), index(SPLIT(D603, "" ""), COLUMNS(SPLIT(D603, "" ""))-1), """"))"),"Соколівська")</f>
        <v>Соколівська</v>
      </c>
    </row>
    <row r="604" spans="1:17" ht="38">
      <c r="A604" s="2"/>
      <c r="B604" s="2" t="s">
        <v>1409</v>
      </c>
      <c r="C604" s="2" t="s">
        <v>1439</v>
      </c>
      <c r="D604" s="2" t="s">
        <v>1474</v>
      </c>
      <c r="E604" s="2"/>
      <c r="F604" s="2" t="s">
        <v>28</v>
      </c>
      <c r="G604" s="2">
        <v>23</v>
      </c>
      <c r="H604" s="2">
        <v>532.6</v>
      </c>
      <c r="I604" s="2">
        <v>11832</v>
      </c>
      <c r="J604" s="2" t="s">
        <v>1475</v>
      </c>
      <c r="K604" s="2">
        <v>6</v>
      </c>
      <c r="L604" s="2" t="s">
        <v>1476</v>
      </c>
      <c r="Q604" s="4" t="str">
        <f ca="1">IFERROR(__xludf.DUMMYFUNCTION("TRIM(SUBSTITUTE(SUBSTITUTE(D604, index(SPLIT(D604, "" ""), COLUMNS(SPLIT(D604, "" ""))), """"), index(SPLIT(D604, "" ""), COLUMNS(SPLIT(D604, "" ""))-1), """"))"),"Суботцівська")</f>
        <v>Суботцівська</v>
      </c>
    </row>
    <row r="605" spans="1:17" ht="75.5">
      <c r="A605" s="2"/>
      <c r="B605" s="2" t="s">
        <v>1409</v>
      </c>
      <c r="C605" s="2" t="s">
        <v>1439</v>
      </c>
      <c r="D605" s="2" t="s">
        <v>1477</v>
      </c>
      <c r="E605" s="2"/>
      <c r="F605" s="2" t="s">
        <v>32</v>
      </c>
      <c r="G605" s="2">
        <v>36</v>
      </c>
      <c r="H605" s="2">
        <v>941.6</v>
      </c>
      <c r="I605" s="2">
        <v>12015</v>
      </c>
      <c r="J605" s="2" t="s">
        <v>1478</v>
      </c>
      <c r="K605" s="2">
        <v>15</v>
      </c>
      <c r="L605" s="2" t="s">
        <v>1479</v>
      </c>
      <c r="Q605" s="4" t="str">
        <f ca="1">IFERROR(__xludf.DUMMYFUNCTION("TRIM(SUBSTITUTE(SUBSTITUTE(D605, index(SPLIT(D605, "" ""), COLUMNS(SPLIT(D605, "" ""))), """"), index(SPLIT(D605, "" ""), COLUMNS(SPLIT(D605, "" ""))-1), """"))"),"Устинівська")</f>
        <v>Устинівська</v>
      </c>
    </row>
    <row r="606" spans="1:17" ht="38">
      <c r="A606" s="2"/>
      <c r="B606" s="2" t="s">
        <v>1409</v>
      </c>
      <c r="C606" s="2" t="s">
        <v>1480</v>
      </c>
      <c r="D606" s="2" t="s">
        <v>1481</v>
      </c>
      <c r="E606" s="2"/>
      <c r="F606" s="2" t="s">
        <v>28</v>
      </c>
      <c r="G606" s="2">
        <v>14</v>
      </c>
      <c r="H606" s="2">
        <v>295.3</v>
      </c>
      <c r="I606" s="2">
        <v>3549</v>
      </c>
      <c r="J606" s="2" t="s">
        <v>1482</v>
      </c>
      <c r="K606" s="2">
        <v>5</v>
      </c>
      <c r="L606" s="2" t="s">
        <v>1483</v>
      </c>
      <c r="Q606" s="4" t="str">
        <f ca="1">IFERROR(__xludf.DUMMYFUNCTION("TRIM(SUBSTITUTE(SUBSTITUTE(D606, index(SPLIT(D606, "" ""), COLUMNS(SPLIT(D606, "" ""))), """"), index(SPLIT(D606, "" ""), COLUMNS(SPLIT(D606, "" ""))-1), """"))"),"Ганнівська")</f>
        <v>Ганнівська</v>
      </c>
    </row>
    <row r="607" spans="1:17" ht="38">
      <c r="A607" s="2"/>
      <c r="B607" s="2" t="s">
        <v>1409</v>
      </c>
      <c r="C607" s="2" t="s">
        <v>1480</v>
      </c>
      <c r="D607" s="2" t="s">
        <v>1484</v>
      </c>
      <c r="E607" s="2"/>
      <c r="F607" s="2" t="s">
        <v>28</v>
      </c>
      <c r="G607" s="2">
        <v>11</v>
      </c>
      <c r="H607" s="2">
        <v>244.5</v>
      </c>
      <c r="I607" s="2">
        <v>4146</v>
      </c>
      <c r="J607" s="2" t="s">
        <v>163</v>
      </c>
      <c r="K607" s="2">
        <v>3</v>
      </c>
      <c r="L607" s="2" t="s">
        <v>1485</v>
      </c>
      <c r="Q607" s="4" t="str">
        <f ca="1">IFERROR(__xludf.DUMMYFUNCTION("TRIM(SUBSTITUTE(SUBSTITUTE(D607, index(SPLIT(D607, "" ""), COLUMNS(SPLIT(D607, "" ""))), """"), index(SPLIT(D607, "" ""), COLUMNS(SPLIT(D607, "" ""))-1), """"))"),"Глодоська")</f>
        <v>Глодоська</v>
      </c>
    </row>
    <row r="608" spans="1:17" ht="63">
      <c r="A608" s="2"/>
      <c r="B608" s="2" t="s">
        <v>1409</v>
      </c>
      <c r="C608" s="2" t="s">
        <v>1480</v>
      </c>
      <c r="D608" s="2" t="s">
        <v>1486</v>
      </c>
      <c r="E608" s="2"/>
      <c r="F608" s="2" t="s">
        <v>32</v>
      </c>
      <c r="G608" s="2">
        <v>31</v>
      </c>
      <c r="H608" s="2">
        <v>591.20000000000005</v>
      </c>
      <c r="I608" s="2">
        <v>13458</v>
      </c>
      <c r="J608" s="2" t="s">
        <v>249</v>
      </c>
      <c r="K608" s="2">
        <v>12</v>
      </c>
      <c r="L608" s="2" t="s">
        <v>1487</v>
      </c>
      <c r="Q608" s="4" t="str">
        <f ca="1">IFERROR(__xludf.DUMMYFUNCTION("TRIM(SUBSTITUTE(SUBSTITUTE(D608, index(SPLIT(D608, "" ""), COLUMNS(SPLIT(D608, "" ""))), """"), index(SPLIT(D608, "" ""), COLUMNS(SPLIT(D608, "" ""))-1), """"))"),"Добровеличківська")</f>
        <v>Добровеличківська</v>
      </c>
    </row>
    <row r="609" spans="1:17" ht="38">
      <c r="A609" s="2"/>
      <c r="B609" s="2" t="s">
        <v>1409</v>
      </c>
      <c r="C609" s="2" t="s">
        <v>1480</v>
      </c>
      <c r="D609" s="2" t="s">
        <v>1488</v>
      </c>
      <c r="E609" s="2"/>
      <c r="F609" s="2" t="s">
        <v>28</v>
      </c>
      <c r="G609" s="2">
        <v>6</v>
      </c>
      <c r="H609" s="2">
        <v>274</v>
      </c>
      <c r="I609" s="2">
        <v>5725</v>
      </c>
      <c r="J609" s="2" t="s">
        <v>163</v>
      </c>
      <c r="K609" s="2">
        <v>3</v>
      </c>
      <c r="L609" s="2" t="s">
        <v>1489</v>
      </c>
      <c r="Q609" s="4" t="str">
        <f ca="1">IFERROR(__xludf.DUMMYFUNCTION("TRIM(SUBSTITUTE(SUBSTITUTE(D609, index(SPLIT(D609, "" ""), COLUMNS(SPLIT(D609, "" ""))), """"), index(SPLIT(D609, "" ""), COLUMNS(SPLIT(D609, "" ""))-1), """"))"),"Злинська")</f>
        <v>Злинська</v>
      </c>
    </row>
    <row r="610" spans="1:17" ht="50.5">
      <c r="A610" s="2"/>
      <c r="B610" s="2" t="s">
        <v>1409</v>
      </c>
      <c r="C610" s="2" t="s">
        <v>1480</v>
      </c>
      <c r="D610" s="2" t="s">
        <v>1490</v>
      </c>
      <c r="E610" s="2"/>
      <c r="F610" s="2" t="s">
        <v>20</v>
      </c>
      <c r="G610" s="2">
        <v>16</v>
      </c>
      <c r="H610" s="2">
        <v>384.3</v>
      </c>
      <c r="I610" s="2">
        <v>15107</v>
      </c>
      <c r="J610" s="2" t="s">
        <v>143</v>
      </c>
      <c r="K610" s="2">
        <v>7</v>
      </c>
      <c r="L610" s="2" t="s">
        <v>1491</v>
      </c>
      <c r="Q610" s="4" t="str">
        <f ca="1">IFERROR(__xludf.DUMMYFUNCTION("TRIM(SUBSTITUTE(SUBSTITUTE(D610, index(SPLIT(D610, "" ""), COLUMNS(SPLIT(D610, "" ""))), """"), index(SPLIT(D610, "" ""), COLUMNS(SPLIT(D610, "" ""))-1), """"))"),"Маловисківська")</f>
        <v>Маловисківська</v>
      </c>
    </row>
    <row r="611" spans="1:17" ht="38">
      <c r="A611" s="2"/>
      <c r="B611" s="2" t="s">
        <v>1409</v>
      </c>
      <c r="C611" s="2" t="s">
        <v>1480</v>
      </c>
      <c r="D611" s="2" t="s">
        <v>1492</v>
      </c>
      <c r="E611" s="2"/>
      <c r="F611" s="2" t="s">
        <v>28</v>
      </c>
      <c r="G611" s="2">
        <v>15</v>
      </c>
      <c r="H611" s="2">
        <v>299.10000000000002</v>
      </c>
      <c r="I611" s="2">
        <v>5161</v>
      </c>
      <c r="J611" s="2" t="s">
        <v>249</v>
      </c>
      <c r="K611" s="2">
        <v>4</v>
      </c>
      <c r="L611" s="2" t="s">
        <v>1493</v>
      </c>
      <c r="Q611" s="4" t="str">
        <f ca="1">IFERROR(__xludf.DUMMYFUNCTION("TRIM(SUBSTITUTE(SUBSTITUTE(D611, index(SPLIT(D611, "" ""), COLUMNS(SPLIT(D611, "" ""))), """"), index(SPLIT(D611, "" ""), COLUMNS(SPLIT(D611, "" ""))-1), """"))"),"Мар’янівська")</f>
        <v>Мар’янівська</v>
      </c>
    </row>
    <row r="612" spans="1:17" ht="88">
      <c r="A612" s="2"/>
      <c r="B612" s="2" t="s">
        <v>1409</v>
      </c>
      <c r="C612" s="2" t="s">
        <v>1480</v>
      </c>
      <c r="D612" s="2" t="s">
        <v>1494</v>
      </c>
      <c r="E612" s="2"/>
      <c r="F612" s="2" t="s">
        <v>20</v>
      </c>
      <c r="G612" s="2">
        <v>47</v>
      </c>
      <c r="H612" s="2">
        <v>1004.9</v>
      </c>
      <c r="I612" s="2">
        <v>26749</v>
      </c>
      <c r="J612" s="2" t="s">
        <v>1495</v>
      </c>
      <c r="K612" s="2">
        <v>21</v>
      </c>
      <c r="L612" s="2" t="s">
        <v>1496</v>
      </c>
      <c r="Q612" s="4" t="str">
        <f ca="1">IFERROR(__xludf.DUMMYFUNCTION("TRIM(SUBSTITUTE(SUBSTITUTE(D612, index(SPLIT(D612, "" ""), COLUMNS(SPLIT(D612, "" ""))), """"), index(SPLIT(D612, "" ""), COLUMNS(SPLIT(D612, "" ""))-1), """"))"),"Новомиргородська")</f>
        <v>Новомиргородська</v>
      </c>
    </row>
    <row r="613" spans="1:17" ht="50.5">
      <c r="A613" s="2"/>
      <c r="B613" s="2" t="s">
        <v>1409</v>
      </c>
      <c r="C613" s="2" t="s">
        <v>1480</v>
      </c>
      <c r="D613" s="2" t="s">
        <v>1497</v>
      </c>
      <c r="E613" s="2"/>
      <c r="F613" s="2" t="s">
        <v>20</v>
      </c>
      <c r="G613" s="2">
        <v>16</v>
      </c>
      <c r="H613" s="2">
        <v>449.5</v>
      </c>
      <c r="I613" s="2">
        <v>19760</v>
      </c>
      <c r="J613" s="2" t="s">
        <v>254</v>
      </c>
      <c r="K613" s="2">
        <v>5</v>
      </c>
      <c r="L613" s="2" t="s">
        <v>1498</v>
      </c>
      <c r="Q613" s="4" t="str">
        <f ca="1">IFERROR(__xludf.DUMMYFUNCTION("TRIM(SUBSTITUTE(SUBSTITUTE(D613, index(SPLIT(D613, "" ""), COLUMNS(SPLIT(D613, "" ""))), """"), index(SPLIT(D613, "" ""), COLUMNS(SPLIT(D613, "" ""))-1), """"))"),"Новоукраїнська")</f>
        <v>Новоукраїнська</v>
      </c>
    </row>
    <row r="614" spans="1:17" ht="38">
      <c r="A614" s="2"/>
      <c r="B614" s="2" t="s">
        <v>1409</v>
      </c>
      <c r="C614" s="2" t="s">
        <v>1480</v>
      </c>
      <c r="D614" s="2" t="s">
        <v>1499</v>
      </c>
      <c r="E614" s="2"/>
      <c r="F614" s="2" t="s">
        <v>20</v>
      </c>
      <c r="G614" s="2">
        <v>4</v>
      </c>
      <c r="H614" s="2">
        <v>77.400000000000006</v>
      </c>
      <c r="I614" s="2">
        <v>9904</v>
      </c>
      <c r="J614" s="2" t="s">
        <v>39</v>
      </c>
      <c r="K614" s="2">
        <v>2</v>
      </c>
      <c r="L614" s="2" t="s">
        <v>1500</v>
      </c>
      <c r="Q614" s="4" t="str">
        <f ca="1">IFERROR(__xludf.DUMMYFUNCTION("TRIM(SUBSTITUTE(SUBSTITUTE(D614, index(SPLIT(D614, "" ""), COLUMNS(SPLIT(D614, "" ""))), """"), index(SPLIT(D614, "" ""), COLUMNS(SPLIT(D614, "" ""))-1), """"))"),"Помічнянська")</f>
        <v>Помічнянська</v>
      </c>
    </row>
    <row r="615" spans="1:17" ht="50.5">
      <c r="A615" s="2"/>
      <c r="B615" s="2" t="s">
        <v>1409</v>
      </c>
      <c r="C615" s="2" t="s">
        <v>1480</v>
      </c>
      <c r="D615" s="2" t="s">
        <v>1501</v>
      </c>
      <c r="E615" s="2"/>
      <c r="F615" s="2" t="s">
        <v>28</v>
      </c>
      <c r="G615" s="2">
        <v>20</v>
      </c>
      <c r="H615" s="2">
        <v>424.2</v>
      </c>
      <c r="I615" s="2">
        <v>5996</v>
      </c>
      <c r="J615" s="2" t="s">
        <v>249</v>
      </c>
      <c r="K615" s="2">
        <v>7</v>
      </c>
      <c r="L615" s="2" t="s">
        <v>1502</v>
      </c>
      <c r="Q615" s="4" t="str">
        <f ca="1">IFERROR(__xludf.DUMMYFUNCTION("TRIM(SUBSTITUTE(SUBSTITUTE(D615, index(SPLIT(D615, "" ""), COLUMNS(SPLIT(D615, "" ""))), """"), index(SPLIT(D615, "" ""), COLUMNS(SPLIT(D615, "" ""))-1), """"))"),"Піщанобрідська")</f>
        <v>Піщанобрідська</v>
      </c>
    </row>
    <row r="616" spans="1:17" ht="38">
      <c r="A616" s="2"/>
      <c r="B616" s="2" t="s">
        <v>1409</v>
      </c>
      <c r="C616" s="2" t="s">
        <v>1480</v>
      </c>
      <c r="D616" s="2" t="s">
        <v>1503</v>
      </c>
      <c r="E616" s="2"/>
      <c r="F616" s="2" t="s">
        <v>28</v>
      </c>
      <c r="G616" s="2">
        <v>29</v>
      </c>
      <c r="H616" s="2">
        <v>569.5</v>
      </c>
      <c r="I616" s="2">
        <v>10252</v>
      </c>
      <c r="J616" s="2" t="s">
        <v>1504</v>
      </c>
      <c r="K616" s="2">
        <v>7</v>
      </c>
      <c r="L616" s="2" t="s">
        <v>1505</v>
      </c>
      <c r="Q616" s="4" t="str">
        <f ca="1">IFERROR(__xludf.DUMMYFUNCTION("TRIM(SUBSTITUTE(SUBSTITUTE(D616, index(SPLIT(D616, "" ""), COLUMNS(SPLIT(D616, "" ""))), """"), index(SPLIT(D616, "" ""), COLUMNS(SPLIT(D616, "" ""))-1), """"))"),"Рівнянська")</f>
        <v>Рівнянська</v>
      </c>
    </row>
    <row r="617" spans="1:17" ht="38">
      <c r="A617" s="2"/>
      <c r="B617" s="2" t="s">
        <v>1409</v>
      </c>
      <c r="C617" s="2" t="s">
        <v>1480</v>
      </c>
      <c r="D617" s="2" t="s">
        <v>1506</v>
      </c>
      <c r="E617" s="2"/>
      <c r="F617" s="2" t="s">
        <v>32</v>
      </c>
      <c r="G617" s="2">
        <v>22</v>
      </c>
      <c r="H617" s="2">
        <v>317.3</v>
      </c>
      <c r="I617" s="2">
        <v>14884</v>
      </c>
      <c r="J617" s="2" t="s">
        <v>39</v>
      </c>
      <c r="K617" s="2">
        <v>7</v>
      </c>
      <c r="L617" s="2" t="s">
        <v>1507</v>
      </c>
      <c r="Q617" s="4" t="str">
        <f ca="1">IFERROR(__xludf.DUMMYFUNCTION("TRIM(SUBSTITUTE(SUBSTITUTE(D617, index(SPLIT(D617, "" ""), COLUMNS(SPLIT(D617, "" ""))), """"), index(SPLIT(D617, "" ""), COLUMNS(SPLIT(D617, "" ""))-1), """"))"),"Смолінська")</f>
        <v>Смолінська</v>
      </c>
    </row>
    <row r="618" spans="1:17" ht="38">
      <c r="A618" s="2"/>
      <c r="B618" s="2" t="s">
        <v>1409</v>
      </c>
      <c r="C618" s="2" t="s">
        <v>1480</v>
      </c>
      <c r="D618" s="2" t="s">
        <v>1508</v>
      </c>
      <c r="E618" s="2"/>
      <c r="F618" s="2" t="s">
        <v>28</v>
      </c>
      <c r="G618" s="2">
        <v>11</v>
      </c>
      <c r="H618" s="2">
        <v>271.7</v>
      </c>
      <c r="I618" s="2">
        <v>3818</v>
      </c>
      <c r="J618" s="2" t="s">
        <v>39</v>
      </c>
      <c r="K618" s="2">
        <v>3</v>
      </c>
      <c r="L618" s="2" t="s">
        <v>1509</v>
      </c>
      <c r="Q618" s="4" t="str">
        <f ca="1">IFERROR(__xludf.DUMMYFUNCTION("TRIM(SUBSTITUTE(SUBSTITUTE(D618, index(SPLIT(D618, "" ""), COLUMNS(SPLIT(D618, "" ""))), """"), index(SPLIT(D618, "" ""), COLUMNS(SPLIT(D618, "" ""))-1), """"))"),"Тишківська")</f>
        <v>Тишківська</v>
      </c>
    </row>
    <row r="619" spans="1:17" ht="50.5">
      <c r="A619" s="2"/>
      <c r="B619" s="2" t="s">
        <v>1409</v>
      </c>
      <c r="C619" s="2" t="s">
        <v>1510</v>
      </c>
      <c r="D619" s="2" t="s">
        <v>1511</v>
      </c>
      <c r="E619" s="2"/>
      <c r="F619" s="2" t="s">
        <v>28</v>
      </c>
      <c r="G619" s="2">
        <v>25</v>
      </c>
      <c r="H619" s="2">
        <v>964</v>
      </c>
      <c r="I619" s="2">
        <v>7834</v>
      </c>
      <c r="J619" s="2" t="s">
        <v>33</v>
      </c>
      <c r="K619" s="2">
        <v>8</v>
      </c>
      <c r="L619" s="2" t="s">
        <v>1512</v>
      </c>
      <c r="Q619" s="4" t="str">
        <f ca="1">IFERROR(__xludf.DUMMYFUNCTION("TRIM(SUBSTITUTE(SUBSTITUTE(D619, index(SPLIT(D619, "" ""), COLUMNS(SPLIT(D619, "" ""))), """"), index(SPLIT(D619, "" ""), COLUMNS(SPLIT(D619, "" ""))-1), """"))"),"Великоандрусівська")</f>
        <v>Великоандрусівська</v>
      </c>
    </row>
    <row r="620" spans="1:17" ht="38">
      <c r="A620" s="2"/>
      <c r="B620" s="2" t="s">
        <v>1409</v>
      </c>
      <c r="C620" s="2" t="s">
        <v>1510</v>
      </c>
      <c r="D620" s="2" t="s">
        <v>1513</v>
      </c>
      <c r="E620" s="2"/>
      <c r="F620" s="2" t="s">
        <v>32</v>
      </c>
      <c r="G620" s="2">
        <v>12</v>
      </c>
      <c r="H620" s="2">
        <v>380.6</v>
      </c>
      <c r="I620" s="2">
        <v>8832</v>
      </c>
      <c r="J620" s="2" t="s">
        <v>93</v>
      </c>
      <c r="K620" s="2">
        <v>4</v>
      </c>
      <c r="L620" s="2" t="s">
        <v>1514</v>
      </c>
      <c r="Q620" s="4" t="str">
        <f ca="1">IFERROR(__xludf.DUMMYFUNCTION("TRIM(SUBSTITUTE(SUBSTITUTE(D620, index(SPLIT(D620, "" ""), COLUMNS(SPLIT(D620, "" ""))), """"), index(SPLIT(D620, "" ""), COLUMNS(SPLIT(D620, "" ""))-1), """"))"),"Новопразька")</f>
        <v>Новопразька</v>
      </c>
    </row>
    <row r="621" spans="1:17" ht="50.5">
      <c r="A621" s="2"/>
      <c r="B621" s="2" t="s">
        <v>1409</v>
      </c>
      <c r="C621" s="2" t="s">
        <v>1510</v>
      </c>
      <c r="D621" s="2" t="s">
        <v>1515</v>
      </c>
      <c r="E621" s="2"/>
      <c r="F621" s="2" t="s">
        <v>20</v>
      </c>
      <c r="G621" s="2">
        <v>14</v>
      </c>
      <c r="H621" s="2">
        <v>260.3</v>
      </c>
      <c r="I621" s="2">
        <v>86677</v>
      </c>
      <c r="J621" s="2" t="s">
        <v>1516</v>
      </c>
      <c r="K621" s="2">
        <v>4</v>
      </c>
      <c r="L621" s="2" t="s">
        <v>1517</v>
      </c>
      <c r="Q621" s="4" t="str">
        <f ca="1">IFERROR(__xludf.DUMMYFUNCTION("TRIM(SUBSTITUTE(SUBSTITUTE(D621, index(SPLIT(D621, "" ""), COLUMNS(SPLIT(D621, "" ""))), """"), index(SPLIT(D621, "" ""), COLUMNS(SPLIT(D621, "" ""))-1), """"))"),"Олександрійська")</f>
        <v>Олександрійська</v>
      </c>
    </row>
    <row r="622" spans="1:17" ht="63">
      <c r="A622" s="2"/>
      <c r="B622" s="2" t="s">
        <v>1409</v>
      </c>
      <c r="C622" s="2" t="s">
        <v>1510</v>
      </c>
      <c r="D622" s="2" t="s">
        <v>1518</v>
      </c>
      <c r="E622" s="2"/>
      <c r="F622" s="2" t="s">
        <v>32</v>
      </c>
      <c r="G622" s="2">
        <v>28</v>
      </c>
      <c r="H622" s="2">
        <v>889.4</v>
      </c>
      <c r="I622" s="2">
        <v>16945</v>
      </c>
      <c r="J622" s="2" t="s">
        <v>1519</v>
      </c>
      <c r="K622" s="2">
        <v>13</v>
      </c>
      <c r="L622" s="2" t="s">
        <v>1520</v>
      </c>
      <c r="Q622" s="4" t="str">
        <f ca="1">IFERROR(__xludf.DUMMYFUNCTION("TRIM(SUBSTITUTE(SUBSTITUTE(D622, index(SPLIT(D622, "" ""), COLUMNS(SPLIT(D622, "" ""))), """"), index(SPLIT(D622, "" ""), COLUMNS(SPLIT(D622, "" ""))-1), """"))"),"Онуфріївська")</f>
        <v>Онуфріївська</v>
      </c>
    </row>
    <row r="623" spans="1:17" ht="38">
      <c r="A623" s="2"/>
      <c r="B623" s="2" t="s">
        <v>1409</v>
      </c>
      <c r="C623" s="2" t="s">
        <v>1510</v>
      </c>
      <c r="D623" s="2" t="s">
        <v>1521</v>
      </c>
      <c r="E623" s="2"/>
      <c r="F623" s="2" t="s">
        <v>32</v>
      </c>
      <c r="G623" s="2">
        <v>6</v>
      </c>
      <c r="H623" s="2">
        <v>173</v>
      </c>
      <c r="I623" s="2">
        <v>5149</v>
      </c>
      <c r="J623" s="2" t="s">
        <v>1522</v>
      </c>
      <c r="K623" s="2">
        <v>3</v>
      </c>
      <c r="L623" s="2" t="s">
        <v>1523</v>
      </c>
      <c r="Q623" s="4" t="str">
        <f ca="1">IFERROR(__xludf.DUMMYFUNCTION("TRIM(SUBSTITUTE(SUBSTITUTE(D623, index(SPLIT(D623, "" ""), COLUMNS(SPLIT(D623, "" ""))), """"), index(SPLIT(D623, "" ""), COLUMNS(SPLIT(D623, "" ""))-1), """"))"),"Пантаївська")</f>
        <v>Пантаївська</v>
      </c>
    </row>
    <row r="624" spans="1:17" ht="75.5">
      <c r="A624" s="2"/>
      <c r="B624" s="2" t="s">
        <v>1409</v>
      </c>
      <c r="C624" s="2" t="s">
        <v>1510</v>
      </c>
      <c r="D624" s="2" t="s">
        <v>1351</v>
      </c>
      <c r="E624" s="2"/>
      <c r="F624" s="2" t="s">
        <v>32</v>
      </c>
      <c r="G624" s="2">
        <v>38</v>
      </c>
      <c r="H624" s="2">
        <v>1196</v>
      </c>
      <c r="I624" s="2">
        <v>22562</v>
      </c>
      <c r="J624" s="2" t="s">
        <v>46</v>
      </c>
      <c r="K624" s="2">
        <v>15</v>
      </c>
      <c r="L624" s="2" t="s">
        <v>1524</v>
      </c>
      <c r="Q624" s="4" t="str">
        <f ca="1">IFERROR(__xludf.DUMMYFUNCTION("TRIM(SUBSTITUTE(SUBSTITUTE(D624, index(SPLIT(D624, "" ""), COLUMNS(SPLIT(D624, "" ""))), """"), index(SPLIT(D624, "" ""), COLUMNS(SPLIT(D624, "" ""))-1), """"))"),"Петрівська")</f>
        <v>Петрівська</v>
      </c>
    </row>
    <row r="625" spans="1:17" ht="50.5">
      <c r="A625" s="2"/>
      <c r="B625" s="2" t="s">
        <v>1409</v>
      </c>
      <c r="C625" s="2" t="s">
        <v>1510</v>
      </c>
      <c r="D625" s="2" t="s">
        <v>1525</v>
      </c>
      <c r="E625" s="2"/>
      <c r="F625" s="2" t="s">
        <v>28</v>
      </c>
      <c r="G625" s="2">
        <v>30</v>
      </c>
      <c r="H625" s="2">
        <v>742.1</v>
      </c>
      <c r="I625" s="2">
        <v>8408</v>
      </c>
      <c r="J625" s="2" t="s">
        <v>249</v>
      </c>
      <c r="K625" s="2">
        <v>11</v>
      </c>
      <c r="L625" s="2" t="s">
        <v>1526</v>
      </c>
      <c r="Q625" s="4" t="str">
        <f ca="1">IFERROR(__xludf.DUMMYFUNCTION("TRIM(SUBSTITUTE(SUBSTITUTE(D625, index(SPLIT(D625, "" ""), COLUMNS(SPLIT(D625, "" ""))), """"), index(SPLIT(D625, "" ""), COLUMNS(SPLIT(D625, "" ""))-1), """"))"),"Попельнастівська")</f>
        <v>Попельнастівська</v>
      </c>
    </row>
    <row r="626" spans="1:17" ht="38">
      <c r="A626" s="2"/>
      <c r="B626" s="2" t="s">
        <v>1409</v>
      </c>
      <c r="C626" s="2" t="s">
        <v>1510</v>
      </c>
      <c r="D626" s="2" t="s">
        <v>1527</v>
      </c>
      <c r="E626" s="2"/>
      <c r="F626" s="2" t="s">
        <v>32</v>
      </c>
      <c r="G626" s="2">
        <v>25</v>
      </c>
      <c r="H626" s="2">
        <v>519.9</v>
      </c>
      <c r="I626" s="2">
        <v>12459</v>
      </c>
      <c r="J626" s="2" t="s">
        <v>93</v>
      </c>
      <c r="K626" s="2">
        <v>9</v>
      </c>
      <c r="L626" s="2" t="s">
        <v>1528</v>
      </c>
      <c r="Q626" s="4" t="str">
        <f ca="1">IFERROR(__xludf.DUMMYFUNCTION("TRIM(SUBSTITUTE(SUBSTITUTE(D626, index(SPLIT(D626, "" ""), COLUMNS(SPLIT(D626, "" ""))), """"), index(SPLIT(D626, "" ""), COLUMNS(SPLIT(D626, "" ""))-1), """"))"),"Приютівська")</f>
        <v>Приютівська</v>
      </c>
    </row>
    <row r="627" spans="1:17" ht="50.5">
      <c r="A627" s="2"/>
      <c r="B627" s="2" t="s">
        <v>1409</v>
      </c>
      <c r="C627" s="2" t="s">
        <v>1510</v>
      </c>
      <c r="D627" s="2" t="s">
        <v>1529</v>
      </c>
      <c r="E627" s="2"/>
      <c r="F627" s="2" t="s">
        <v>20</v>
      </c>
      <c r="G627" s="2">
        <v>10</v>
      </c>
      <c r="H627" s="2">
        <v>292.60000000000002</v>
      </c>
      <c r="I627" s="2">
        <v>54570</v>
      </c>
      <c r="J627" s="2" t="s">
        <v>1530</v>
      </c>
      <c r="K627" s="2">
        <v>6</v>
      </c>
      <c r="L627" s="2" t="s">
        <v>1531</v>
      </c>
      <c r="Q627" s="4" t="str">
        <f ca="1">IFERROR(__xludf.DUMMYFUNCTION("TRIM(SUBSTITUTE(SUBSTITUTE(D627, index(SPLIT(D627, "" ""), COLUMNS(SPLIT(D627, "" ""))), """"), index(SPLIT(D627, "" ""), COLUMNS(SPLIT(D627, "" ""))-1), """"))"),"Світловодська")</f>
        <v>Світловодська</v>
      </c>
    </row>
    <row r="628" spans="1:17" ht="50.5">
      <c r="A628" s="2"/>
      <c r="B628" s="2" t="s">
        <v>1532</v>
      </c>
      <c r="C628" s="2" t="s">
        <v>1533</v>
      </c>
      <c r="D628" s="2" t="s">
        <v>1534</v>
      </c>
      <c r="E628" s="2"/>
      <c r="F628" s="2" t="s">
        <v>32</v>
      </c>
      <c r="G628" s="2">
        <v>38</v>
      </c>
      <c r="H628" s="2">
        <v>1124.3</v>
      </c>
      <c r="I628" s="2">
        <v>15005</v>
      </c>
      <c r="J628" s="2" t="s">
        <v>143</v>
      </c>
      <c r="K628" s="2">
        <v>11</v>
      </c>
      <c r="L628" s="2" t="s">
        <v>1535</v>
      </c>
      <c r="Q628" s="4" t="str">
        <f ca="1">IFERROR(__xludf.DUMMYFUNCTION("TRIM(SUBSTITUTE(SUBSTITUTE(D628, index(SPLIT(D628, "" ""), COLUMNS(SPLIT(D628, "" ""))), """"), index(SPLIT(D628, "" ""), COLUMNS(SPLIT(D628, "" ""))-1), """"))"),"Білокуракинська")</f>
        <v>Білокуракинська</v>
      </c>
    </row>
    <row r="629" spans="1:17" ht="50.5">
      <c r="A629" s="2"/>
      <c r="B629" s="2" t="s">
        <v>1532</v>
      </c>
      <c r="C629" s="2" t="s">
        <v>1533</v>
      </c>
      <c r="D629" s="2" t="s">
        <v>1536</v>
      </c>
      <c r="E629" s="2"/>
      <c r="F629" s="2" t="s">
        <v>28</v>
      </c>
      <c r="G629" s="2">
        <v>21</v>
      </c>
      <c r="H629" s="2">
        <v>390.6</v>
      </c>
      <c r="I629" s="2">
        <v>3211</v>
      </c>
      <c r="J629" s="2" t="s">
        <v>46</v>
      </c>
      <c r="K629" s="2">
        <v>5</v>
      </c>
      <c r="L629" s="2" t="s">
        <v>1537</v>
      </c>
      <c r="Q629" s="4" t="str">
        <f ca="1">IFERROR(__xludf.DUMMYFUNCTION("TRIM(SUBSTITUTE(SUBSTITUTE(D629, index(SPLIT(D629, "" ""), COLUMNS(SPLIT(D629, "" ""))), """"), index(SPLIT(D629, "" ""), COLUMNS(SPLIT(D629, "" ""))-1), """"))"),"Коломийчиська")</f>
        <v>Коломийчиська</v>
      </c>
    </row>
    <row r="630" spans="1:17" ht="50.5">
      <c r="A630" s="2"/>
      <c r="B630" s="2" t="s">
        <v>1532</v>
      </c>
      <c r="C630" s="2" t="s">
        <v>1533</v>
      </c>
      <c r="D630" s="2" t="s">
        <v>1538</v>
      </c>
      <c r="E630" s="2"/>
      <c r="F630" s="2" t="s">
        <v>32</v>
      </c>
      <c r="G630" s="2">
        <v>10</v>
      </c>
      <c r="H630" s="2">
        <v>443</v>
      </c>
      <c r="I630" s="2">
        <v>7977</v>
      </c>
      <c r="J630" s="2" t="s">
        <v>39</v>
      </c>
      <c r="K630" s="2">
        <v>6</v>
      </c>
      <c r="L630" s="2" t="s">
        <v>1539</v>
      </c>
      <c r="Q630" s="4" t="str">
        <f ca="1">IFERROR(__xludf.DUMMYFUNCTION("TRIM(SUBSTITUTE(SUBSTITUTE(D630, index(SPLIT(D630, "" ""), COLUMNS(SPLIT(D630, "" ""))), """"), index(SPLIT(D630, "" ""), COLUMNS(SPLIT(D630, "" ""))-1), """"))"),"Красноріченська")</f>
        <v>Красноріченська</v>
      </c>
    </row>
    <row r="631" spans="1:17" ht="63">
      <c r="A631" s="2"/>
      <c r="B631" s="2" t="s">
        <v>1532</v>
      </c>
      <c r="C631" s="2" t="s">
        <v>1533</v>
      </c>
      <c r="D631" s="2" t="s">
        <v>1540</v>
      </c>
      <c r="E631" s="2"/>
      <c r="F631" s="2" t="s">
        <v>32</v>
      </c>
      <c r="G631" s="2">
        <v>25</v>
      </c>
      <c r="H631" s="2">
        <v>533.9</v>
      </c>
      <c r="I631" s="2">
        <v>4405</v>
      </c>
      <c r="J631" s="2" t="s">
        <v>93</v>
      </c>
      <c r="K631" s="2">
        <v>6</v>
      </c>
      <c r="L631" s="2" t="s">
        <v>1541</v>
      </c>
      <c r="Q631" s="4" t="str">
        <f ca="1">IFERROR(__xludf.DUMMYFUNCTION("TRIM(SUBSTITUTE(SUBSTITUTE(D631, index(SPLIT(D631, "" ""), COLUMNS(SPLIT(D631, "" ""))), """"), index(SPLIT(D631, "" ""), COLUMNS(SPLIT(D631, "" ""))-1), """"))"),"Лозно-Олександрівська")</f>
        <v>Лозно-Олександрівська</v>
      </c>
    </row>
    <row r="632" spans="1:17" ht="50.5">
      <c r="A632" s="2"/>
      <c r="B632" s="2" t="s">
        <v>1532</v>
      </c>
      <c r="C632" s="2" t="s">
        <v>1533</v>
      </c>
      <c r="D632" s="2" t="s">
        <v>1542</v>
      </c>
      <c r="E632" s="2"/>
      <c r="F632" s="2" t="s">
        <v>32</v>
      </c>
      <c r="G632" s="2">
        <v>17</v>
      </c>
      <c r="H632" s="2">
        <v>561.4</v>
      </c>
      <c r="I632" s="2">
        <v>5307</v>
      </c>
      <c r="J632" s="2" t="s">
        <v>1543</v>
      </c>
      <c r="K632" s="2">
        <v>6</v>
      </c>
      <c r="L632" s="2" t="s">
        <v>1544</v>
      </c>
      <c r="Q632" s="4" t="str">
        <f ca="1">IFERROR(__xludf.DUMMYFUNCTION("TRIM(SUBSTITUTE(SUBSTITUTE(D632, index(SPLIT(D632, "" ""), COLUMNS(SPLIT(D632, "" ""))), """"), index(SPLIT(D632, "" ""), COLUMNS(SPLIT(D632, "" ""))-1), """"))"),"Нижньодуванська")</f>
        <v>Нижньодуванська</v>
      </c>
    </row>
    <row r="633" spans="1:17" ht="50.5">
      <c r="A633" s="2"/>
      <c r="B633" s="2" t="s">
        <v>1532</v>
      </c>
      <c r="C633" s="2" t="s">
        <v>1533</v>
      </c>
      <c r="D633" s="2" t="s">
        <v>1545</v>
      </c>
      <c r="E633" s="2"/>
      <c r="F633" s="2" t="s">
        <v>20</v>
      </c>
      <c r="G633" s="2">
        <v>24</v>
      </c>
      <c r="H633" s="2">
        <v>1038.7</v>
      </c>
      <c r="I633" s="2">
        <v>26425</v>
      </c>
      <c r="J633" s="2" t="s">
        <v>1546</v>
      </c>
      <c r="K633" s="2">
        <v>11</v>
      </c>
      <c r="L633" s="2" t="s">
        <v>1547</v>
      </c>
      <c r="Q633" s="4" t="str">
        <f ca="1">IFERROR(__xludf.DUMMYFUNCTION("TRIM(SUBSTITUTE(SUBSTITUTE(D633, index(SPLIT(D633, "" ""), COLUMNS(SPLIT(D633, "" ""))), """"), index(SPLIT(D633, "" ""), COLUMNS(SPLIT(D633, "" ""))-1), """"))"),"Сватівська")</f>
        <v>Сватівська</v>
      </c>
    </row>
    <row r="634" spans="1:17" ht="63">
      <c r="A634" s="2"/>
      <c r="B634" s="2" t="s">
        <v>1532</v>
      </c>
      <c r="C634" s="2" t="s">
        <v>1533</v>
      </c>
      <c r="D634" s="2" t="s">
        <v>425</v>
      </c>
      <c r="E634" s="2"/>
      <c r="F634" s="2" t="s">
        <v>32</v>
      </c>
      <c r="G634" s="2">
        <v>46</v>
      </c>
      <c r="H634" s="2">
        <v>1222.2</v>
      </c>
      <c r="I634" s="2">
        <v>15948</v>
      </c>
      <c r="J634" s="2" t="s">
        <v>63</v>
      </c>
      <c r="K634" s="2">
        <v>14</v>
      </c>
      <c r="L634" s="2" t="s">
        <v>1548</v>
      </c>
      <c r="Q634" s="4" t="str">
        <f ca="1">IFERROR(__xludf.DUMMYFUNCTION("TRIM(SUBSTITUTE(SUBSTITUTE(D634, index(SPLIT(D634, "" ""), COLUMNS(SPLIT(D634, "" ""))), """"), index(SPLIT(D634, "" ""), COLUMNS(SPLIT(D634, "" ""))-1), """"))"),"Троїцька")</f>
        <v>Троїцька</v>
      </c>
    </row>
    <row r="635" spans="1:17" ht="63">
      <c r="A635" s="2"/>
      <c r="B635" s="2" t="s">
        <v>1532</v>
      </c>
      <c r="C635" s="2" t="s">
        <v>1549</v>
      </c>
      <c r="D635" s="2" t="s">
        <v>1550</v>
      </c>
      <c r="E635" s="2"/>
      <c r="F635" s="2" t="s">
        <v>32</v>
      </c>
      <c r="G635" s="2">
        <v>33</v>
      </c>
      <c r="H635" s="2">
        <v>1596</v>
      </c>
      <c r="I635" s="2">
        <v>22610</v>
      </c>
      <c r="J635" s="2" t="s">
        <v>39</v>
      </c>
      <c r="K635" s="2">
        <v>14</v>
      </c>
      <c r="L635" s="2" t="s">
        <v>1551</v>
      </c>
      <c r="Q635" s="4" t="str">
        <f ca="1">IFERROR(__xludf.DUMMYFUNCTION("TRIM(SUBSTITUTE(SUBSTITUTE(D635, index(SPLIT(D635, "" ""), COLUMNS(SPLIT(D635, "" ""))), """"), index(SPLIT(D635, "" ""), COLUMNS(SPLIT(D635, "" ""))-1), """"))"),"Біловодська")</f>
        <v>Біловодська</v>
      </c>
    </row>
    <row r="636" spans="1:17" ht="38">
      <c r="A636" s="2"/>
      <c r="B636" s="2" t="s">
        <v>1532</v>
      </c>
      <c r="C636" s="2" t="s">
        <v>1549</v>
      </c>
      <c r="D636" s="2" t="s">
        <v>1552</v>
      </c>
      <c r="E636" s="2"/>
      <c r="F636" s="2" t="s">
        <v>32</v>
      </c>
      <c r="G636" s="2">
        <v>18</v>
      </c>
      <c r="H636" s="2">
        <v>641.20000000000005</v>
      </c>
      <c r="I636" s="2">
        <v>9662</v>
      </c>
      <c r="J636" s="2" t="s">
        <v>1553</v>
      </c>
      <c r="K636" s="2">
        <v>6</v>
      </c>
      <c r="L636" s="2" t="s">
        <v>1554</v>
      </c>
      <c r="Q636" s="4" t="str">
        <f ca="1">IFERROR(__xludf.DUMMYFUNCTION("TRIM(SUBSTITUTE(SUBSTITUTE(D636, index(SPLIT(D636, "" ""), COLUMNS(SPLIT(D636, "" ""))), """"), index(SPLIT(D636, "" ""), COLUMNS(SPLIT(D636, "" ""))-1), """"))"),"Білолуцька")</f>
        <v>Білолуцька</v>
      </c>
    </row>
    <row r="637" spans="1:17" ht="38">
      <c r="A637" s="2"/>
      <c r="B637" s="2" t="s">
        <v>1532</v>
      </c>
      <c r="C637" s="2" t="s">
        <v>1549</v>
      </c>
      <c r="D637" s="2" t="s">
        <v>1555</v>
      </c>
      <c r="E637" s="2"/>
      <c r="F637" s="2" t="s">
        <v>32</v>
      </c>
      <c r="G637" s="2">
        <v>34</v>
      </c>
      <c r="H637" s="2">
        <v>1166.8</v>
      </c>
      <c r="I637" s="2">
        <v>14020</v>
      </c>
      <c r="J637" s="2" t="s">
        <v>46</v>
      </c>
      <c r="K637" s="2">
        <v>9</v>
      </c>
      <c r="L637" s="2" t="s">
        <v>1556</v>
      </c>
      <c r="Q637" s="4" t="str">
        <f ca="1">IFERROR(__xludf.DUMMYFUNCTION("TRIM(SUBSTITUTE(SUBSTITUTE(D637, index(SPLIT(D637, "" ""), COLUMNS(SPLIT(D637, "" ""))), """"), index(SPLIT(D637, "" ""), COLUMNS(SPLIT(D637, "" ""))-1), """"))"),"Марківська")</f>
        <v>Марківська</v>
      </c>
    </row>
    <row r="638" spans="1:17" ht="38">
      <c r="A638" s="2"/>
      <c r="B638" s="2" t="s">
        <v>1532</v>
      </c>
      <c r="C638" s="2" t="s">
        <v>1549</v>
      </c>
      <c r="D638" s="2" t="s">
        <v>1557</v>
      </c>
      <c r="E638" s="2"/>
      <c r="F638" s="2" t="s">
        <v>32</v>
      </c>
      <c r="G638" s="2">
        <v>29</v>
      </c>
      <c r="H638" s="2">
        <v>970.8</v>
      </c>
      <c r="I638" s="2">
        <v>14755</v>
      </c>
      <c r="J638" s="2" t="s">
        <v>1558</v>
      </c>
      <c r="K638" s="2">
        <v>8</v>
      </c>
      <c r="L638" s="2" t="s">
        <v>1559</v>
      </c>
      <c r="Q638" s="4" t="str">
        <f ca="1">IFERROR(__xludf.DUMMYFUNCTION("TRIM(SUBSTITUTE(SUBSTITUTE(D638, index(SPLIT(D638, "" ""), COLUMNS(SPLIT(D638, "" ""))), """"), index(SPLIT(D638, "" ""), COLUMNS(SPLIT(D638, "" ""))-1), """"))"),"Міловська")</f>
        <v>Міловська</v>
      </c>
    </row>
    <row r="639" spans="1:17" ht="50.5">
      <c r="A639" s="2"/>
      <c r="B639" s="2" t="s">
        <v>1532</v>
      </c>
      <c r="C639" s="2" t="s">
        <v>1549</v>
      </c>
      <c r="D639" s="2" t="s">
        <v>1560</v>
      </c>
      <c r="E639" s="2"/>
      <c r="F639" s="2" t="s">
        <v>32</v>
      </c>
      <c r="G639" s="2">
        <v>21</v>
      </c>
      <c r="H639" s="2">
        <v>982.3</v>
      </c>
      <c r="I639" s="2">
        <v>23142</v>
      </c>
      <c r="J639" s="2" t="s">
        <v>143</v>
      </c>
      <c r="K639" s="2">
        <v>11</v>
      </c>
      <c r="L639" s="2" t="s">
        <v>1561</v>
      </c>
      <c r="Q639" s="4" t="str">
        <f ca="1">IFERROR(__xludf.DUMMYFUNCTION("TRIM(SUBSTITUTE(SUBSTITUTE(D639, index(SPLIT(D639, "" ""), COLUMNS(SPLIT(D639, "" ""))), """"), index(SPLIT(D639, "" ""), COLUMNS(SPLIT(D639, "" ""))-1), """"))"),"Новопсковська")</f>
        <v>Новопсковська</v>
      </c>
    </row>
    <row r="640" spans="1:17" ht="50.5">
      <c r="A640" s="2"/>
      <c r="B640" s="2" t="s">
        <v>1532</v>
      </c>
      <c r="C640" s="2" t="s">
        <v>1549</v>
      </c>
      <c r="D640" s="2" t="s">
        <v>1562</v>
      </c>
      <c r="E640" s="2"/>
      <c r="F640" s="2" t="s">
        <v>20</v>
      </c>
      <c r="G640" s="2">
        <v>25</v>
      </c>
      <c r="H640" s="2">
        <v>731.6</v>
      </c>
      <c r="I640" s="2">
        <v>28458</v>
      </c>
      <c r="J640" s="2" t="s">
        <v>1563</v>
      </c>
      <c r="K640" s="2">
        <v>11</v>
      </c>
      <c r="L640" s="2" t="s">
        <v>1564</v>
      </c>
      <c r="Q640" s="4" t="str">
        <f ca="1">IFERROR(__xludf.DUMMYFUNCTION("TRIM(SUBSTITUTE(SUBSTITUTE(D640, index(SPLIT(D640, "" ""), COLUMNS(SPLIT(D640, "" ""))), """"), index(SPLIT(D640, "" ""), COLUMNS(SPLIT(D640, "" ""))-1), """"))"),"Старобільська")</f>
        <v>Старобільська</v>
      </c>
    </row>
    <row r="641" spans="1:17" ht="38">
      <c r="A641" s="2"/>
      <c r="B641" s="2" t="s">
        <v>1532</v>
      </c>
      <c r="C641" s="2" t="s">
        <v>1549</v>
      </c>
      <c r="D641" s="2" t="s">
        <v>1565</v>
      </c>
      <c r="E641" s="2"/>
      <c r="F641" s="2" t="s">
        <v>28</v>
      </c>
      <c r="G641" s="2">
        <v>22</v>
      </c>
      <c r="H641" s="2">
        <v>512.6</v>
      </c>
      <c r="I641" s="2">
        <v>9077</v>
      </c>
      <c r="J641" s="2" t="s">
        <v>33</v>
      </c>
      <c r="K641" s="2">
        <v>7</v>
      </c>
      <c r="L641" s="2" t="s">
        <v>1566</v>
      </c>
      <c r="Q641" s="4" t="str">
        <f ca="1">IFERROR(__xludf.DUMMYFUNCTION("TRIM(SUBSTITUTE(SUBSTITUTE(D641, index(SPLIT(D641, "" ""), COLUMNS(SPLIT(D641, "" ""))), """"), index(SPLIT(D641, "" ""), COLUMNS(SPLIT(D641, "" ""))-1), """"))"),"Чмирівська")</f>
        <v>Чмирівська</v>
      </c>
    </row>
    <row r="642" spans="1:17" ht="38">
      <c r="A642" s="2"/>
      <c r="B642" s="2" t="s">
        <v>1532</v>
      </c>
      <c r="C642" s="2" t="s">
        <v>1549</v>
      </c>
      <c r="D642" s="2" t="s">
        <v>1567</v>
      </c>
      <c r="E642" s="2"/>
      <c r="F642" s="2" t="s">
        <v>28</v>
      </c>
      <c r="G642" s="2">
        <v>12</v>
      </c>
      <c r="H642" s="2">
        <v>337.6</v>
      </c>
      <c r="I642" s="2">
        <v>4286</v>
      </c>
      <c r="J642" s="2" t="s">
        <v>46</v>
      </c>
      <c r="K642" s="2">
        <v>4</v>
      </c>
      <c r="L642" s="2" t="s">
        <v>1568</v>
      </c>
      <c r="Q642" s="4" t="str">
        <f ca="1">IFERROR(__xludf.DUMMYFUNCTION("TRIM(SUBSTITUTE(SUBSTITUTE(D642, index(SPLIT(D642, "" ""), COLUMNS(SPLIT(D642, "" ""))), """"), index(SPLIT(D642, "" ""), COLUMNS(SPLIT(D642, "" ""))-1), """"))"),"Шульгинська")</f>
        <v>Шульгинська</v>
      </c>
    </row>
    <row r="643" spans="1:17" ht="38">
      <c r="A643" s="2"/>
      <c r="B643" s="2" t="s">
        <v>1532</v>
      </c>
      <c r="C643" s="2" t="s">
        <v>1569</v>
      </c>
      <c r="D643" s="2" t="s">
        <v>1228</v>
      </c>
      <c r="E643" s="2"/>
      <c r="F643" s="2" t="s">
        <v>20</v>
      </c>
      <c r="G643" s="2">
        <v>11</v>
      </c>
      <c r="H643" s="2">
        <v>169.8</v>
      </c>
      <c r="I643" s="2">
        <v>33125</v>
      </c>
      <c r="J643" s="2" t="s">
        <v>29</v>
      </c>
      <c r="K643" s="2">
        <v>8</v>
      </c>
      <c r="L643" s="2" t="s">
        <v>1570</v>
      </c>
      <c r="Q643" s="4" t="str">
        <f ca="1">IFERROR(__xludf.DUMMYFUNCTION("TRIM(SUBSTITUTE(SUBSTITUTE(D643, index(SPLIT(D643, "" ""), COLUMNS(SPLIT(D643, "" ""))), """"), index(SPLIT(D643, "" ""), COLUMNS(SPLIT(D643, "" ""))-1), """"))"),"Гірська")</f>
        <v>Гірська</v>
      </c>
    </row>
    <row r="644" spans="1:17" ht="38">
      <c r="A644" s="2"/>
      <c r="B644" s="2" t="s">
        <v>1532</v>
      </c>
      <c r="C644" s="2" t="s">
        <v>1569</v>
      </c>
      <c r="D644" s="2" t="s">
        <v>1571</v>
      </c>
      <c r="E644" s="2"/>
      <c r="F644" s="2" t="s">
        <v>20</v>
      </c>
      <c r="G644" s="2">
        <v>11</v>
      </c>
      <c r="H644" s="2">
        <v>532.9</v>
      </c>
      <c r="I644" s="2">
        <v>21968</v>
      </c>
      <c r="J644" s="2" t="s">
        <v>1572</v>
      </c>
      <c r="K644" s="2">
        <v>3</v>
      </c>
      <c r="L644" s="2" t="s">
        <v>1573</v>
      </c>
      <c r="Q644" s="4" t="str">
        <f ca="1">IFERROR(__xludf.DUMMYFUNCTION("TRIM(SUBSTITUTE(SUBSTITUTE(D644, index(SPLIT(D644, "" ""), COLUMNS(SPLIT(D644, "" ""))), """"), index(SPLIT(D644, "" ""), COLUMNS(SPLIT(D644, "" ""))-1), """"))"),"Кремінська")</f>
        <v>Кремінська</v>
      </c>
    </row>
    <row r="645" spans="1:17" ht="38">
      <c r="A645" s="2"/>
      <c r="B645" s="2" t="s">
        <v>1532</v>
      </c>
      <c r="C645" s="2" t="s">
        <v>1569</v>
      </c>
      <c r="D645" s="2" t="s">
        <v>1574</v>
      </c>
      <c r="E645" s="2"/>
      <c r="F645" s="2" t="s">
        <v>20</v>
      </c>
      <c r="G645" s="2">
        <v>17</v>
      </c>
      <c r="H645" s="2">
        <v>407.6</v>
      </c>
      <c r="I645" s="2">
        <v>113782</v>
      </c>
      <c r="J645" s="2" t="s">
        <v>1575</v>
      </c>
      <c r="K645" s="2">
        <v>7</v>
      </c>
      <c r="L645" s="2" t="s">
        <v>1576</v>
      </c>
      <c r="Q645" s="4" t="str">
        <f ca="1">IFERROR(__xludf.DUMMYFUNCTION("TRIM(SUBSTITUTE(SUBSTITUTE(D645, index(SPLIT(D645, "" ""), COLUMNS(SPLIT(D645, "" ""))), """"), index(SPLIT(D645, "" ""), COLUMNS(SPLIT(D645, "" ""))-1), """"))"),"Лисичанська")</f>
        <v>Лисичанська</v>
      </c>
    </row>
    <row r="646" spans="1:17" ht="50.5">
      <c r="A646" s="2"/>
      <c r="B646" s="2" t="s">
        <v>1532</v>
      </c>
      <c r="C646" s="2" t="s">
        <v>1569</v>
      </c>
      <c r="D646" s="2" t="s">
        <v>1577</v>
      </c>
      <c r="E646" s="2"/>
      <c r="F646" s="2" t="s">
        <v>20</v>
      </c>
      <c r="G646" s="2">
        <v>13</v>
      </c>
      <c r="H646" s="2">
        <v>468.6</v>
      </c>
      <c r="I646" s="2">
        <v>25180</v>
      </c>
      <c r="J646" s="2" t="s">
        <v>1578</v>
      </c>
      <c r="K646" s="2">
        <v>4</v>
      </c>
      <c r="L646" s="2" t="s">
        <v>1579</v>
      </c>
      <c r="Q646" s="4" t="str">
        <f ca="1">IFERROR(__xludf.DUMMYFUNCTION("TRIM(SUBSTITUTE(SUBSTITUTE(D646, index(SPLIT(D646, "" ""), COLUMNS(SPLIT(D646, "" ""))), """"), index(SPLIT(D646, "" ""), COLUMNS(SPLIT(D646, "" ""))-1), """"))"),"Попаснянська")</f>
        <v>Попаснянська</v>
      </c>
    </row>
    <row r="647" spans="1:17" ht="38">
      <c r="A647" s="2"/>
      <c r="B647" s="2" t="s">
        <v>1532</v>
      </c>
      <c r="C647" s="2" t="s">
        <v>1569</v>
      </c>
      <c r="D647" s="2" t="s">
        <v>1580</v>
      </c>
      <c r="E647" s="2"/>
      <c r="F647" s="2" t="s">
        <v>20</v>
      </c>
      <c r="G647" s="2">
        <v>14</v>
      </c>
      <c r="H647" s="2">
        <v>401.5</v>
      </c>
      <c r="I647" s="2">
        <v>59725</v>
      </c>
      <c r="J647" s="2" t="s">
        <v>1581</v>
      </c>
      <c r="K647" s="2">
        <v>6</v>
      </c>
      <c r="L647" s="2" t="s">
        <v>1582</v>
      </c>
      <c r="Q647" s="4" t="str">
        <f ca="1">IFERROR(__xludf.DUMMYFUNCTION("TRIM(SUBSTITUTE(SUBSTITUTE(D647, index(SPLIT(D647, "" ""), COLUMNS(SPLIT(D647, "" ""))), """"), index(SPLIT(D647, "" ""), COLUMNS(SPLIT(D647, "" ""))-1), """"))"),"Рубіжанська")</f>
        <v>Рубіжанська</v>
      </c>
    </row>
    <row r="648" spans="1:17" ht="50.5">
      <c r="A648" s="2"/>
      <c r="B648" s="2" t="s">
        <v>1532</v>
      </c>
      <c r="C648" s="2" t="s">
        <v>1569</v>
      </c>
      <c r="D648" s="2" t="s">
        <v>1583</v>
      </c>
      <c r="E648" s="2"/>
      <c r="F648" s="2" t="s">
        <v>20</v>
      </c>
      <c r="G648" s="2">
        <v>20</v>
      </c>
      <c r="H648" s="2">
        <v>712.8</v>
      </c>
      <c r="I648" s="2">
        <v>115641</v>
      </c>
      <c r="J648" s="2" t="s">
        <v>1584</v>
      </c>
      <c r="K648" s="2">
        <v>8</v>
      </c>
      <c r="L648" s="2" t="s">
        <v>1585</v>
      </c>
      <c r="Q648" s="4" t="str">
        <f ca="1">IFERROR(__xludf.DUMMYFUNCTION("TRIM(SUBSTITUTE(SUBSTITUTE(D648, index(SPLIT(D648, "" ""), COLUMNS(SPLIT(D648, "" ""))), """"), index(SPLIT(D648, "" ""), COLUMNS(SPLIT(D648, "" ""))-1), """"))"),"Сєвєродонецька")</f>
        <v>Сєвєродонецька</v>
      </c>
    </row>
    <row r="649" spans="1:17" ht="50.5">
      <c r="A649" s="2"/>
      <c r="B649" s="2" t="s">
        <v>1532</v>
      </c>
      <c r="C649" s="2" t="s">
        <v>1586</v>
      </c>
      <c r="D649" s="2" t="s">
        <v>1587</v>
      </c>
      <c r="E649" s="2"/>
      <c r="F649" s="2" t="s">
        <v>28</v>
      </c>
      <c r="G649" s="2">
        <v>12</v>
      </c>
      <c r="H649" s="2">
        <v>492.4</v>
      </c>
      <c r="I649" s="2">
        <v>7149</v>
      </c>
      <c r="J649" s="2" t="s">
        <v>29</v>
      </c>
      <c r="K649" s="2">
        <v>5</v>
      </c>
      <c r="L649" s="2" t="s">
        <v>1588</v>
      </c>
      <c r="Q649" s="4" t="str">
        <f ca="1">IFERROR(__xludf.DUMMYFUNCTION("TRIM(SUBSTITUTE(SUBSTITUTE(D649, index(SPLIT(D649, "" ""), COLUMNS(SPLIT(D649, "" ""))), """"), index(SPLIT(D649, "" ""), COLUMNS(SPLIT(D649, "" ""))-1), """"))"),"Нижньотеплівська")</f>
        <v>Нижньотеплівська</v>
      </c>
    </row>
    <row r="650" spans="1:17" ht="63">
      <c r="A650" s="2"/>
      <c r="B650" s="2" t="s">
        <v>1532</v>
      </c>
      <c r="C650" s="2" t="s">
        <v>1586</v>
      </c>
      <c r="D650" s="2" t="s">
        <v>1589</v>
      </c>
      <c r="E650" s="2"/>
      <c r="F650" s="2" t="s">
        <v>32</v>
      </c>
      <c r="G650" s="2">
        <v>32</v>
      </c>
      <c r="H650" s="2">
        <v>1312.1</v>
      </c>
      <c r="I650" s="2">
        <v>21007</v>
      </c>
      <c r="J650" s="2" t="s">
        <v>29</v>
      </c>
      <c r="K650" s="2">
        <v>13</v>
      </c>
      <c r="L650" s="2" t="s">
        <v>1590</v>
      </c>
      <c r="Q650" s="4" t="str">
        <f ca="1">IFERROR(__xludf.DUMMYFUNCTION("TRIM(SUBSTITUTE(SUBSTITUTE(D650, index(SPLIT(D650, "" ""), COLUMNS(SPLIT(D650, "" ""))), """"), index(SPLIT(D650, "" ""), COLUMNS(SPLIT(D650, "" ""))-1), """"))"),"Новоайдарська")</f>
        <v>Новоайдарська</v>
      </c>
    </row>
    <row r="651" spans="1:17" ht="50.5">
      <c r="A651" s="2"/>
      <c r="B651" s="2" t="s">
        <v>1532</v>
      </c>
      <c r="C651" s="2" t="s">
        <v>1586</v>
      </c>
      <c r="D651" s="2" t="s">
        <v>1591</v>
      </c>
      <c r="E651" s="2"/>
      <c r="F651" s="2" t="s">
        <v>32</v>
      </c>
      <c r="G651" s="2">
        <v>14</v>
      </c>
      <c r="H651" s="2">
        <v>514.29999999999995</v>
      </c>
      <c r="I651" s="2">
        <v>23237</v>
      </c>
      <c r="J651" s="2" t="s">
        <v>1592</v>
      </c>
      <c r="K651" s="2">
        <v>4</v>
      </c>
      <c r="L651" s="2" t="s">
        <v>1593</v>
      </c>
      <c r="Q651" s="4" t="str">
        <f ca="1">IFERROR(__xludf.DUMMYFUNCTION("TRIM(SUBSTITUTE(SUBSTITUTE(D651, index(SPLIT(D651, "" ""), COLUMNS(SPLIT(D651, "" ""))), """"), index(SPLIT(D651, "" ""), COLUMNS(SPLIT(D651, "" ""))-1), """"))"),"Станично-Луганська")</f>
        <v>Станично-Луганська</v>
      </c>
    </row>
    <row r="652" spans="1:17" ht="38">
      <c r="A652" s="2"/>
      <c r="B652" s="2" t="s">
        <v>1532</v>
      </c>
      <c r="C652" s="2" t="s">
        <v>1586</v>
      </c>
      <c r="D652" s="2" t="s">
        <v>377</v>
      </c>
      <c r="E652" s="2"/>
      <c r="F652" s="2" t="s">
        <v>28</v>
      </c>
      <c r="G652" s="2">
        <v>14</v>
      </c>
      <c r="H652" s="2">
        <v>580.4</v>
      </c>
      <c r="I652" s="2">
        <v>6652</v>
      </c>
      <c r="J652" s="2" t="s">
        <v>29</v>
      </c>
      <c r="K652" s="2">
        <v>6</v>
      </c>
      <c r="L652" s="2" t="s">
        <v>1594</v>
      </c>
      <c r="Q652" s="4" t="str">
        <f ca="1">IFERROR(__xludf.DUMMYFUNCTION("TRIM(SUBSTITUTE(SUBSTITUTE(D652, index(SPLIT(D652, "" ""), COLUMNS(SPLIT(D652, "" ""))), """"), index(SPLIT(D652, "" ""), COLUMNS(SPLIT(D652, "" ""))-1), """"))"),"Широківська")</f>
        <v>Широківська</v>
      </c>
    </row>
    <row r="653" spans="1:17" ht="38">
      <c r="A653" s="2"/>
      <c r="B653" s="2" t="s">
        <v>1532</v>
      </c>
      <c r="C653" s="2" t="s">
        <v>1586</v>
      </c>
      <c r="D653" s="2" t="s">
        <v>1595</v>
      </c>
      <c r="E653" s="2"/>
      <c r="F653" s="2" t="s">
        <v>20</v>
      </c>
      <c r="G653" s="2">
        <v>11</v>
      </c>
      <c r="H653" s="2">
        <v>409.2</v>
      </c>
      <c r="I653" s="2">
        <v>20922</v>
      </c>
      <c r="J653" s="2" t="s">
        <v>29</v>
      </c>
      <c r="K653" s="2">
        <v>4</v>
      </c>
      <c r="L653" s="2" t="s">
        <v>1596</v>
      </c>
      <c r="Q653" s="4" t="str">
        <f ca="1">IFERROR(__xludf.DUMMYFUNCTION("TRIM(SUBSTITUTE(SUBSTITUTE(D653, index(SPLIT(D653, "" ""), COLUMNS(SPLIT(D653, "" ""))), """"), index(SPLIT(D653, "" ""), COLUMNS(SPLIT(D653, "" ""))-1), """"))"),"Щастинська")</f>
        <v>Щастинська</v>
      </c>
    </row>
    <row r="654" spans="1:17" ht="50.5">
      <c r="A654" s="2"/>
      <c r="B654" s="2" t="s">
        <v>1597</v>
      </c>
      <c r="C654" s="2" t="s">
        <v>1598</v>
      </c>
      <c r="D654" s="2" t="s">
        <v>1599</v>
      </c>
      <c r="E654" s="2"/>
      <c r="F654" s="2" t="s">
        <v>20</v>
      </c>
      <c r="G654" s="2">
        <v>7</v>
      </c>
      <c r="H654" s="2">
        <v>159.19999999999999</v>
      </c>
      <c r="I654" s="2">
        <v>39199</v>
      </c>
      <c r="J654" s="2" t="s">
        <v>1600</v>
      </c>
      <c r="K654" s="2">
        <v>4</v>
      </c>
      <c r="L654" s="2" t="s">
        <v>1601</v>
      </c>
      <c r="Q654" s="4" t="str">
        <f ca="1">IFERROR(__xludf.DUMMYFUNCTION("TRIM(SUBSTITUTE(SUBSTITUTE(D654, index(SPLIT(D654, "" ""), COLUMNS(SPLIT(D654, "" ""))), """"), index(SPLIT(D654, "" ""), COLUMNS(SPLIT(D654, "" ""))-1), """"))"),"Бориславська")</f>
        <v>Бориславська</v>
      </c>
    </row>
    <row r="655" spans="1:17" ht="88">
      <c r="A655" s="2"/>
      <c r="B655" s="2" t="s">
        <v>1597</v>
      </c>
      <c r="C655" s="2" t="s">
        <v>1598</v>
      </c>
      <c r="D655" s="2" t="s">
        <v>1602</v>
      </c>
      <c r="E655" s="2"/>
      <c r="F655" s="2" t="s">
        <v>20</v>
      </c>
      <c r="G655" s="2">
        <v>34</v>
      </c>
      <c r="H655" s="2">
        <v>426.2</v>
      </c>
      <c r="I655" s="2">
        <v>121778</v>
      </c>
      <c r="J655" s="2" t="s">
        <v>1603</v>
      </c>
      <c r="K655" s="2">
        <v>21</v>
      </c>
      <c r="L655" s="2" t="s">
        <v>1604</v>
      </c>
      <c r="Q655" s="4" t="str">
        <f ca="1">IFERROR(__xludf.DUMMYFUNCTION("TRIM(SUBSTITUTE(SUBSTITUTE(D655, index(SPLIT(D655, "" ""), COLUMNS(SPLIT(D655, "" ""))), """"), index(SPLIT(D655, "" ""), COLUMNS(SPLIT(D655, "" ""))-1), """"))"),"Дрогобицька")</f>
        <v>Дрогобицька</v>
      </c>
    </row>
    <row r="656" spans="1:17" ht="50.5">
      <c r="A656" s="2"/>
      <c r="B656" s="2" t="s">
        <v>1597</v>
      </c>
      <c r="C656" s="2" t="s">
        <v>1598</v>
      </c>
      <c r="D656" s="2" t="s">
        <v>1605</v>
      </c>
      <c r="E656" s="2"/>
      <c r="F656" s="2" t="s">
        <v>32</v>
      </c>
      <c r="G656" s="2">
        <v>18</v>
      </c>
      <c r="H656" s="2">
        <v>285.8</v>
      </c>
      <c r="I656" s="2">
        <v>18693</v>
      </c>
      <c r="J656" s="2" t="s">
        <v>249</v>
      </c>
      <c r="K656" s="2">
        <v>11</v>
      </c>
      <c r="L656" s="2" t="s">
        <v>1606</v>
      </c>
      <c r="Q656" s="4" t="str">
        <f ca="1">IFERROR(__xludf.DUMMYFUNCTION("TRIM(SUBSTITUTE(SUBSTITUTE(D656, index(SPLIT(D656, "" ""), COLUMNS(SPLIT(D656, "" ""))), """"), index(SPLIT(D656, "" ""), COLUMNS(SPLIT(D656, "" ""))-1), """"))"),"Меденицька")</f>
        <v>Меденицька</v>
      </c>
    </row>
    <row r="657" spans="1:17" ht="63">
      <c r="A657" s="2"/>
      <c r="B657" s="2" t="s">
        <v>1597</v>
      </c>
      <c r="C657" s="2" t="s">
        <v>1598</v>
      </c>
      <c r="D657" s="2" t="s">
        <v>1607</v>
      </c>
      <c r="E657" s="2"/>
      <c r="F657" s="2" t="s">
        <v>32</v>
      </c>
      <c r="G657" s="2">
        <v>22</v>
      </c>
      <c r="H657" s="2">
        <v>414.3</v>
      </c>
      <c r="I657" s="2">
        <v>16360</v>
      </c>
      <c r="J657" s="2" t="s">
        <v>1608</v>
      </c>
      <c r="K657" s="2">
        <v>13</v>
      </c>
      <c r="L657" s="2" t="s">
        <v>1609</v>
      </c>
      <c r="Q657" s="4" t="str">
        <f ca="1">IFERROR(__xludf.DUMMYFUNCTION("TRIM(SUBSTITUTE(SUBSTITUTE(D657, index(SPLIT(D657, "" ""), COLUMNS(SPLIT(D657, "" ""))), """"), index(SPLIT(D657, "" ""), COLUMNS(SPLIT(D657, "" ""))-1), """"))"),"Східницька")</f>
        <v>Східницька</v>
      </c>
    </row>
    <row r="658" spans="1:17" ht="50.5">
      <c r="A658" s="2"/>
      <c r="B658" s="2" t="s">
        <v>1597</v>
      </c>
      <c r="C658" s="2" t="s">
        <v>1598</v>
      </c>
      <c r="D658" s="2" t="s">
        <v>1610</v>
      </c>
      <c r="E658" s="2"/>
      <c r="F658" s="2" t="s">
        <v>20</v>
      </c>
      <c r="G658" s="2">
        <v>8</v>
      </c>
      <c r="H658" s="2">
        <v>207.9</v>
      </c>
      <c r="I658" s="2">
        <v>39375</v>
      </c>
      <c r="J658" s="2" t="s">
        <v>1611</v>
      </c>
      <c r="K658" s="2">
        <v>6</v>
      </c>
      <c r="L658" s="2" t="s">
        <v>1612</v>
      </c>
      <c r="Q658" s="4" t="str">
        <f ca="1">IFERROR(__xludf.DUMMYFUNCTION("TRIM(SUBSTITUTE(SUBSTITUTE(D658, index(SPLIT(D658, "" ""), COLUMNS(SPLIT(D658, "" ""))), """"), index(SPLIT(D658, "" ""), COLUMNS(SPLIT(D658, "" ""))-1), """"))"),"Трускавецька")</f>
        <v>Трускавецька</v>
      </c>
    </row>
    <row r="659" spans="1:17" ht="50.5">
      <c r="A659" s="2"/>
      <c r="B659" s="2" t="s">
        <v>1597</v>
      </c>
      <c r="C659" s="2" t="s">
        <v>1613</v>
      </c>
      <c r="D659" s="2" t="s">
        <v>1614</v>
      </c>
      <c r="E659" s="2"/>
      <c r="F659" s="2" t="s">
        <v>20</v>
      </c>
      <c r="G659" s="2">
        <v>51</v>
      </c>
      <c r="H659" s="2">
        <v>609.6</v>
      </c>
      <c r="I659" s="2">
        <v>39471</v>
      </c>
      <c r="J659" s="2" t="s">
        <v>1615</v>
      </c>
      <c r="K659" s="2">
        <v>11</v>
      </c>
      <c r="L659" s="2" t="s">
        <v>1616</v>
      </c>
      <c r="Q659" s="4" t="str">
        <f ca="1">IFERROR(__xludf.DUMMYFUNCTION("TRIM(SUBSTITUTE(SUBSTITUTE(D659, index(SPLIT(D659, "" ""), COLUMNS(SPLIT(D659, "" ""))), """"), index(SPLIT(D659, "" ""), COLUMNS(SPLIT(D659, "" ""))-1), """"))"),"Бродівська")</f>
        <v>Бродівська</v>
      </c>
    </row>
    <row r="660" spans="1:17" ht="88">
      <c r="A660" s="2"/>
      <c r="B660" s="2" t="s">
        <v>1597</v>
      </c>
      <c r="C660" s="2" t="s">
        <v>1613</v>
      </c>
      <c r="D660" s="2" t="s">
        <v>1617</v>
      </c>
      <c r="E660" s="2"/>
      <c r="F660" s="2" t="s">
        <v>20</v>
      </c>
      <c r="G660" s="2">
        <v>68</v>
      </c>
      <c r="H660" s="2">
        <v>670.4</v>
      </c>
      <c r="I660" s="2">
        <v>30102</v>
      </c>
      <c r="J660" s="2" t="s">
        <v>1618</v>
      </c>
      <c r="K660" s="2">
        <v>19</v>
      </c>
      <c r="L660" s="2" t="s">
        <v>1619</v>
      </c>
      <c r="Q660" s="4" t="str">
        <f ca="1">IFERROR(__xludf.DUMMYFUNCTION("TRIM(SUBSTITUTE(SUBSTITUTE(D660, index(SPLIT(D660, "" ""), COLUMNS(SPLIT(D660, "" ""))), """"), index(SPLIT(D660, "" ""), COLUMNS(SPLIT(D660, "" ""))-1), """"))"),"Буська")</f>
        <v>Буська</v>
      </c>
    </row>
    <row r="661" spans="1:17" ht="50.5">
      <c r="A661" s="2"/>
      <c r="B661" s="2" t="s">
        <v>1597</v>
      </c>
      <c r="C661" s="2" t="s">
        <v>1613</v>
      </c>
      <c r="D661" s="2" t="s">
        <v>1620</v>
      </c>
      <c r="E661" s="2"/>
      <c r="F661" s="2" t="s">
        <v>28</v>
      </c>
      <c r="G661" s="2">
        <v>19</v>
      </c>
      <c r="H661" s="2">
        <v>235.3</v>
      </c>
      <c r="I661" s="2">
        <v>6242</v>
      </c>
      <c r="J661" s="2" t="s">
        <v>143</v>
      </c>
      <c r="K661" s="2">
        <v>4</v>
      </c>
      <c r="L661" s="2" t="s">
        <v>1621</v>
      </c>
      <c r="Q661" s="4" t="str">
        <f ca="1">IFERROR(__xludf.DUMMYFUNCTION("TRIM(SUBSTITUTE(SUBSTITUTE(D661, index(SPLIT(D661, "" ""), COLUMNS(SPLIT(D661, "" ""))), """"), index(SPLIT(D661, "" ""), COLUMNS(SPLIT(D661, "" ""))-1), """"))"),"Заболотцівська")</f>
        <v>Заболотцівська</v>
      </c>
    </row>
    <row r="662" spans="1:17" ht="88">
      <c r="A662" s="2"/>
      <c r="B662" s="2" t="s">
        <v>1597</v>
      </c>
      <c r="C662" s="2" t="s">
        <v>1613</v>
      </c>
      <c r="D662" s="2" t="s">
        <v>1233</v>
      </c>
      <c r="E662" s="2"/>
      <c r="F662" s="2" t="s">
        <v>20</v>
      </c>
      <c r="G662" s="2">
        <v>67</v>
      </c>
      <c r="H662" s="2">
        <v>630.70000000000005</v>
      </c>
      <c r="I662" s="2">
        <v>49243</v>
      </c>
      <c r="J662" s="2" t="s">
        <v>1622</v>
      </c>
      <c r="K662" s="2">
        <v>19</v>
      </c>
      <c r="L662" s="2" t="s">
        <v>1623</v>
      </c>
      <c r="Q662" s="4" t="str">
        <f ca="1">IFERROR(__xludf.DUMMYFUNCTION("TRIM(SUBSTITUTE(SUBSTITUTE(D662, index(SPLIT(D662, "" ""), COLUMNS(SPLIT(D662, "" ""))), """"), index(SPLIT(D662, "" ""), COLUMNS(SPLIT(D662, "" ""))-1), """"))"),"Золочівська")</f>
        <v>Золочівська</v>
      </c>
    </row>
    <row r="663" spans="1:17" ht="38">
      <c r="A663" s="2"/>
      <c r="B663" s="2" t="s">
        <v>1597</v>
      </c>
      <c r="C663" s="2" t="s">
        <v>1613</v>
      </c>
      <c r="D663" s="2" t="s">
        <v>1624</v>
      </c>
      <c r="E663" s="2"/>
      <c r="F663" s="2" t="s">
        <v>32</v>
      </c>
      <c r="G663" s="2">
        <v>18</v>
      </c>
      <c r="H663" s="2">
        <v>215.7</v>
      </c>
      <c r="I663" s="2">
        <v>16951</v>
      </c>
      <c r="J663" s="2" t="s">
        <v>1625</v>
      </c>
      <c r="K663" s="2">
        <v>9</v>
      </c>
      <c r="L663" s="2" t="s">
        <v>1626</v>
      </c>
      <c r="Q663" s="4" t="str">
        <f ca="1">IFERROR(__xludf.DUMMYFUNCTION("TRIM(SUBSTITUTE(SUBSTITUTE(D663, index(SPLIT(D663, "" ""), COLUMNS(SPLIT(D663, "" ""))), """"), index(SPLIT(D663, "" ""), COLUMNS(SPLIT(D663, "" ""))-1), """"))"),"Красненська")</f>
        <v>Красненська</v>
      </c>
    </row>
    <row r="664" spans="1:17" ht="38">
      <c r="A664" s="2"/>
      <c r="B664" s="2" t="s">
        <v>1597</v>
      </c>
      <c r="C664" s="2" t="s">
        <v>1613</v>
      </c>
      <c r="D664" s="2" t="s">
        <v>1627</v>
      </c>
      <c r="E664" s="2"/>
      <c r="F664" s="2" t="s">
        <v>32</v>
      </c>
      <c r="G664" s="2">
        <v>21</v>
      </c>
      <c r="H664" s="2">
        <v>207.4</v>
      </c>
      <c r="I664" s="2">
        <v>7469</v>
      </c>
      <c r="J664" s="2" t="s">
        <v>1628</v>
      </c>
      <c r="K664" s="2">
        <v>8</v>
      </c>
      <c r="L664" s="2" t="s">
        <v>1629</v>
      </c>
      <c r="Q664" s="4" t="str">
        <f ca="1">IFERROR(__xludf.DUMMYFUNCTION("TRIM(SUBSTITUTE(SUBSTITUTE(D664, index(SPLIT(D664, "" ""), COLUMNS(SPLIT(D664, "" ""))), """"), index(SPLIT(D664, "" ""), COLUMNS(SPLIT(D664, "" ""))-1), """"))"),"Поморянська")</f>
        <v>Поморянська</v>
      </c>
    </row>
    <row r="665" spans="1:17" ht="50.5">
      <c r="A665" s="2"/>
      <c r="B665" s="2" t="s">
        <v>1597</v>
      </c>
      <c r="C665" s="2" t="s">
        <v>1613</v>
      </c>
      <c r="D665" s="2" t="s">
        <v>1630</v>
      </c>
      <c r="E665" s="2"/>
      <c r="F665" s="2" t="s">
        <v>32</v>
      </c>
      <c r="G665" s="2">
        <v>33</v>
      </c>
      <c r="H665" s="2">
        <v>318.8</v>
      </c>
      <c r="I665" s="2">
        <v>11186</v>
      </c>
      <c r="J665" s="2" t="s">
        <v>1631</v>
      </c>
      <c r="K665" s="2">
        <v>10</v>
      </c>
      <c r="L665" s="2" t="s">
        <v>1632</v>
      </c>
      <c r="Q665" s="4" t="str">
        <f ca="1">IFERROR(__xludf.DUMMYFUNCTION("TRIM(SUBSTITUTE(SUBSTITUTE(D665, index(SPLIT(D665, "" ""), COLUMNS(SPLIT(D665, "" ""))), """"), index(SPLIT(D665, "" ""), COLUMNS(SPLIT(D665, "" ""))-1), """"))"),"Підкамінська")</f>
        <v>Підкамінська</v>
      </c>
    </row>
    <row r="666" spans="1:17" ht="50.5">
      <c r="A666" s="2"/>
      <c r="B666" s="2" t="s">
        <v>1597</v>
      </c>
      <c r="C666" s="2" t="s">
        <v>1633</v>
      </c>
      <c r="D666" s="2" t="s">
        <v>1634</v>
      </c>
      <c r="E666" s="2"/>
      <c r="F666" s="2" t="s">
        <v>20</v>
      </c>
      <c r="G666" s="2">
        <v>46</v>
      </c>
      <c r="H666" s="2">
        <v>435.4</v>
      </c>
      <c r="I666" s="2">
        <v>16694</v>
      </c>
      <c r="J666" s="2" t="s">
        <v>249</v>
      </c>
      <c r="K666" s="2">
        <v>11</v>
      </c>
      <c r="L666" s="2" t="s">
        <v>1635</v>
      </c>
      <c r="Q666" s="4" t="str">
        <f ca="1">IFERROR(__xludf.DUMMYFUNCTION("TRIM(SUBSTITUTE(SUBSTITUTE(D666, index(SPLIT(D666, "" ""), COLUMNS(SPLIT(D666, "" ""))), """"), index(SPLIT(D666, "" ""), COLUMNS(SPLIT(D666, "" ""))-1), """"))"),"Бібрська")</f>
        <v>Бібрська</v>
      </c>
    </row>
    <row r="667" spans="1:17" ht="50.5">
      <c r="A667" s="2"/>
      <c r="B667" s="2" t="s">
        <v>1597</v>
      </c>
      <c r="C667" s="2" t="s">
        <v>1633</v>
      </c>
      <c r="D667" s="2" t="s">
        <v>1636</v>
      </c>
      <c r="E667" s="2"/>
      <c r="F667" s="2" t="s">
        <v>32</v>
      </c>
      <c r="G667" s="2">
        <v>16</v>
      </c>
      <c r="H667" s="2">
        <v>132.4</v>
      </c>
      <c r="I667" s="2">
        <v>9473</v>
      </c>
      <c r="J667" s="2" t="s">
        <v>63</v>
      </c>
      <c r="K667" s="2">
        <v>3</v>
      </c>
      <c r="L667" s="2" t="s">
        <v>1637</v>
      </c>
      <c r="Q667" s="4" t="str">
        <f ca="1">IFERROR(__xludf.DUMMYFUNCTION("TRIM(SUBSTITUTE(SUBSTITUTE(D667, index(SPLIT(D667, "" ""), COLUMNS(SPLIT(D667, "" ""))), """"), index(SPLIT(D667, "" ""), COLUMNS(SPLIT(D667, "" ""))-1), """"))"),"Великолюбінська")</f>
        <v>Великолюбінська</v>
      </c>
    </row>
    <row r="668" spans="1:17" ht="38">
      <c r="A668" s="2"/>
      <c r="B668" s="2" t="s">
        <v>1597</v>
      </c>
      <c r="C668" s="2" t="s">
        <v>1633</v>
      </c>
      <c r="D668" s="2" t="s">
        <v>1638</v>
      </c>
      <c r="E668" s="2"/>
      <c r="F668" s="2" t="s">
        <v>20</v>
      </c>
      <c r="G668" s="2">
        <v>19</v>
      </c>
      <c r="H668" s="2">
        <v>223</v>
      </c>
      <c r="I668" s="2">
        <v>9621</v>
      </c>
      <c r="J668" s="2" t="s">
        <v>1639</v>
      </c>
      <c r="K668" s="2">
        <v>7</v>
      </c>
      <c r="L668" s="2" t="s">
        <v>1640</v>
      </c>
      <c r="Q668" s="4" t="str">
        <f ca="1">IFERROR(__xludf.DUMMYFUNCTION("TRIM(SUBSTITUTE(SUBSTITUTE(D668, index(SPLIT(D668, "" ""), COLUMNS(SPLIT(D668, "" ""))), """"), index(SPLIT(D668, "" ""), COLUMNS(SPLIT(D668, "" ""))-1), """"))"),"Глинянська")</f>
        <v>Глинянська</v>
      </c>
    </row>
    <row r="669" spans="1:17" ht="75.5">
      <c r="A669" s="2"/>
      <c r="B669" s="2" t="s">
        <v>1597</v>
      </c>
      <c r="C669" s="2" t="s">
        <v>1633</v>
      </c>
      <c r="D669" s="2" t="s">
        <v>626</v>
      </c>
      <c r="E669" s="2"/>
      <c r="F669" s="2" t="s">
        <v>20</v>
      </c>
      <c r="G669" s="2">
        <v>39</v>
      </c>
      <c r="H669" s="2">
        <v>375.9</v>
      </c>
      <c r="I669" s="2">
        <v>39691</v>
      </c>
      <c r="J669" s="2" t="s">
        <v>627</v>
      </c>
      <c r="K669" s="2">
        <v>17</v>
      </c>
      <c r="L669" s="2" t="s">
        <v>1641</v>
      </c>
      <c r="Q669" s="4" t="str">
        <f ca="1">IFERROR(__xludf.DUMMYFUNCTION("TRIM(SUBSTITUTE(SUBSTITUTE(D669, index(SPLIT(D669, "" ""), COLUMNS(SPLIT(D669, "" ""))), """"), index(SPLIT(D669, "" ""), COLUMNS(SPLIT(D669, "" ""))-1), """"))"),"Городоцька")</f>
        <v>Городоцька</v>
      </c>
    </row>
    <row r="670" spans="1:17" ht="38">
      <c r="A670" s="2"/>
      <c r="B670" s="2" t="s">
        <v>1597</v>
      </c>
      <c r="C670" s="2" t="s">
        <v>1633</v>
      </c>
      <c r="D670" s="2" t="s">
        <v>1642</v>
      </c>
      <c r="E670" s="2"/>
      <c r="F670" s="2" t="s">
        <v>28</v>
      </c>
      <c r="G670" s="2">
        <v>23</v>
      </c>
      <c r="H670" s="2">
        <v>226.2</v>
      </c>
      <c r="I670" s="2">
        <v>20696</v>
      </c>
      <c r="J670" s="2" t="s">
        <v>33</v>
      </c>
      <c r="K670" s="2">
        <v>8</v>
      </c>
      <c r="L670" s="2" t="s">
        <v>1643</v>
      </c>
      <c r="Q670" s="4" t="str">
        <f ca="1">IFERROR(__xludf.DUMMYFUNCTION("TRIM(SUBSTITUTE(SUBSTITUTE(D670, index(SPLIT(D670, "" ""), COLUMNS(SPLIT(D670, "" ""))), """"), index(SPLIT(D670, "" ""), COLUMNS(SPLIT(D670, "" ""))-1), """"))"),"Давидівська")</f>
        <v>Давидівська</v>
      </c>
    </row>
    <row r="671" spans="1:17" ht="50.5">
      <c r="A671" s="2"/>
      <c r="B671" s="2" t="s">
        <v>1597</v>
      </c>
      <c r="C671" s="2" t="s">
        <v>1633</v>
      </c>
      <c r="D671" s="2" t="s">
        <v>1644</v>
      </c>
      <c r="E671" s="2"/>
      <c r="F671" s="2" t="s">
        <v>28</v>
      </c>
      <c r="G671" s="2">
        <v>36</v>
      </c>
      <c r="H671" s="2">
        <v>233.9</v>
      </c>
      <c r="I671" s="2">
        <v>16154</v>
      </c>
      <c r="J671" s="2" t="s">
        <v>63</v>
      </c>
      <c r="K671" s="2">
        <v>9</v>
      </c>
      <c r="L671" s="2" t="s">
        <v>1645</v>
      </c>
      <c r="Q671" s="4" t="str">
        <f ca="1">IFERROR(__xludf.DUMMYFUNCTION("TRIM(SUBSTITUTE(SUBSTITUTE(D671, index(SPLIT(D671, "" ""), COLUMNS(SPLIT(D671, "" ""))), """"), index(SPLIT(D671, "" ""), COLUMNS(SPLIT(D671, "" ""))-1), """"))"),"Добросинсько-Магерівська")</f>
        <v>Добросинсько-Магерівська</v>
      </c>
    </row>
    <row r="672" spans="1:17" ht="63">
      <c r="A672" s="2"/>
      <c r="B672" s="2" t="s">
        <v>1597</v>
      </c>
      <c r="C672" s="2" t="s">
        <v>1633</v>
      </c>
      <c r="D672" s="2" t="s">
        <v>1646</v>
      </c>
      <c r="E672" s="2"/>
      <c r="F672" s="2" t="s">
        <v>20</v>
      </c>
      <c r="G672" s="2">
        <v>49</v>
      </c>
      <c r="H672" s="2">
        <v>453.6</v>
      </c>
      <c r="I672" s="2">
        <v>34560</v>
      </c>
      <c r="J672" s="2" t="s">
        <v>1647</v>
      </c>
      <c r="K672" s="2">
        <v>14</v>
      </c>
      <c r="L672" s="2" t="s">
        <v>1648</v>
      </c>
      <c r="Q672" s="4" t="str">
        <f ca="1">IFERROR(__xludf.DUMMYFUNCTION("TRIM(SUBSTITUTE(SUBSTITUTE(D672, index(SPLIT(D672, "" ""), COLUMNS(SPLIT(D672, "" ""))), """"), index(SPLIT(D672, "" ""), COLUMNS(SPLIT(D672, "" ""))-1), """"))"),"Жовківська")</f>
        <v>Жовківська</v>
      </c>
    </row>
    <row r="673" spans="1:17" ht="38">
      <c r="A673" s="2"/>
      <c r="B673" s="2" t="s">
        <v>1597</v>
      </c>
      <c r="C673" s="2" t="s">
        <v>1633</v>
      </c>
      <c r="D673" s="2" t="s">
        <v>1649</v>
      </c>
      <c r="E673" s="2"/>
      <c r="F673" s="2" t="s">
        <v>28</v>
      </c>
      <c r="G673" s="2">
        <v>14</v>
      </c>
      <c r="H673" s="2">
        <v>150.4</v>
      </c>
      <c r="I673" s="2">
        <v>10127</v>
      </c>
      <c r="J673" s="2" t="s">
        <v>33</v>
      </c>
      <c r="K673" s="2">
        <v>4</v>
      </c>
      <c r="L673" s="2" t="s">
        <v>1650</v>
      </c>
      <c r="Q673" s="4" t="str">
        <f ca="1">IFERROR(__xludf.DUMMYFUNCTION("TRIM(SUBSTITUTE(SUBSTITUTE(D673, index(SPLIT(D673, "" ""), COLUMNS(SPLIT(D673, "" ""))), """"), index(SPLIT(D673, "" ""), COLUMNS(SPLIT(D673, "" ""))-1), """"))"),"Жовтанецька")</f>
        <v>Жовтанецька</v>
      </c>
    </row>
    <row r="674" spans="1:17" ht="50.5">
      <c r="A674" s="2"/>
      <c r="B674" s="2" t="s">
        <v>1597</v>
      </c>
      <c r="C674" s="2" t="s">
        <v>1633</v>
      </c>
      <c r="D674" s="2" t="s">
        <v>1651</v>
      </c>
      <c r="E674" s="2"/>
      <c r="F674" s="2" t="s">
        <v>28</v>
      </c>
      <c r="G674" s="2">
        <v>5</v>
      </c>
      <c r="H674" s="2">
        <v>30.9</v>
      </c>
      <c r="I674" s="2">
        <v>19658</v>
      </c>
      <c r="J674" s="2" t="s">
        <v>249</v>
      </c>
      <c r="K674" s="2">
        <v>4</v>
      </c>
      <c r="L674" s="2" t="s">
        <v>1652</v>
      </c>
      <c r="Q674" s="4" t="str">
        <f ca="1">IFERROR(__xludf.DUMMYFUNCTION("TRIM(SUBSTITUTE(SUBSTITUTE(D674, index(SPLIT(D674, "" ""), COLUMNS(SPLIT(D674, "" ""))), """"), index(SPLIT(D674, "" ""), COLUMNS(SPLIT(D674, "" ""))-1), """"))"),"Зимноводівська")</f>
        <v>Зимноводівська</v>
      </c>
    </row>
    <row r="675" spans="1:17" ht="50.5">
      <c r="A675" s="2"/>
      <c r="B675" s="2" t="s">
        <v>1597</v>
      </c>
      <c r="C675" s="2" t="s">
        <v>1633</v>
      </c>
      <c r="D675" s="2" t="s">
        <v>1653</v>
      </c>
      <c r="E675" s="2"/>
      <c r="F675" s="2" t="s">
        <v>20</v>
      </c>
      <c r="G675" s="2">
        <v>29</v>
      </c>
      <c r="H675" s="2">
        <v>344.4</v>
      </c>
      <c r="I675" s="2">
        <v>21384</v>
      </c>
      <c r="J675" s="2" t="s">
        <v>178</v>
      </c>
      <c r="K675" s="2">
        <v>7</v>
      </c>
      <c r="L675" s="2" t="s">
        <v>1654</v>
      </c>
      <c r="Q675" s="4" t="str">
        <f ca="1">IFERROR(__xludf.DUMMYFUNCTION("TRIM(SUBSTITUTE(SUBSTITUTE(D675, index(SPLIT(D675, "" ""), COLUMNS(SPLIT(D675, "" ""))), """"), index(SPLIT(D675, "" ""), COLUMNS(SPLIT(D675, "" ""))-1), """"))"),"Кам’янка-Бузька")</f>
        <v>Кам’янка-Бузька</v>
      </c>
    </row>
    <row r="676" spans="1:17" ht="50.5">
      <c r="A676" s="2"/>
      <c r="B676" s="2" t="s">
        <v>1597</v>
      </c>
      <c r="C676" s="2" t="s">
        <v>1633</v>
      </c>
      <c r="D676" s="2" t="s">
        <v>1655</v>
      </c>
      <c r="E676" s="2"/>
      <c r="F676" s="2" t="s">
        <v>20</v>
      </c>
      <c r="G676" s="2">
        <v>22</v>
      </c>
      <c r="H676" s="2">
        <v>186.9</v>
      </c>
      <c r="I676" s="2">
        <v>13779</v>
      </c>
      <c r="J676" s="2" t="s">
        <v>1656</v>
      </c>
      <c r="K676" s="2">
        <v>10</v>
      </c>
      <c r="L676" s="2" t="s">
        <v>1657</v>
      </c>
      <c r="Q676" s="4" t="str">
        <f ca="1">IFERROR(__xludf.DUMMYFUNCTION("TRIM(SUBSTITUTE(SUBSTITUTE(D676, index(SPLIT(D676, "" ""), COLUMNS(SPLIT(D676, "" ""))), """"), index(SPLIT(D676, "" ""), COLUMNS(SPLIT(D676, "" ""))-1), """"))"),"Комарнівська")</f>
        <v>Комарнівська</v>
      </c>
    </row>
    <row r="677" spans="1:17" ht="38">
      <c r="A677" s="2"/>
      <c r="B677" s="2" t="s">
        <v>1597</v>
      </c>
      <c r="C677" s="2" t="s">
        <v>1633</v>
      </c>
      <c r="D677" s="2" t="s">
        <v>1658</v>
      </c>
      <c r="E677" s="2"/>
      <c r="F677" s="2" t="s">
        <v>32</v>
      </c>
      <c r="G677" s="2">
        <v>17</v>
      </c>
      <c r="H677" s="2">
        <v>114.2</v>
      </c>
      <c r="I677" s="2">
        <v>11654</v>
      </c>
      <c r="J677" s="2" t="s">
        <v>1659</v>
      </c>
      <c r="K677" s="2">
        <v>5</v>
      </c>
      <c r="L677" s="2" t="s">
        <v>1660</v>
      </c>
      <c r="Q677" s="4" t="str">
        <f ca="1">IFERROR(__xludf.DUMMYFUNCTION("TRIM(SUBSTITUTE(SUBSTITUTE(D677, index(SPLIT(D677, "" ""), COLUMNS(SPLIT(D677, "" ""))), """"), index(SPLIT(D677, "" ""), COLUMNS(SPLIT(D677, "" ""))-1), """"))"),"Куликівська")</f>
        <v>Куликівська</v>
      </c>
    </row>
    <row r="678" spans="1:17" ht="75.5">
      <c r="A678" s="2"/>
      <c r="B678" s="2" t="s">
        <v>1597</v>
      </c>
      <c r="C678" s="2" t="s">
        <v>1633</v>
      </c>
      <c r="D678" s="2" t="s">
        <v>1661</v>
      </c>
      <c r="E678" s="2"/>
      <c r="F678" s="2" t="s">
        <v>20</v>
      </c>
      <c r="G678" s="2">
        <v>20</v>
      </c>
      <c r="H678" s="2">
        <v>311.39999999999998</v>
      </c>
      <c r="I678" s="2">
        <v>780804</v>
      </c>
      <c r="J678" s="2" t="s">
        <v>1662</v>
      </c>
      <c r="K678" s="2">
        <v>17</v>
      </c>
      <c r="L678" s="2" t="s">
        <v>1663</v>
      </c>
      <c r="Q678" s="4" t="str">
        <f ca="1">IFERROR(__xludf.DUMMYFUNCTION("TRIM(SUBSTITUTE(SUBSTITUTE(D678, index(SPLIT(D678, "" ""), COLUMNS(SPLIT(D678, "" ""))), """"), index(SPLIT(D678, "" ""), COLUMNS(SPLIT(D678, "" ""))-1), """"))"),"Львівська")</f>
        <v>Львівська</v>
      </c>
    </row>
    <row r="679" spans="1:17" ht="38">
      <c r="A679" s="2"/>
      <c r="B679" s="2" t="s">
        <v>1597</v>
      </c>
      <c r="C679" s="2" t="s">
        <v>1633</v>
      </c>
      <c r="D679" s="2" t="s">
        <v>1664</v>
      </c>
      <c r="E679" s="2"/>
      <c r="F679" s="2" t="s">
        <v>28</v>
      </c>
      <c r="G679" s="2">
        <v>5</v>
      </c>
      <c r="H679" s="2">
        <v>43.1</v>
      </c>
      <c r="I679" s="2">
        <v>9617</v>
      </c>
      <c r="J679" s="2" t="s">
        <v>178</v>
      </c>
      <c r="K679" s="2">
        <v>3</v>
      </c>
      <c r="L679" s="2" t="s">
        <v>1665</v>
      </c>
      <c r="Q679" s="4" t="str">
        <f ca="1">IFERROR(__xludf.DUMMYFUNCTION("TRIM(SUBSTITUTE(SUBSTITUTE(D679, index(SPLIT(D679, "" ""), COLUMNS(SPLIT(D679, "" ""))), """"), index(SPLIT(D679, "" ""), COLUMNS(SPLIT(D679, "" ""))-1), """"))"),"Мурованська")</f>
        <v>Мурованська</v>
      </c>
    </row>
    <row r="680" spans="1:17" ht="50.5">
      <c r="A680" s="2"/>
      <c r="B680" s="2" t="s">
        <v>1597</v>
      </c>
      <c r="C680" s="2" t="s">
        <v>1633</v>
      </c>
      <c r="D680" s="2" t="s">
        <v>1666</v>
      </c>
      <c r="E680" s="2"/>
      <c r="F680" s="2" t="s">
        <v>32</v>
      </c>
      <c r="G680" s="2">
        <v>18</v>
      </c>
      <c r="H680" s="2">
        <v>221</v>
      </c>
      <c r="I680" s="2">
        <v>18542</v>
      </c>
      <c r="J680" s="2" t="s">
        <v>1667</v>
      </c>
      <c r="K680" s="2">
        <v>10</v>
      </c>
      <c r="L680" s="2" t="s">
        <v>1668</v>
      </c>
      <c r="Q680" s="4" t="str">
        <f ca="1">IFERROR(__xludf.DUMMYFUNCTION("TRIM(SUBSTITUTE(SUBSTITUTE(D680, index(SPLIT(D680, "" ""), COLUMNS(SPLIT(D680, "" ""))), """"), index(SPLIT(D680, "" ""), COLUMNS(SPLIT(D680, "" ""))-1), """"))"),"Новояричівська")</f>
        <v>Новояричівська</v>
      </c>
    </row>
    <row r="681" spans="1:17" ht="50.5">
      <c r="A681" s="2"/>
      <c r="B681" s="2" t="s">
        <v>1597</v>
      </c>
      <c r="C681" s="2" t="s">
        <v>1633</v>
      </c>
      <c r="D681" s="2" t="s">
        <v>1669</v>
      </c>
      <c r="E681" s="2"/>
      <c r="F681" s="2" t="s">
        <v>28</v>
      </c>
      <c r="G681" s="2">
        <v>6</v>
      </c>
      <c r="H681" s="2">
        <v>49.8</v>
      </c>
      <c r="I681" s="2">
        <v>7661</v>
      </c>
      <c r="J681" s="2" t="s">
        <v>1670</v>
      </c>
      <c r="K681" s="2">
        <v>3</v>
      </c>
      <c r="L681" s="2" t="s">
        <v>1671</v>
      </c>
      <c r="Q681" s="4" t="str">
        <f ca="1">IFERROR(__xludf.DUMMYFUNCTION("TRIM(SUBSTITUTE(SUBSTITUTE(D681, index(SPLIT(D681, "" ""), COLUMNS(SPLIT(D681, "" ""))), """"), index(SPLIT(D681, "" ""), COLUMNS(SPLIT(D681, "" ""))-1), """"))"),"Оброшинська")</f>
        <v>Оброшинська</v>
      </c>
    </row>
    <row r="682" spans="1:17" ht="100.5">
      <c r="A682" s="2"/>
      <c r="B682" s="2" t="s">
        <v>1597</v>
      </c>
      <c r="C682" s="2" t="s">
        <v>1633</v>
      </c>
      <c r="D682" s="2" t="s">
        <v>1672</v>
      </c>
      <c r="E682" s="2"/>
      <c r="F682" s="2" t="s">
        <v>20</v>
      </c>
      <c r="G682" s="2">
        <v>59</v>
      </c>
      <c r="H682" s="2">
        <v>584</v>
      </c>
      <c r="I682" s="2">
        <v>23787</v>
      </c>
      <c r="J682" s="2" t="s">
        <v>1673</v>
      </c>
      <c r="K682" s="2">
        <v>22</v>
      </c>
      <c r="L682" s="2" t="s">
        <v>1674</v>
      </c>
      <c r="Q682" s="4" t="str">
        <f ca="1">IFERROR(__xludf.DUMMYFUNCTION("TRIM(SUBSTITUTE(SUBSTITUTE(D682, index(SPLIT(D682, "" ""), COLUMNS(SPLIT(D682, "" ""))), """"), index(SPLIT(D682, "" ""), COLUMNS(SPLIT(D682, "" ""))-1), """"))"),"Перемишлянська")</f>
        <v>Перемишлянська</v>
      </c>
    </row>
    <row r="683" spans="1:17" ht="50.5">
      <c r="A683" s="2"/>
      <c r="B683" s="2" t="s">
        <v>1597</v>
      </c>
      <c r="C683" s="2" t="s">
        <v>1633</v>
      </c>
      <c r="D683" s="2" t="s">
        <v>1675</v>
      </c>
      <c r="E683" s="2"/>
      <c r="F683" s="2" t="s">
        <v>20</v>
      </c>
      <c r="G683" s="2">
        <v>10</v>
      </c>
      <c r="H683" s="2">
        <v>95.7</v>
      </c>
      <c r="I683" s="2">
        <v>15204</v>
      </c>
      <c r="J683" s="2" t="s">
        <v>1676</v>
      </c>
      <c r="K683" s="2">
        <v>3</v>
      </c>
      <c r="L683" s="2" t="s">
        <v>1677</v>
      </c>
      <c r="Q683" s="4" t="str">
        <f ca="1">IFERROR(__xludf.DUMMYFUNCTION("TRIM(SUBSTITUTE(SUBSTITUTE(D683, index(SPLIT(D683, "" ""), COLUMNS(SPLIT(D683, "" ""))), """"), index(SPLIT(D683, "" ""), COLUMNS(SPLIT(D683, "" ""))-1), """"))"),"Пустомитівська")</f>
        <v>Пустомитівська</v>
      </c>
    </row>
    <row r="684" spans="1:17" ht="50.5">
      <c r="A684" s="2"/>
      <c r="B684" s="2" t="s">
        <v>1597</v>
      </c>
      <c r="C684" s="2" t="s">
        <v>1633</v>
      </c>
      <c r="D684" s="2" t="s">
        <v>1678</v>
      </c>
      <c r="E684" s="2"/>
      <c r="F684" s="2" t="s">
        <v>28</v>
      </c>
      <c r="G684" s="2">
        <v>11</v>
      </c>
      <c r="H684" s="2">
        <v>124.1</v>
      </c>
      <c r="I684" s="2">
        <v>8203</v>
      </c>
      <c r="J684" s="2" t="s">
        <v>39</v>
      </c>
      <c r="K684" s="2">
        <v>5</v>
      </c>
      <c r="L684" s="2" t="s">
        <v>1679</v>
      </c>
      <c r="Q684" s="4" t="str">
        <f ca="1">IFERROR(__xludf.DUMMYFUNCTION("TRIM(SUBSTITUTE(SUBSTITUTE(D684, index(SPLIT(D684, "" ""), COLUMNS(SPLIT(D684, "" ""))), """"), index(SPLIT(D684, "" ""), COLUMNS(SPLIT(D684, "" ""))-1), """"))"),"Підберізцівська")</f>
        <v>Підберізцівська</v>
      </c>
    </row>
    <row r="685" spans="1:17" ht="38">
      <c r="A685" s="2"/>
      <c r="B685" s="2" t="s">
        <v>1597</v>
      </c>
      <c r="C685" s="2" t="s">
        <v>1633</v>
      </c>
      <c r="D685" s="2" t="s">
        <v>1680</v>
      </c>
      <c r="E685" s="2"/>
      <c r="F685" s="2" t="s">
        <v>20</v>
      </c>
      <c r="G685" s="2">
        <v>46</v>
      </c>
      <c r="H685" s="2">
        <v>318.10000000000002</v>
      </c>
      <c r="I685" s="2">
        <v>25694</v>
      </c>
      <c r="J685" s="2" t="s">
        <v>1681</v>
      </c>
      <c r="K685" s="2">
        <v>9</v>
      </c>
      <c r="L685" s="2" t="s">
        <v>1682</v>
      </c>
      <c r="Q685" s="4" t="str">
        <f ca="1">IFERROR(__xludf.DUMMYFUNCTION("TRIM(SUBSTITUTE(SUBSTITUTE(D685, index(SPLIT(D685, "" ""), COLUMNS(SPLIT(D685, "" ""))), """"), index(SPLIT(D685, "" ""), COLUMNS(SPLIT(D685, "" ""))-1), """"))"),"Рава-Руська")</f>
        <v>Рава-Руська</v>
      </c>
    </row>
    <row r="686" spans="1:17" ht="38">
      <c r="A686" s="2"/>
      <c r="B686" s="2" t="s">
        <v>1597</v>
      </c>
      <c r="C686" s="2" t="s">
        <v>1633</v>
      </c>
      <c r="D686" s="2" t="s">
        <v>1683</v>
      </c>
      <c r="E686" s="2"/>
      <c r="F686" s="2" t="s">
        <v>28</v>
      </c>
      <c r="G686" s="2">
        <v>3</v>
      </c>
      <c r="H686" s="2">
        <v>32.9</v>
      </c>
      <c r="I686" s="2">
        <v>8448</v>
      </c>
      <c r="J686" s="2" t="s">
        <v>1684</v>
      </c>
      <c r="K686" s="2">
        <v>2</v>
      </c>
      <c r="L686" s="2" t="s">
        <v>1685</v>
      </c>
      <c r="Q686" s="4" t="str">
        <f ca="1">IFERROR(__xludf.DUMMYFUNCTION("TRIM(SUBSTITUTE(SUBSTITUTE(D686, index(SPLIT(D686, "" ""), COLUMNS(SPLIT(D686, "" ""))), """"), index(SPLIT(D686, "" ""), COLUMNS(SPLIT(D686, "" ""))-1), """"))"),"Сокільницька")</f>
        <v>Сокільницька</v>
      </c>
    </row>
    <row r="687" spans="1:17" ht="38">
      <c r="A687" s="2"/>
      <c r="B687" s="2" t="s">
        <v>1597</v>
      </c>
      <c r="C687" s="2" t="s">
        <v>1633</v>
      </c>
      <c r="D687" s="2" t="s">
        <v>1686</v>
      </c>
      <c r="E687" s="2"/>
      <c r="F687" s="2" t="s">
        <v>28</v>
      </c>
      <c r="G687" s="2">
        <v>21</v>
      </c>
      <c r="H687" s="2">
        <v>174.4</v>
      </c>
      <c r="I687" s="2">
        <v>13391</v>
      </c>
      <c r="J687" s="2" t="s">
        <v>39</v>
      </c>
      <c r="K687" s="2">
        <v>6</v>
      </c>
      <c r="L687" s="2" t="s">
        <v>1687</v>
      </c>
      <c r="Q687" s="4" t="str">
        <f ca="1">IFERROR(__xludf.DUMMYFUNCTION("TRIM(SUBSTITUTE(SUBSTITUTE(D687, index(SPLIT(D687, "" ""), COLUMNS(SPLIT(D687, "" ""))), """"), index(SPLIT(D687, "" ""), COLUMNS(SPLIT(D687, "" ""))-1), """"))"),"Солонківська")</f>
        <v>Солонківська</v>
      </c>
    </row>
    <row r="688" spans="1:17" ht="38">
      <c r="A688" s="2"/>
      <c r="B688" s="2" t="s">
        <v>1597</v>
      </c>
      <c r="C688" s="2" t="s">
        <v>1633</v>
      </c>
      <c r="D688" s="2" t="s">
        <v>1688</v>
      </c>
      <c r="E688" s="2"/>
      <c r="F688" s="2" t="s">
        <v>32</v>
      </c>
      <c r="G688" s="2">
        <v>17</v>
      </c>
      <c r="H688" s="2">
        <v>114.5</v>
      </c>
      <c r="I688" s="2">
        <v>11696</v>
      </c>
      <c r="J688" s="2" t="s">
        <v>39</v>
      </c>
      <c r="K688" s="2">
        <v>5</v>
      </c>
      <c r="L688" s="2" t="s">
        <v>1689</v>
      </c>
      <c r="Q688" s="4" t="str">
        <f ca="1">IFERROR(__xludf.DUMMYFUNCTION("TRIM(SUBSTITUTE(SUBSTITUTE(D688, index(SPLIT(D688, "" ""), COLUMNS(SPLIT(D688, "" ""))), """"), index(SPLIT(D688, "" ""), COLUMNS(SPLIT(D688, "" ""))-1), """"))"),"Щирецька")</f>
        <v>Щирецька</v>
      </c>
    </row>
    <row r="689" spans="1:17" ht="75.5">
      <c r="A689" s="2"/>
      <c r="B689" s="2" t="s">
        <v>1597</v>
      </c>
      <c r="C689" s="2" t="s">
        <v>1690</v>
      </c>
      <c r="D689" s="2" t="s">
        <v>1691</v>
      </c>
      <c r="E689" s="2"/>
      <c r="F689" s="2" t="s">
        <v>32</v>
      </c>
      <c r="G689" s="2">
        <v>33</v>
      </c>
      <c r="H689" s="2">
        <v>638</v>
      </c>
      <c r="I689" s="2">
        <v>23371</v>
      </c>
      <c r="J689" s="2" t="s">
        <v>1692</v>
      </c>
      <c r="K689" s="2">
        <v>17</v>
      </c>
      <c r="L689" s="2" t="s">
        <v>1693</v>
      </c>
      <c r="Q689" s="4" t="str">
        <f ca="1">IFERROR(__xludf.DUMMYFUNCTION("TRIM(SUBSTITUTE(SUBSTITUTE(D689, index(SPLIT(D689, "" ""), COLUMNS(SPLIT(D689, "" ""))), """"), index(SPLIT(D689, "" ""), COLUMNS(SPLIT(D689, "" ""))-1), """"))"),"Боринська")</f>
        <v>Боринська</v>
      </c>
    </row>
    <row r="690" spans="1:17" ht="38">
      <c r="A690" s="2"/>
      <c r="B690" s="2" t="s">
        <v>1597</v>
      </c>
      <c r="C690" s="2" t="s">
        <v>1690</v>
      </c>
      <c r="D690" s="2" t="s">
        <v>1694</v>
      </c>
      <c r="E690" s="2"/>
      <c r="F690" s="2" t="s">
        <v>28</v>
      </c>
      <c r="G690" s="2">
        <v>32</v>
      </c>
      <c r="H690" s="2">
        <v>215.8</v>
      </c>
      <c r="I690" s="2">
        <v>17999</v>
      </c>
      <c r="J690" s="2" t="s">
        <v>143</v>
      </c>
      <c r="K690" s="2">
        <v>9</v>
      </c>
      <c r="L690" s="2" t="s">
        <v>1695</v>
      </c>
      <c r="Q690" s="4" t="str">
        <f ca="1">IFERROR(__xludf.DUMMYFUNCTION("TRIM(SUBSTITUTE(SUBSTITUTE(D690, index(SPLIT(D690, "" ""), COLUMNS(SPLIT(D690, "" ""))), """"), index(SPLIT(D690, "" ""), COLUMNS(SPLIT(D690, "" ""))-1), """"))"),"Бісковицька")</f>
        <v>Бісковицька</v>
      </c>
    </row>
    <row r="691" spans="1:17" ht="63">
      <c r="A691" s="2"/>
      <c r="B691" s="2" t="s">
        <v>1597</v>
      </c>
      <c r="C691" s="2" t="s">
        <v>1690</v>
      </c>
      <c r="D691" s="2" t="s">
        <v>1696</v>
      </c>
      <c r="E691" s="2"/>
      <c r="F691" s="2" t="s">
        <v>20</v>
      </c>
      <c r="G691" s="2">
        <v>37</v>
      </c>
      <c r="H691" s="2">
        <v>293.89999999999998</v>
      </c>
      <c r="I691" s="2">
        <v>19868</v>
      </c>
      <c r="J691" s="2" t="s">
        <v>1697</v>
      </c>
      <c r="K691" s="2">
        <v>13</v>
      </c>
      <c r="L691" s="2" t="s">
        <v>1698</v>
      </c>
      <c r="Q691" s="4" t="str">
        <f ca="1">IFERROR(__xludf.DUMMYFUNCTION("TRIM(SUBSTITUTE(SUBSTITUTE(D691, index(SPLIT(D691, "" ""), COLUMNS(SPLIT(D691, "" ""))), """"), index(SPLIT(D691, "" ""), COLUMNS(SPLIT(D691, "" ""))-1), """"))"),"Добромильська")</f>
        <v>Добромильська</v>
      </c>
    </row>
    <row r="692" spans="1:17" ht="50.5">
      <c r="A692" s="2"/>
      <c r="B692" s="2" t="s">
        <v>1597</v>
      </c>
      <c r="C692" s="2" t="s">
        <v>1690</v>
      </c>
      <c r="D692" s="2" t="s">
        <v>1699</v>
      </c>
      <c r="E692" s="2"/>
      <c r="F692" s="2" t="s">
        <v>20</v>
      </c>
      <c r="G692" s="2">
        <v>25</v>
      </c>
      <c r="H692" s="2">
        <v>252.1</v>
      </c>
      <c r="I692" s="2">
        <v>14227</v>
      </c>
      <c r="J692" s="2" t="s">
        <v>143</v>
      </c>
      <c r="K692" s="2">
        <v>11</v>
      </c>
      <c r="L692" s="2" t="s">
        <v>1700</v>
      </c>
      <c r="Q692" s="4" t="str">
        <f ca="1">IFERROR(__xludf.DUMMYFUNCTION("TRIM(SUBSTITUTE(SUBSTITUTE(D692, index(SPLIT(D692, "" ""), COLUMNS(SPLIT(D692, "" ""))), """"), index(SPLIT(D692, "" ""), COLUMNS(SPLIT(D692, "" ""))-1), """"))"),"Новокалинівська")</f>
        <v>Новокалинівська</v>
      </c>
    </row>
    <row r="693" spans="1:17" ht="38">
      <c r="A693" s="2"/>
      <c r="B693" s="2" t="s">
        <v>1597</v>
      </c>
      <c r="C693" s="2" t="s">
        <v>1690</v>
      </c>
      <c r="D693" s="2" t="s">
        <v>1701</v>
      </c>
      <c r="E693" s="2"/>
      <c r="F693" s="2" t="s">
        <v>28</v>
      </c>
      <c r="G693" s="2">
        <v>23</v>
      </c>
      <c r="H693" s="2">
        <v>229.3</v>
      </c>
      <c r="I693" s="2">
        <v>13061</v>
      </c>
      <c r="J693" s="2" t="s">
        <v>1702</v>
      </c>
      <c r="K693" s="2">
        <v>7</v>
      </c>
      <c r="L693" s="2" t="s">
        <v>1703</v>
      </c>
      <c r="Q693" s="4" t="str">
        <f ca="1">IFERROR(__xludf.DUMMYFUNCTION("TRIM(SUBSTITUTE(SUBSTITUTE(D693, index(SPLIT(D693, "" ""), COLUMNS(SPLIT(D693, "" ""))), """"), index(SPLIT(D693, "" ""), COLUMNS(SPLIT(D693, "" ""))-1), """"))"),"Ралівська")</f>
        <v>Ралівська</v>
      </c>
    </row>
    <row r="694" spans="1:17" ht="63">
      <c r="A694" s="2"/>
      <c r="B694" s="2" t="s">
        <v>1597</v>
      </c>
      <c r="C694" s="2" t="s">
        <v>1690</v>
      </c>
      <c r="D694" s="2" t="s">
        <v>1704</v>
      </c>
      <c r="E694" s="2"/>
      <c r="F694" s="2" t="s">
        <v>20</v>
      </c>
      <c r="G694" s="2">
        <v>34</v>
      </c>
      <c r="H694" s="2">
        <v>302.8</v>
      </c>
      <c r="I694" s="2">
        <v>25339</v>
      </c>
      <c r="J694" s="2" t="s">
        <v>39</v>
      </c>
      <c r="K694" s="2">
        <v>13</v>
      </c>
      <c r="L694" s="2" t="s">
        <v>1705</v>
      </c>
      <c r="Q694" s="4" t="str">
        <f ca="1">IFERROR(__xludf.DUMMYFUNCTION("TRIM(SUBSTITUTE(SUBSTITUTE(D694, index(SPLIT(D694, "" ""), COLUMNS(SPLIT(D694, "" ""))), """"), index(SPLIT(D694, "" ""), COLUMNS(SPLIT(D694, "" ""))-1), """"))"),"Рудківська")</f>
        <v>Рудківська</v>
      </c>
    </row>
    <row r="695" spans="1:17" ht="38">
      <c r="A695" s="2"/>
      <c r="B695" s="2" t="s">
        <v>1597</v>
      </c>
      <c r="C695" s="2" t="s">
        <v>1690</v>
      </c>
      <c r="D695" s="2" t="s">
        <v>1706</v>
      </c>
      <c r="E695" s="2"/>
      <c r="F695" s="2" t="s">
        <v>20</v>
      </c>
      <c r="G695" s="2">
        <v>5</v>
      </c>
      <c r="H695" s="2">
        <v>42.2</v>
      </c>
      <c r="I695" s="2">
        <v>36979</v>
      </c>
      <c r="J695" s="2" t="s">
        <v>1707</v>
      </c>
      <c r="K695" s="2">
        <v>2</v>
      </c>
      <c r="L695" s="2" t="s">
        <v>1708</v>
      </c>
      <c r="Q695" s="4" t="str">
        <f ca="1">IFERROR(__xludf.DUMMYFUNCTION("TRIM(SUBSTITUTE(SUBSTITUTE(D695, index(SPLIT(D695, "" ""), COLUMNS(SPLIT(D695, "" ""))), """"), index(SPLIT(D695, "" ""), COLUMNS(SPLIT(D695, "" ""))-1), """"))"),"Самбірська")</f>
        <v>Самбірська</v>
      </c>
    </row>
    <row r="696" spans="1:17" ht="50.5">
      <c r="A696" s="2"/>
      <c r="B696" s="2" t="s">
        <v>1597</v>
      </c>
      <c r="C696" s="2" t="s">
        <v>1690</v>
      </c>
      <c r="D696" s="2" t="s">
        <v>1709</v>
      </c>
      <c r="E696" s="2"/>
      <c r="F696" s="2" t="s">
        <v>20</v>
      </c>
      <c r="G696" s="2">
        <v>26</v>
      </c>
      <c r="H696" s="2">
        <v>335.8</v>
      </c>
      <c r="I696" s="2">
        <v>21173</v>
      </c>
      <c r="J696" s="2" t="s">
        <v>1710</v>
      </c>
      <c r="K696" s="2">
        <v>11</v>
      </c>
      <c r="L696" s="2" t="s">
        <v>1711</v>
      </c>
      <c r="Q696" s="4" t="str">
        <f ca="1">IFERROR(__xludf.DUMMYFUNCTION("TRIM(SUBSTITUTE(SUBSTITUTE(D696, index(SPLIT(D696, "" ""), COLUMNS(SPLIT(D696, "" ""))), """"), index(SPLIT(D696, "" ""), COLUMNS(SPLIT(D696, "" ""))-1), """"))"),"Старосамбірська")</f>
        <v>Старосамбірська</v>
      </c>
    </row>
    <row r="697" spans="1:17" ht="50.5">
      <c r="A697" s="2"/>
      <c r="B697" s="2" t="s">
        <v>1597</v>
      </c>
      <c r="C697" s="2" t="s">
        <v>1690</v>
      </c>
      <c r="D697" s="2" t="s">
        <v>1712</v>
      </c>
      <c r="E697" s="2"/>
      <c r="F697" s="2" t="s">
        <v>28</v>
      </c>
      <c r="G697" s="2">
        <v>21</v>
      </c>
      <c r="H697" s="2">
        <v>320.39999999999998</v>
      </c>
      <c r="I697" s="2">
        <v>14349</v>
      </c>
      <c r="J697" s="2" t="s">
        <v>1713</v>
      </c>
      <c r="K697" s="2">
        <v>10</v>
      </c>
      <c r="L697" s="2" t="s">
        <v>1714</v>
      </c>
      <c r="Q697" s="4" t="str">
        <f ca="1">IFERROR(__xludf.DUMMYFUNCTION("TRIM(SUBSTITUTE(SUBSTITUTE(D697, index(SPLIT(D697, "" ""), COLUMNS(SPLIT(D697, "" ""))), """"), index(SPLIT(D697, "" ""), COLUMNS(SPLIT(D697, "" ""))-1), """"))"),"Стрілківська")</f>
        <v>Стрілківська</v>
      </c>
    </row>
    <row r="698" spans="1:17" ht="63">
      <c r="A698" s="2"/>
      <c r="B698" s="2" t="s">
        <v>1597</v>
      </c>
      <c r="C698" s="2" t="s">
        <v>1690</v>
      </c>
      <c r="D698" s="2" t="s">
        <v>1715</v>
      </c>
      <c r="E698" s="2"/>
      <c r="F698" s="2" t="s">
        <v>20</v>
      </c>
      <c r="G698" s="2">
        <v>25</v>
      </c>
      <c r="H698" s="2">
        <v>398.8</v>
      </c>
      <c r="I698" s="2">
        <v>22529</v>
      </c>
      <c r="J698" s="2" t="s">
        <v>1716</v>
      </c>
      <c r="K698" s="2">
        <v>14</v>
      </c>
      <c r="L698" s="2" t="s">
        <v>1717</v>
      </c>
      <c r="Q698" s="4" t="str">
        <f ca="1">IFERROR(__xludf.DUMMYFUNCTION("TRIM(SUBSTITUTE(SUBSTITUTE(D698, index(SPLIT(D698, "" ""), COLUMNS(SPLIT(D698, "" ""))), """"), index(SPLIT(D698, "" ""), COLUMNS(SPLIT(D698, "" ""))-1), """"))"),"Турківська")</f>
        <v>Турківська</v>
      </c>
    </row>
    <row r="699" spans="1:17" ht="38">
      <c r="A699" s="2"/>
      <c r="B699" s="2" t="s">
        <v>1597</v>
      </c>
      <c r="C699" s="2" t="s">
        <v>1690</v>
      </c>
      <c r="D699" s="2" t="s">
        <v>1718</v>
      </c>
      <c r="E699" s="2"/>
      <c r="F699" s="2" t="s">
        <v>20</v>
      </c>
      <c r="G699" s="2">
        <v>25</v>
      </c>
      <c r="H699" s="2">
        <v>218</v>
      </c>
      <c r="I699" s="2">
        <v>15231</v>
      </c>
      <c r="J699" s="2" t="s">
        <v>1719</v>
      </c>
      <c r="K699" s="2">
        <v>8</v>
      </c>
      <c r="L699" s="2" t="s">
        <v>1720</v>
      </c>
      <c r="Q699" s="4" t="str">
        <f ca="1">IFERROR(__xludf.DUMMYFUNCTION("TRIM(SUBSTITUTE(SUBSTITUTE(D699, index(SPLIT(D699, "" ""), COLUMNS(SPLIT(D699, "" ""))), """"), index(SPLIT(D699, "" ""), COLUMNS(SPLIT(D699, "" ""))-1), """"))"),"Хирівська")</f>
        <v>Хирівська</v>
      </c>
    </row>
    <row r="700" spans="1:17" ht="38">
      <c r="A700" s="2"/>
      <c r="B700" s="2" t="s">
        <v>1597</v>
      </c>
      <c r="C700" s="2" t="s">
        <v>1721</v>
      </c>
      <c r="D700" s="2" t="s">
        <v>1722</v>
      </c>
      <c r="E700" s="2"/>
      <c r="F700" s="2" t="s">
        <v>32</v>
      </c>
      <c r="G700" s="2">
        <v>13</v>
      </c>
      <c r="H700" s="2">
        <v>105.9</v>
      </c>
      <c r="I700" s="2">
        <v>7118</v>
      </c>
      <c r="J700" s="2" t="s">
        <v>143</v>
      </c>
      <c r="K700" s="2">
        <v>4</v>
      </c>
      <c r="L700" s="2" t="s">
        <v>1723</v>
      </c>
      <c r="Q700" s="4" t="str">
        <f ca="1">IFERROR(__xludf.DUMMYFUNCTION("TRIM(SUBSTITUTE(SUBSTITUTE(D700, index(SPLIT(D700, "" ""), COLUMNS(SPLIT(D700, "" ""))), """"), index(SPLIT(D700, "" ""), COLUMNS(SPLIT(D700, "" ""))-1), """"))"),"Гніздичівська")</f>
        <v>Гніздичівська</v>
      </c>
    </row>
    <row r="701" spans="1:17" ht="50.5">
      <c r="A701" s="2"/>
      <c r="B701" s="2" t="s">
        <v>1597</v>
      </c>
      <c r="C701" s="2" t="s">
        <v>1721</v>
      </c>
      <c r="D701" s="2" t="s">
        <v>1724</v>
      </c>
      <c r="E701" s="2"/>
      <c r="F701" s="2" t="s">
        <v>28</v>
      </c>
      <c r="G701" s="2">
        <v>12</v>
      </c>
      <c r="H701" s="2">
        <v>152.1</v>
      </c>
      <c r="I701" s="2">
        <v>12201</v>
      </c>
      <c r="J701" s="2" t="s">
        <v>143</v>
      </c>
      <c r="K701" s="2">
        <v>9</v>
      </c>
      <c r="L701" s="2" t="s">
        <v>1725</v>
      </c>
      <c r="Q701" s="4" t="str">
        <f ca="1">IFERROR(__xludf.DUMMYFUNCTION("TRIM(SUBSTITUTE(SUBSTITUTE(D701, index(SPLIT(D701, "" ""), COLUMNS(SPLIT(D701, "" ""))), """"), index(SPLIT(D701, "" ""), COLUMNS(SPLIT(D701, "" ""))-1), """"))"),"Грабовецько-Дулібівська")</f>
        <v>Грабовецько-Дулібівська</v>
      </c>
    </row>
    <row r="702" spans="1:17" ht="38">
      <c r="A702" s="2"/>
      <c r="B702" s="2" t="s">
        <v>1597</v>
      </c>
      <c r="C702" s="2" t="s">
        <v>1721</v>
      </c>
      <c r="D702" s="2" t="s">
        <v>1726</v>
      </c>
      <c r="E702" s="2"/>
      <c r="F702" s="2" t="s">
        <v>20</v>
      </c>
      <c r="G702" s="2">
        <v>18</v>
      </c>
      <c r="H702" s="2">
        <v>178.4</v>
      </c>
      <c r="I702" s="2">
        <v>17682</v>
      </c>
      <c r="J702" s="2" t="s">
        <v>1727</v>
      </c>
      <c r="K702" s="2">
        <v>5</v>
      </c>
      <c r="L702" s="2" t="s">
        <v>1728</v>
      </c>
      <c r="Q702" s="4" t="str">
        <f ca="1">IFERROR(__xludf.DUMMYFUNCTION("TRIM(SUBSTITUTE(SUBSTITUTE(D702, index(SPLIT(D702, "" ""), COLUMNS(SPLIT(D702, "" ""))), """"), index(SPLIT(D702, "" ""), COLUMNS(SPLIT(D702, "" ""))-1), """"))"),"Жидачівська")</f>
        <v>Жидачівська</v>
      </c>
    </row>
    <row r="703" spans="1:17" ht="50.5">
      <c r="A703" s="2"/>
      <c r="B703" s="2" t="s">
        <v>1597</v>
      </c>
      <c r="C703" s="2" t="s">
        <v>1721</v>
      </c>
      <c r="D703" s="2" t="s">
        <v>1729</v>
      </c>
      <c r="E703" s="2"/>
      <c r="F703" s="2" t="s">
        <v>32</v>
      </c>
      <c r="G703" s="2">
        <v>27</v>
      </c>
      <c r="H703" s="2">
        <v>279.10000000000002</v>
      </c>
      <c r="I703" s="2">
        <v>11767</v>
      </c>
      <c r="J703" s="2" t="s">
        <v>1730</v>
      </c>
      <c r="K703" s="2">
        <v>8</v>
      </c>
      <c r="L703" s="2" t="s">
        <v>1731</v>
      </c>
      <c r="Q703" s="4" t="str">
        <f ca="1">IFERROR(__xludf.DUMMYFUNCTION("TRIM(SUBSTITUTE(SUBSTITUTE(D703, index(SPLIT(D703, "" ""), COLUMNS(SPLIT(D703, "" ""))), """"), index(SPLIT(D703, "" ""), COLUMNS(SPLIT(D703, "" ""))-1), """"))"),"Журавненська")</f>
        <v>Журавненська</v>
      </c>
    </row>
    <row r="704" spans="1:17" ht="63">
      <c r="A704" s="2"/>
      <c r="B704" s="2" t="s">
        <v>1597</v>
      </c>
      <c r="C704" s="2" t="s">
        <v>1721</v>
      </c>
      <c r="D704" s="2" t="s">
        <v>1732</v>
      </c>
      <c r="E704" s="2"/>
      <c r="F704" s="2" t="s">
        <v>28</v>
      </c>
      <c r="G704" s="2">
        <v>24</v>
      </c>
      <c r="H704" s="2">
        <v>420.9</v>
      </c>
      <c r="I704" s="2">
        <v>11471</v>
      </c>
      <c r="J704" s="2" t="s">
        <v>1733</v>
      </c>
      <c r="K704" s="2">
        <v>15</v>
      </c>
      <c r="L704" s="2" t="s">
        <v>1734</v>
      </c>
      <c r="Q704" s="4" t="str">
        <f ca="1">IFERROR(__xludf.DUMMYFUNCTION("TRIM(SUBSTITUTE(SUBSTITUTE(D704, index(SPLIT(D704, "" ""), COLUMNS(SPLIT(D704, "" ""))), """"), index(SPLIT(D704, "" ""), COLUMNS(SPLIT(D704, "" ""))-1), """"))"),"Козівська")</f>
        <v>Козівська</v>
      </c>
    </row>
    <row r="705" spans="1:17" ht="50.5">
      <c r="A705" s="2"/>
      <c r="B705" s="2" t="s">
        <v>1597</v>
      </c>
      <c r="C705" s="2" t="s">
        <v>1721</v>
      </c>
      <c r="D705" s="2" t="s">
        <v>297</v>
      </c>
      <c r="E705" s="2"/>
      <c r="F705" s="2" t="s">
        <v>20</v>
      </c>
      <c r="G705" s="2">
        <v>24</v>
      </c>
      <c r="H705" s="2">
        <v>304.60000000000002</v>
      </c>
      <c r="I705" s="2">
        <v>33307</v>
      </c>
      <c r="J705" s="2" t="s">
        <v>1735</v>
      </c>
      <c r="K705" s="2">
        <v>11</v>
      </c>
      <c r="L705" s="2" t="s">
        <v>1736</v>
      </c>
      <c r="Q705" s="4" t="str">
        <f ca="1">IFERROR(__xludf.DUMMYFUNCTION("TRIM(SUBSTITUTE(SUBSTITUTE(D705, index(SPLIT(D705, "" ""), COLUMNS(SPLIT(D705, "" ""))), """"), index(SPLIT(D705, "" ""), COLUMNS(SPLIT(D705, "" ""))-1), """"))"),"Миколаївська")</f>
        <v>Миколаївська</v>
      </c>
    </row>
    <row r="706" spans="1:17" ht="38">
      <c r="A706" s="2"/>
      <c r="B706" s="2" t="s">
        <v>1597</v>
      </c>
      <c r="C706" s="2" t="s">
        <v>1721</v>
      </c>
      <c r="D706" s="2" t="s">
        <v>1737</v>
      </c>
      <c r="E706" s="2"/>
      <c r="F706" s="2" t="s">
        <v>20</v>
      </c>
      <c r="G706" s="2">
        <v>14</v>
      </c>
      <c r="H706" s="2">
        <v>122.2</v>
      </c>
      <c r="I706" s="2">
        <v>14388</v>
      </c>
      <c r="J706" s="2" t="s">
        <v>1738</v>
      </c>
      <c r="K706" s="2">
        <v>5</v>
      </c>
      <c r="L706" s="2" t="s">
        <v>1739</v>
      </c>
      <c r="Q706" s="4" t="str">
        <f ca="1">IFERROR(__xludf.DUMMYFUNCTION("TRIM(SUBSTITUTE(SUBSTITUTE(D706, index(SPLIT(D706, "" ""), COLUMNS(SPLIT(D706, "" ""))), """"), index(SPLIT(D706, "" ""), COLUMNS(SPLIT(D706, "" ""))-1), """"))"),"Моршинська")</f>
        <v>Моршинська</v>
      </c>
    </row>
    <row r="707" spans="1:17" ht="50.5">
      <c r="A707" s="2"/>
      <c r="B707" s="2" t="s">
        <v>1597</v>
      </c>
      <c r="C707" s="2" t="s">
        <v>1721</v>
      </c>
      <c r="D707" s="2" t="s">
        <v>1740</v>
      </c>
      <c r="E707" s="2"/>
      <c r="F707" s="2" t="s">
        <v>20</v>
      </c>
      <c r="G707" s="2">
        <v>10</v>
      </c>
      <c r="H707" s="2">
        <v>100.8</v>
      </c>
      <c r="I707" s="2">
        <v>36945</v>
      </c>
      <c r="J707" s="2" t="s">
        <v>1741</v>
      </c>
      <c r="K707" s="2">
        <v>6</v>
      </c>
      <c r="L707" s="2" t="s">
        <v>1742</v>
      </c>
      <c r="Q707" s="4" t="str">
        <f ca="1">IFERROR(__xludf.DUMMYFUNCTION("TRIM(SUBSTITUTE(SUBSTITUTE(D707, index(SPLIT(D707, "" ""), COLUMNS(SPLIT(D707, "" ""))), """"), index(SPLIT(D707, "" ""), COLUMNS(SPLIT(D707, "" ""))-1), """"))"),"Новороздільська")</f>
        <v>Новороздільська</v>
      </c>
    </row>
    <row r="708" spans="1:17" ht="38">
      <c r="A708" s="2"/>
      <c r="B708" s="2" t="s">
        <v>1597</v>
      </c>
      <c r="C708" s="2" t="s">
        <v>1721</v>
      </c>
      <c r="D708" s="2" t="s">
        <v>1743</v>
      </c>
      <c r="E708" s="2"/>
      <c r="F708" s="2" t="s">
        <v>28</v>
      </c>
      <c r="G708" s="2">
        <v>9</v>
      </c>
      <c r="H708" s="2">
        <v>107.1</v>
      </c>
      <c r="I708" s="2">
        <v>12052</v>
      </c>
      <c r="J708" s="2" t="s">
        <v>63</v>
      </c>
      <c r="K708" s="2">
        <v>6</v>
      </c>
      <c r="L708" s="2" t="s">
        <v>1744</v>
      </c>
      <c r="Q708" s="4" t="str">
        <f ca="1">IFERROR(__xludf.DUMMYFUNCTION("TRIM(SUBSTITUTE(SUBSTITUTE(D708, index(SPLIT(D708, "" ""), COLUMNS(SPLIT(D708, "" ""))), """"), index(SPLIT(D708, "" ""), COLUMNS(SPLIT(D708, "" ""))-1), """"))"),"Розвадівська")</f>
        <v>Розвадівська</v>
      </c>
    </row>
    <row r="709" spans="1:17" ht="50.5">
      <c r="A709" s="2"/>
      <c r="B709" s="2" t="s">
        <v>1597</v>
      </c>
      <c r="C709" s="2" t="s">
        <v>1721</v>
      </c>
      <c r="D709" s="2" t="s">
        <v>1745</v>
      </c>
      <c r="E709" s="2"/>
      <c r="F709" s="2" t="s">
        <v>20</v>
      </c>
      <c r="G709" s="2">
        <v>17</v>
      </c>
      <c r="H709" s="2">
        <v>581.29999999999995</v>
      </c>
      <c r="I709" s="2">
        <v>20262</v>
      </c>
      <c r="J709" s="2" t="s">
        <v>1746</v>
      </c>
      <c r="K709" s="2">
        <v>11</v>
      </c>
      <c r="L709" s="2" t="s">
        <v>1747</v>
      </c>
      <c r="Q709" s="4" t="str">
        <f ca="1">IFERROR(__xludf.DUMMYFUNCTION("TRIM(SUBSTITUTE(SUBSTITUTE(D709, index(SPLIT(D709, "" ""), COLUMNS(SPLIT(D709, "" ""))), """"), index(SPLIT(D709, "" ""), COLUMNS(SPLIT(D709, "" ""))-1), """"))"),"Сколівська")</f>
        <v>Сколівська</v>
      </c>
    </row>
    <row r="710" spans="1:17" ht="50.5">
      <c r="A710" s="2"/>
      <c r="B710" s="2" t="s">
        <v>1597</v>
      </c>
      <c r="C710" s="2" t="s">
        <v>1721</v>
      </c>
      <c r="D710" s="2" t="s">
        <v>1748</v>
      </c>
      <c r="E710" s="2"/>
      <c r="F710" s="2" t="s">
        <v>32</v>
      </c>
      <c r="G710" s="2">
        <v>16</v>
      </c>
      <c r="H710" s="2">
        <v>429.9</v>
      </c>
      <c r="I710" s="2">
        <v>14217</v>
      </c>
      <c r="J710" s="2" t="s">
        <v>39</v>
      </c>
      <c r="K710" s="2">
        <v>9</v>
      </c>
      <c r="L710" s="2" t="s">
        <v>1749</v>
      </c>
      <c r="Q710" s="4" t="str">
        <f ca="1">IFERROR(__xludf.DUMMYFUNCTION("TRIM(SUBSTITUTE(SUBSTITUTE(D710, index(SPLIT(D710, "" ""), COLUMNS(SPLIT(D710, "" ""))), """"), index(SPLIT(D710, "" ""), COLUMNS(SPLIT(D710, "" ""))-1), """"))"),"Славська")</f>
        <v>Славська</v>
      </c>
    </row>
    <row r="711" spans="1:17" ht="125.5">
      <c r="A711" s="2"/>
      <c r="B711" s="2" t="s">
        <v>1597</v>
      </c>
      <c r="C711" s="2" t="s">
        <v>1721</v>
      </c>
      <c r="D711" s="2" t="s">
        <v>1750</v>
      </c>
      <c r="E711" s="2"/>
      <c r="F711" s="2" t="s">
        <v>20</v>
      </c>
      <c r="G711" s="2">
        <v>47</v>
      </c>
      <c r="H711" s="2">
        <v>551.1</v>
      </c>
      <c r="I711" s="2">
        <v>99050</v>
      </c>
      <c r="J711" s="2" t="s">
        <v>1751</v>
      </c>
      <c r="K711" s="2">
        <v>28</v>
      </c>
      <c r="L711" s="2" t="s">
        <v>1752</v>
      </c>
      <c r="Q711" s="4" t="str">
        <f ca="1">IFERROR(__xludf.DUMMYFUNCTION("TRIM(SUBSTITUTE(SUBSTITUTE(D711, index(SPLIT(D711, "" ""), COLUMNS(SPLIT(D711, "" ""))), """"), index(SPLIT(D711, "" ""), COLUMNS(SPLIT(D711, "" ""))-1), """"))"),"Стрийська")</f>
        <v>Стрийська</v>
      </c>
    </row>
    <row r="712" spans="1:17" ht="50.5">
      <c r="A712" s="2"/>
      <c r="B712" s="2" t="s">
        <v>1597</v>
      </c>
      <c r="C712" s="2" t="s">
        <v>1721</v>
      </c>
      <c r="D712" s="2" t="s">
        <v>92</v>
      </c>
      <c r="E712" s="2"/>
      <c r="F712" s="2" t="s">
        <v>28</v>
      </c>
      <c r="G712" s="2">
        <v>17</v>
      </c>
      <c r="H712" s="2">
        <v>187.6</v>
      </c>
      <c r="I712" s="2">
        <v>7991</v>
      </c>
      <c r="J712" s="2" t="s">
        <v>143</v>
      </c>
      <c r="K712" s="2">
        <v>8</v>
      </c>
      <c r="L712" s="2" t="s">
        <v>1753</v>
      </c>
      <c r="Q712" s="4" t="str">
        <f ca="1">IFERROR(__xludf.DUMMYFUNCTION("TRIM(SUBSTITUTE(SUBSTITUTE(D712, index(SPLIT(D712, "" ""), COLUMNS(SPLIT(D712, "" ""))), """"), index(SPLIT(D712, "" ""), COLUMNS(SPLIT(D712, "" ""))-1), """"))"),"Тростянецька")</f>
        <v>Тростянецька</v>
      </c>
    </row>
    <row r="713" spans="1:17" ht="63">
      <c r="A713" s="2"/>
      <c r="B713" s="2" t="s">
        <v>1597</v>
      </c>
      <c r="C713" s="2" t="s">
        <v>1721</v>
      </c>
      <c r="D713" s="2" t="s">
        <v>1754</v>
      </c>
      <c r="E713" s="2"/>
      <c r="F713" s="2" t="s">
        <v>20</v>
      </c>
      <c r="G713" s="2">
        <v>44</v>
      </c>
      <c r="H713" s="2">
        <v>333</v>
      </c>
      <c r="I713" s="2">
        <v>24402</v>
      </c>
      <c r="J713" s="2" t="s">
        <v>254</v>
      </c>
      <c r="K713" s="2">
        <v>13</v>
      </c>
      <c r="L713" s="2" t="s">
        <v>1755</v>
      </c>
      <c r="Q713" s="4" t="str">
        <f ca="1">IFERROR(__xludf.DUMMYFUNCTION("TRIM(SUBSTITUTE(SUBSTITUTE(D713, index(SPLIT(D713, "" ""), COLUMNS(SPLIT(D713, "" ""))), """"), index(SPLIT(D713, "" ""), COLUMNS(SPLIT(D713, "" ""))-1), """"))"),"Ходорівська")</f>
        <v>Ходорівська</v>
      </c>
    </row>
    <row r="714" spans="1:17" ht="38">
      <c r="A714" s="2"/>
      <c r="B714" s="2" t="s">
        <v>1597</v>
      </c>
      <c r="C714" s="2" t="s">
        <v>1756</v>
      </c>
      <c r="D714" s="2" t="s">
        <v>1757</v>
      </c>
      <c r="E714" s="2"/>
      <c r="F714" s="2" t="s">
        <v>20</v>
      </c>
      <c r="G714" s="2">
        <v>24</v>
      </c>
      <c r="H714" s="2">
        <v>464.5</v>
      </c>
      <c r="I714" s="2">
        <v>14664</v>
      </c>
      <c r="J714" s="2" t="s">
        <v>1758</v>
      </c>
      <c r="K714" s="2">
        <v>9</v>
      </c>
      <c r="L714" s="2" t="s">
        <v>1759</v>
      </c>
      <c r="Q714" s="4" t="str">
        <f ca="1">IFERROR(__xludf.DUMMYFUNCTION("TRIM(SUBSTITUTE(SUBSTITUTE(D714, index(SPLIT(D714, "" ""), COLUMNS(SPLIT(D714, "" ""))), """"), index(SPLIT(D714, "" ""), COLUMNS(SPLIT(D714, "" ""))-1), """"))"),"Белзька")</f>
        <v>Белзька</v>
      </c>
    </row>
    <row r="715" spans="1:17" ht="50.5">
      <c r="A715" s="2"/>
      <c r="B715" s="2" t="s">
        <v>1597</v>
      </c>
      <c r="C715" s="2" t="s">
        <v>1756</v>
      </c>
      <c r="D715" s="2" t="s">
        <v>1760</v>
      </c>
      <c r="E715" s="2"/>
      <c r="F715" s="2" t="s">
        <v>20</v>
      </c>
      <c r="G715" s="2">
        <v>17</v>
      </c>
      <c r="H715" s="2">
        <v>314.5</v>
      </c>
      <c r="I715" s="2">
        <v>16055</v>
      </c>
      <c r="J715" s="2" t="s">
        <v>39</v>
      </c>
      <c r="K715" s="2">
        <v>6</v>
      </c>
      <c r="L715" s="2" t="s">
        <v>1761</v>
      </c>
      <c r="Q715" s="4" t="str">
        <f ca="1">IFERROR(__xludf.DUMMYFUNCTION("TRIM(SUBSTITUTE(SUBSTITUTE(D715, index(SPLIT(D715, "" ""), COLUMNS(SPLIT(D715, "" ""))), """"), index(SPLIT(D715, "" ""), COLUMNS(SPLIT(D715, "" ""))-1), """"))"),"Великомостівська")</f>
        <v>Великомостівська</v>
      </c>
    </row>
    <row r="716" spans="1:17" ht="50.5">
      <c r="A716" s="2"/>
      <c r="B716" s="2" t="s">
        <v>1597</v>
      </c>
      <c r="C716" s="2" t="s">
        <v>1756</v>
      </c>
      <c r="D716" s="2" t="s">
        <v>1762</v>
      </c>
      <c r="E716" s="2"/>
      <c r="F716" s="2" t="s">
        <v>32</v>
      </c>
      <c r="G716" s="2">
        <v>20</v>
      </c>
      <c r="H716" s="2">
        <v>199</v>
      </c>
      <c r="I716" s="2">
        <v>11368</v>
      </c>
      <c r="J716" s="2" t="s">
        <v>1763</v>
      </c>
      <c r="K716" s="2">
        <v>5</v>
      </c>
      <c r="L716" s="2" t="s">
        <v>1764</v>
      </c>
      <c r="Q716" s="4" t="str">
        <f ca="1">IFERROR(__xludf.DUMMYFUNCTION("TRIM(SUBSTITUTE(SUBSTITUTE(D716, index(SPLIT(D716, "" ""), COLUMNS(SPLIT(D716, "" ""))), """"), index(SPLIT(D716, "" ""), COLUMNS(SPLIT(D716, "" ""))-1), """"))"),"Добротвірська")</f>
        <v>Добротвірська</v>
      </c>
    </row>
    <row r="717" spans="1:17" ht="50.5">
      <c r="A717" s="2"/>
      <c r="B717" s="2" t="s">
        <v>1597</v>
      </c>
      <c r="C717" s="2" t="s">
        <v>1756</v>
      </c>
      <c r="D717" s="2" t="s">
        <v>1765</v>
      </c>
      <c r="E717" s="2"/>
      <c r="F717" s="2" t="s">
        <v>32</v>
      </c>
      <c r="G717" s="2">
        <v>28</v>
      </c>
      <c r="H717" s="2">
        <v>410</v>
      </c>
      <c r="I717" s="2">
        <v>12198</v>
      </c>
      <c r="J717" s="2" t="s">
        <v>249</v>
      </c>
      <c r="K717" s="2">
        <v>12</v>
      </c>
      <c r="L717" s="2" t="s">
        <v>1766</v>
      </c>
      <c r="Q717" s="4" t="str">
        <f ca="1">IFERROR(__xludf.DUMMYFUNCTION("TRIM(SUBSTITUTE(SUBSTITUTE(D717, index(SPLIT(D717, "" ""), COLUMNS(SPLIT(D717, "" ""))), """"), index(SPLIT(D717, "" ""), COLUMNS(SPLIT(D717, "" ""))-1), """"))"),"Лопатинська")</f>
        <v>Лопатинська</v>
      </c>
    </row>
    <row r="718" spans="1:17" ht="88">
      <c r="A718" s="2"/>
      <c r="B718" s="2" t="s">
        <v>1597</v>
      </c>
      <c r="C718" s="2" t="s">
        <v>1756</v>
      </c>
      <c r="D718" s="2" t="s">
        <v>1767</v>
      </c>
      <c r="E718" s="2"/>
      <c r="F718" s="2" t="s">
        <v>20</v>
      </c>
      <c r="G718" s="2">
        <v>42</v>
      </c>
      <c r="H718" s="2">
        <v>708.6</v>
      </c>
      <c r="I718" s="2">
        <v>33264</v>
      </c>
      <c r="J718" s="2" t="s">
        <v>249</v>
      </c>
      <c r="K718" s="2">
        <v>20</v>
      </c>
      <c r="L718" s="2" t="s">
        <v>1768</v>
      </c>
      <c r="Q718" s="4" t="str">
        <f ca="1">IFERROR(__xludf.DUMMYFUNCTION("TRIM(SUBSTITUTE(SUBSTITUTE(D718, index(SPLIT(D718, "" ""), COLUMNS(SPLIT(D718, "" ""))), """"), index(SPLIT(D718, "" ""), COLUMNS(SPLIT(D718, "" ""))-1), """"))"),"Радехівська")</f>
        <v>Радехівська</v>
      </c>
    </row>
    <row r="719" spans="1:17" ht="88">
      <c r="A719" s="2"/>
      <c r="B719" s="2" t="s">
        <v>1597</v>
      </c>
      <c r="C719" s="2" t="s">
        <v>1756</v>
      </c>
      <c r="D719" s="2" t="s">
        <v>1769</v>
      </c>
      <c r="E719" s="2"/>
      <c r="F719" s="2" t="s">
        <v>20</v>
      </c>
      <c r="G719" s="2">
        <v>60</v>
      </c>
      <c r="H719" s="2">
        <v>676.5</v>
      </c>
      <c r="I719" s="2">
        <v>52081</v>
      </c>
      <c r="J719" s="2" t="s">
        <v>1770</v>
      </c>
      <c r="K719" s="2">
        <v>20</v>
      </c>
      <c r="L719" s="2" t="s">
        <v>1771</v>
      </c>
      <c r="Q719" s="4" t="str">
        <f ca="1">IFERROR(__xludf.DUMMYFUNCTION("TRIM(SUBSTITUTE(SUBSTITUTE(D719, index(SPLIT(D719, "" ""), COLUMNS(SPLIT(D719, "" ""))), """"), index(SPLIT(D719, "" ""), COLUMNS(SPLIT(D719, "" ""))-1), """"))"),"Сокальська")</f>
        <v>Сокальська</v>
      </c>
    </row>
    <row r="720" spans="1:17" ht="50.5">
      <c r="A720" s="2"/>
      <c r="B720" s="2" t="s">
        <v>1597</v>
      </c>
      <c r="C720" s="2" t="s">
        <v>1756</v>
      </c>
      <c r="D720" s="2" t="s">
        <v>1772</v>
      </c>
      <c r="E720" s="2"/>
      <c r="F720" s="2" t="s">
        <v>20</v>
      </c>
      <c r="G720" s="2">
        <v>14</v>
      </c>
      <c r="H720" s="2">
        <v>228.1</v>
      </c>
      <c r="I720" s="2">
        <v>89315</v>
      </c>
      <c r="J720" s="2" t="s">
        <v>1773</v>
      </c>
      <c r="K720" s="2">
        <v>8</v>
      </c>
      <c r="L720" s="2" t="s">
        <v>1774</v>
      </c>
      <c r="Q720" s="4" t="str">
        <f ca="1">IFERROR(__xludf.DUMMYFUNCTION("TRIM(SUBSTITUTE(SUBSTITUTE(D720, index(SPLIT(D720, "" ""), COLUMNS(SPLIT(D720, "" ""))), """"), index(SPLIT(D720, "" ""), COLUMNS(SPLIT(D720, "" ""))-1), """"))"),"Червоноградська")</f>
        <v>Червоноградська</v>
      </c>
    </row>
    <row r="721" spans="1:17" ht="50.5">
      <c r="A721" s="2"/>
      <c r="B721" s="2" t="s">
        <v>1597</v>
      </c>
      <c r="C721" s="2" t="s">
        <v>1775</v>
      </c>
      <c r="D721" s="2" t="s">
        <v>1069</v>
      </c>
      <c r="E721" s="2"/>
      <c r="F721" s="2" t="s">
        <v>32</v>
      </c>
      <c r="G721" s="2">
        <v>32</v>
      </c>
      <c r="H721" s="2">
        <v>420.6</v>
      </c>
      <c r="I721" s="2">
        <v>19814</v>
      </c>
      <c r="J721" s="2" t="s">
        <v>1776</v>
      </c>
      <c r="K721" s="2">
        <v>9</v>
      </c>
      <c r="L721" s="2" t="s">
        <v>1777</v>
      </c>
      <c r="Q721" s="4" t="str">
        <f ca="1">IFERROR(__xludf.DUMMYFUNCTION("TRIM(SUBSTITUTE(SUBSTITUTE(D721, index(SPLIT(D721, "" ""), COLUMNS(SPLIT(D721, "" ""))), """"), index(SPLIT(D721, "" ""), COLUMNS(SPLIT(D721, "" ""))-1), """"))"),"Івано-Франківська")</f>
        <v>Івано-Франківська</v>
      </c>
    </row>
    <row r="722" spans="1:17" ht="88">
      <c r="A722" s="2"/>
      <c r="B722" s="2" t="s">
        <v>1597</v>
      </c>
      <c r="C722" s="2" t="s">
        <v>1775</v>
      </c>
      <c r="D722" s="2" t="s">
        <v>1778</v>
      </c>
      <c r="E722" s="2"/>
      <c r="F722" s="2" t="s">
        <v>20</v>
      </c>
      <c r="G722" s="2">
        <v>63</v>
      </c>
      <c r="H722" s="2">
        <v>436.6</v>
      </c>
      <c r="I722" s="2">
        <v>32055</v>
      </c>
      <c r="J722" s="2" t="s">
        <v>33</v>
      </c>
      <c r="K722" s="2">
        <v>19</v>
      </c>
      <c r="L722" s="2" t="s">
        <v>1779</v>
      </c>
      <c r="Q722" s="4" t="str">
        <f ca="1">IFERROR(__xludf.DUMMYFUNCTION("TRIM(SUBSTITUTE(SUBSTITUTE(D722, index(SPLIT(D722, "" ""), COLUMNS(SPLIT(D722, "" ""))), """"), index(SPLIT(D722, "" ""), COLUMNS(SPLIT(D722, "" ""))-1), """"))"),"Мостиська")</f>
        <v>Мостиська</v>
      </c>
    </row>
    <row r="723" spans="1:17" ht="50.5">
      <c r="A723" s="2"/>
      <c r="B723" s="2" t="s">
        <v>1597</v>
      </c>
      <c r="C723" s="2" t="s">
        <v>1775</v>
      </c>
      <c r="D723" s="2" t="s">
        <v>1780</v>
      </c>
      <c r="E723" s="2"/>
      <c r="F723" s="2" t="s">
        <v>20</v>
      </c>
      <c r="G723" s="2">
        <v>22</v>
      </c>
      <c r="H723" s="2">
        <v>273.39999999999998</v>
      </c>
      <c r="I723" s="2">
        <v>51564</v>
      </c>
      <c r="J723" s="2" t="s">
        <v>1667</v>
      </c>
      <c r="K723" s="2">
        <v>10</v>
      </c>
      <c r="L723" s="2" t="s">
        <v>1668</v>
      </c>
      <c r="Q723" s="4" t="str">
        <f ca="1">IFERROR(__xludf.DUMMYFUNCTION("TRIM(SUBSTITUTE(SUBSTITUTE(D723, index(SPLIT(D723, "" ""), COLUMNS(SPLIT(D723, "" ""))), """"), index(SPLIT(D723, "" ""), COLUMNS(SPLIT(D723, "" ""))-1), """"))"),"Новояворівська")</f>
        <v>Новояворівська</v>
      </c>
    </row>
    <row r="724" spans="1:17" ht="50.5">
      <c r="A724" s="2"/>
      <c r="B724" s="2" t="s">
        <v>1597</v>
      </c>
      <c r="C724" s="2" t="s">
        <v>1775</v>
      </c>
      <c r="D724" s="2" t="s">
        <v>1781</v>
      </c>
      <c r="E724" s="2"/>
      <c r="F724" s="2" t="s">
        <v>20</v>
      </c>
      <c r="G724" s="2">
        <v>19</v>
      </c>
      <c r="H724" s="2">
        <v>142.69999999999999</v>
      </c>
      <c r="I724" s="2">
        <v>12776</v>
      </c>
      <c r="J724" s="2" t="s">
        <v>33</v>
      </c>
      <c r="K724" s="2">
        <v>5</v>
      </c>
      <c r="L724" s="2" t="s">
        <v>1782</v>
      </c>
      <c r="Q724" s="4" t="str">
        <f ca="1">IFERROR(__xludf.DUMMYFUNCTION("TRIM(SUBSTITUTE(SUBSTITUTE(D724, index(SPLIT(D724, "" ""), COLUMNS(SPLIT(D724, "" ""))), """"), index(SPLIT(D724, "" ""), COLUMNS(SPLIT(D724, "" ""))-1), """"))"),"Судововишнянська")</f>
        <v>Судововишнянська</v>
      </c>
    </row>
    <row r="725" spans="1:17" ht="38">
      <c r="A725" s="2"/>
      <c r="B725" s="2" t="s">
        <v>1597</v>
      </c>
      <c r="C725" s="2" t="s">
        <v>1775</v>
      </c>
      <c r="D725" s="2" t="s">
        <v>1783</v>
      </c>
      <c r="E725" s="2"/>
      <c r="F725" s="2" t="s">
        <v>28</v>
      </c>
      <c r="G725" s="2">
        <v>30</v>
      </c>
      <c r="H725" s="2">
        <v>265.2</v>
      </c>
      <c r="I725" s="2">
        <v>10778</v>
      </c>
      <c r="J725" s="2" t="s">
        <v>33</v>
      </c>
      <c r="K725" s="2">
        <v>9</v>
      </c>
      <c r="L725" s="2" t="s">
        <v>1784</v>
      </c>
      <c r="Q725" s="4" t="str">
        <f ca="1">IFERROR(__xludf.DUMMYFUNCTION("TRIM(SUBSTITUTE(SUBSTITUTE(D725, index(SPLIT(D725, "" ""), COLUMNS(SPLIT(D725, "" ""))), """"), index(SPLIT(D725, "" ""), COLUMNS(SPLIT(D725, "" ""))-1), """"))"),"Шегинівська")</f>
        <v>Шегинівська</v>
      </c>
    </row>
    <row r="726" spans="1:17" ht="88">
      <c r="A726" s="2"/>
      <c r="B726" s="2" t="s">
        <v>1597</v>
      </c>
      <c r="C726" s="2" t="s">
        <v>1775</v>
      </c>
      <c r="D726" s="2" t="s">
        <v>1785</v>
      </c>
      <c r="E726" s="2"/>
      <c r="F726" s="2" t="s">
        <v>20</v>
      </c>
      <c r="G726" s="2">
        <v>82</v>
      </c>
      <c r="H726" s="2">
        <v>834.7</v>
      </c>
      <c r="I726" s="2">
        <v>52232</v>
      </c>
      <c r="J726" s="2" t="s">
        <v>1786</v>
      </c>
      <c r="K726" s="2">
        <v>18</v>
      </c>
      <c r="L726" s="2" t="s">
        <v>1787</v>
      </c>
      <c r="Q726" s="4" t="str">
        <f ca="1">IFERROR(__xludf.DUMMYFUNCTION("TRIM(SUBSTITUTE(SUBSTITUTE(D726, index(SPLIT(D726, "" ""), COLUMNS(SPLIT(D726, "" ""))), """"), index(SPLIT(D726, "" ""), COLUMNS(SPLIT(D726, "" ""))-1), """"))"),"Яворівська")</f>
        <v>Яворівська</v>
      </c>
    </row>
    <row r="727" spans="1:17" ht="38">
      <c r="A727" s="2"/>
      <c r="B727" s="2" t="s">
        <v>1788</v>
      </c>
      <c r="C727" s="2" t="s">
        <v>1789</v>
      </c>
      <c r="D727" s="2" t="s">
        <v>1790</v>
      </c>
      <c r="E727" s="2"/>
      <c r="F727" s="2" t="s">
        <v>28</v>
      </c>
      <c r="G727" s="2">
        <v>15</v>
      </c>
      <c r="H727" s="2">
        <v>477.6</v>
      </c>
      <c r="I727" s="2">
        <v>8434</v>
      </c>
      <c r="J727" s="2" t="s">
        <v>1791</v>
      </c>
      <c r="K727" s="2">
        <v>6</v>
      </c>
      <c r="L727" s="2" t="s">
        <v>1792</v>
      </c>
      <c r="Q727" s="4" t="str">
        <f ca="1">IFERROR(__xludf.DUMMYFUNCTION("TRIM(SUBSTITUTE(SUBSTITUTE(D727, index(SPLIT(D727, "" ""), COLUMNS(SPLIT(D727, "" ""))), """"), index(SPLIT(D727, "" ""), COLUMNS(SPLIT(D727, "" ""))-1), """"))"),"Інгульська")</f>
        <v>Інгульська</v>
      </c>
    </row>
    <row r="728" spans="1:17" ht="38">
      <c r="A728" s="2"/>
      <c r="B728" s="2" t="s">
        <v>1788</v>
      </c>
      <c r="C728" s="2" t="s">
        <v>1789</v>
      </c>
      <c r="D728" s="2" t="s">
        <v>1793</v>
      </c>
      <c r="E728" s="2"/>
      <c r="F728" s="2" t="s">
        <v>20</v>
      </c>
      <c r="G728" s="2">
        <v>26</v>
      </c>
      <c r="H728" s="2">
        <v>760.3</v>
      </c>
      <c r="I728" s="2">
        <v>21940</v>
      </c>
      <c r="J728" s="2" t="s">
        <v>33</v>
      </c>
      <c r="K728" s="2">
        <v>9</v>
      </c>
      <c r="L728" s="2" t="s">
        <v>1794</v>
      </c>
      <c r="Q728" s="4" t="str">
        <f ca="1">IFERROR(__xludf.DUMMYFUNCTION("TRIM(SUBSTITUTE(SUBSTITUTE(D728, index(SPLIT(D728, "" ""), COLUMNS(SPLIT(D728, "" ""))), """"), index(SPLIT(D728, "" ""), COLUMNS(SPLIT(D728, "" ""))-1), """"))"),"Баштанська")</f>
        <v>Баштанська</v>
      </c>
    </row>
    <row r="729" spans="1:17" ht="75.5">
      <c r="A729" s="2"/>
      <c r="B729" s="2" t="s">
        <v>1788</v>
      </c>
      <c r="C729" s="2" t="s">
        <v>1789</v>
      </c>
      <c r="D729" s="2" t="s">
        <v>1795</v>
      </c>
      <c r="E729" s="2"/>
      <c r="F729" s="2" t="s">
        <v>32</v>
      </c>
      <c r="G729" s="2">
        <v>41</v>
      </c>
      <c r="H729" s="2">
        <v>1261.7</v>
      </c>
      <c r="I729" s="2">
        <v>19059</v>
      </c>
      <c r="J729" s="2" t="s">
        <v>46</v>
      </c>
      <c r="K729" s="2">
        <v>15</v>
      </c>
      <c r="L729" s="2" t="s">
        <v>1796</v>
      </c>
      <c r="Q729" s="4" t="str">
        <f ca="1">IFERROR(__xludf.DUMMYFUNCTION("TRIM(SUBSTITUTE(SUBSTITUTE(D729, index(SPLIT(D729, "" ""), COLUMNS(SPLIT(D729, "" ""))), """"), index(SPLIT(D729, "" ""), COLUMNS(SPLIT(D729, "" ""))-1), """"))"),"Березнегуватська")</f>
        <v>Березнегуватська</v>
      </c>
    </row>
    <row r="730" spans="1:17" ht="50.5">
      <c r="A730" s="2"/>
      <c r="B730" s="2" t="s">
        <v>1788</v>
      </c>
      <c r="C730" s="2" t="s">
        <v>1789</v>
      </c>
      <c r="D730" s="2" t="s">
        <v>1797</v>
      </c>
      <c r="E730" s="2"/>
      <c r="F730" s="2" t="s">
        <v>28</v>
      </c>
      <c r="G730" s="2">
        <v>17</v>
      </c>
      <c r="H730" s="2">
        <v>346.7</v>
      </c>
      <c r="I730" s="2">
        <v>3358</v>
      </c>
      <c r="J730" s="2" t="s">
        <v>178</v>
      </c>
      <c r="K730" s="2">
        <v>4</v>
      </c>
      <c r="L730" s="2" t="s">
        <v>1798</v>
      </c>
      <c r="Q730" s="4" t="str">
        <f ca="1">IFERROR(__xludf.DUMMYFUNCTION("TRIM(SUBSTITUTE(SUBSTITUTE(D730, index(SPLIT(D730, "" ""), COLUMNS(SPLIT(D730, "" ""))), """"), index(SPLIT(D730, "" ""), COLUMNS(SPLIT(D730, "" ""))-1), """"))"),"Володимирівська")</f>
        <v>Володимирівська</v>
      </c>
    </row>
    <row r="731" spans="1:17" ht="50.5">
      <c r="A731" s="2"/>
      <c r="B731" s="2" t="s">
        <v>1788</v>
      </c>
      <c r="C731" s="2" t="s">
        <v>1789</v>
      </c>
      <c r="D731" s="2" t="s">
        <v>1799</v>
      </c>
      <c r="E731" s="2"/>
      <c r="F731" s="2" t="s">
        <v>28</v>
      </c>
      <c r="G731" s="2">
        <v>22</v>
      </c>
      <c r="H731" s="2">
        <v>365.6</v>
      </c>
      <c r="I731" s="2">
        <v>5527</v>
      </c>
      <c r="J731" s="2" t="s">
        <v>46</v>
      </c>
      <c r="K731" s="2">
        <v>6</v>
      </c>
      <c r="L731" s="2" t="s">
        <v>1800</v>
      </c>
      <c r="Q731" s="4" t="str">
        <f ca="1">IFERROR(__xludf.DUMMYFUNCTION("TRIM(SUBSTITUTE(SUBSTITUTE(D731, index(SPLIT(D731, "" ""), COLUMNS(SPLIT(D731, "" ""))), """"), index(SPLIT(D731, "" ""), COLUMNS(SPLIT(D731, "" ""))-1), """"))"),"Вільнозапорізька")</f>
        <v>Вільнозапорізька</v>
      </c>
    </row>
    <row r="732" spans="1:17" ht="38">
      <c r="A732" s="2"/>
      <c r="B732" s="2" t="s">
        <v>1788</v>
      </c>
      <c r="C732" s="2" t="s">
        <v>1789</v>
      </c>
      <c r="D732" s="2" t="s">
        <v>263</v>
      </c>
      <c r="E732" s="2"/>
      <c r="F732" s="2" t="s">
        <v>28</v>
      </c>
      <c r="G732" s="2">
        <v>19</v>
      </c>
      <c r="H732" s="2">
        <v>300</v>
      </c>
      <c r="I732" s="2">
        <v>7272</v>
      </c>
      <c r="J732" s="2" t="s">
        <v>46</v>
      </c>
      <c r="K732" s="2">
        <v>5</v>
      </c>
      <c r="L732" s="2" t="s">
        <v>1801</v>
      </c>
      <c r="Q732" s="4" t="str">
        <f ca="1">IFERROR(__xludf.DUMMYFUNCTION("TRIM(SUBSTITUTE(SUBSTITUTE(D732, index(SPLIT(D732, "" ""), COLUMNS(SPLIT(D732, "" ""))), """"), index(SPLIT(D732, "" ""), COLUMNS(SPLIT(D732, "" ""))-1), """"))"),"Горохівська")</f>
        <v>Горохівська</v>
      </c>
    </row>
    <row r="733" spans="1:17" ht="75.5">
      <c r="A733" s="2"/>
      <c r="B733" s="2" t="s">
        <v>1788</v>
      </c>
      <c r="C733" s="2" t="s">
        <v>1789</v>
      </c>
      <c r="D733" s="2" t="s">
        <v>1802</v>
      </c>
      <c r="E733" s="2"/>
      <c r="F733" s="2" t="s">
        <v>32</v>
      </c>
      <c r="G733" s="2">
        <v>54</v>
      </c>
      <c r="H733" s="2">
        <v>1000.3</v>
      </c>
      <c r="I733" s="2">
        <v>14836</v>
      </c>
      <c r="J733" s="2" t="s">
        <v>178</v>
      </c>
      <c r="K733" s="2">
        <v>14</v>
      </c>
      <c r="L733" s="2" t="s">
        <v>1803</v>
      </c>
      <c r="Q733" s="4" t="str">
        <f ca="1">IFERROR(__xludf.DUMMYFUNCTION("TRIM(SUBSTITUTE(SUBSTITUTE(D733, index(SPLIT(D733, "" ""), COLUMNS(SPLIT(D733, "" ""))), """"), index(SPLIT(D733, "" ""), COLUMNS(SPLIT(D733, "" ""))-1), """"))"),"Казанківська")</f>
        <v>Казанківська</v>
      </c>
    </row>
    <row r="734" spans="1:17" ht="38">
      <c r="A734" s="2"/>
      <c r="B734" s="2" t="s">
        <v>1788</v>
      </c>
      <c r="C734" s="2" t="s">
        <v>1789</v>
      </c>
      <c r="D734" s="2" t="s">
        <v>1804</v>
      </c>
      <c r="E734" s="2"/>
      <c r="F734" s="2" t="s">
        <v>20</v>
      </c>
      <c r="G734" s="2">
        <v>12</v>
      </c>
      <c r="H734" s="2">
        <v>452.1</v>
      </c>
      <c r="I734" s="2">
        <v>18365</v>
      </c>
      <c r="J734" s="2" t="s">
        <v>46</v>
      </c>
      <c r="K734" s="2">
        <v>3</v>
      </c>
      <c r="L734" s="2" t="s">
        <v>1805</v>
      </c>
      <c r="Q734" s="4" t="str">
        <f ca="1">IFERROR(__xludf.DUMMYFUNCTION("TRIM(SUBSTITUTE(SUBSTITUTE(D734, index(SPLIT(D734, "" ""), COLUMNS(SPLIT(D734, "" ""))), """"), index(SPLIT(D734, "" ""), COLUMNS(SPLIT(D734, "" ""))-1), """"))"),"Новобузька")</f>
        <v>Новобузька</v>
      </c>
    </row>
    <row r="735" spans="1:17" ht="50.5">
      <c r="A735" s="2"/>
      <c r="B735" s="2" t="s">
        <v>1788</v>
      </c>
      <c r="C735" s="2" t="s">
        <v>1789</v>
      </c>
      <c r="D735" s="2" t="s">
        <v>1806</v>
      </c>
      <c r="E735" s="2"/>
      <c r="F735" s="2" t="s">
        <v>28</v>
      </c>
      <c r="G735" s="2">
        <v>19</v>
      </c>
      <c r="H735" s="2">
        <v>465.2</v>
      </c>
      <c r="I735" s="2">
        <v>5674</v>
      </c>
      <c r="J735" s="2" t="s">
        <v>1807</v>
      </c>
      <c r="K735" s="2">
        <v>5</v>
      </c>
      <c r="L735" s="2" t="s">
        <v>1808</v>
      </c>
      <c r="Q735" s="4" t="str">
        <f ca="1">IFERROR(__xludf.DUMMYFUNCTION("TRIM(SUBSTITUTE(SUBSTITUTE(D735, index(SPLIT(D735, "" ""), COLUMNS(SPLIT(D735, "" ""))), """"), index(SPLIT(D735, "" ""), COLUMNS(SPLIT(D735, "" ""))-1), """"))"),"Привільненська")</f>
        <v>Привільненська</v>
      </c>
    </row>
    <row r="736" spans="1:17" ht="50.5">
      <c r="A736" s="2"/>
      <c r="B736" s="2" t="s">
        <v>1788</v>
      </c>
      <c r="C736" s="2" t="s">
        <v>1789</v>
      </c>
      <c r="D736" s="2" t="s">
        <v>1809</v>
      </c>
      <c r="E736" s="2"/>
      <c r="F736" s="2" t="s">
        <v>20</v>
      </c>
      <c r="G736" s="2">
        <v>23</v>
      </c>
      <c r="H736" s="2">
        <v>634.4</v>
      </c>
      <c r="I736" s="2">
        <v>23199</v>
      </c>
      <c r="J736" s="2" t="s">
        <v>46</v>
      </c>
      <c r="K736" s="2">
        <v>9</v>
      </c>
      <c r="L736" s="2" t="s">
        <v>1810</v>
      </c>
      <c r="Q736" s="4" t="str">
        <f ca="1">IFERROR(__xludf.DUMMYFUNCTION("TRIM(SUBSTITUTE(SUBSTITUTE(D736, index(SPLIT(D736, "" ""), COLUMNS(SPLIT(D736, "" ""))), """"), index(SPLIT(D736, "" ""), COLUMNS(SPLIT(D736, "" ""))-1), """"))"),"Снігурівська")</f>
        <v>Снігурівська</v>
      </c>
    </row>
    <row r="737" spans="1:17" ht="38">
      <c r="A737" s="2"/>
      <c r="B737" s="2" t="s">
        <v>1788</v>
      </c>
      <c r="C737" s="2" t="s">
        <v>1789</v>
      </c>
      <c r="D737" s="2" t="s">
        <v>375</v>
      </c>
      <c r="E737" s="2"/>
      <c r="F737" s="2" t="s">
        <v>28</v>
      </c>
      <c r="G737" s="2">
        <v>24</v>
      </c>
      <c r="H737" s="2">
        <v>426.5</v>
      </c>
      <c r="I737" s="2">
        <v>5650</v>
      </c>
      <c r="J737" s="2" t="s">
        <v>46</v>
      </c>
      <c r="K737" s="2">
        <v>5</v>
      </c>
      <c r="L737" s="2" t="s">
        <v>1811</v>
      </c>
      <c r="Q737" s="4" t="str">
        <f ca="1">IFERROR(__xludf.DUMMYFUNCTION("TRIM(SUBSTITUTE(SUBSTITUTE(D737, index(SPLIT(D737, "" ""), COLUMNS(SPLIT(D737, "" ""))), """"), index(SPLIT(D737, "" ""), COLUMNS(SPLIT(D737, "" ""))-1), """"))"),"Софіївська")</f>
        <v>Софіївська</v>
      </c>
    </row>
    <row r="738" spans="1:17" ht="38">
      <c r="A738" s="2"/>
      <c r="B738" s="2" t="s">
        <v>1788</v>
      </c>
      <c r="C738" s="2" t="s">
        <v>1789</v>
      </c>
      <c r="D738" s="2" t="s">
        <v>377</v>
      </c>
      <c r="E738" s="2"/>
      <c r="F738" s="2" t="s">
        <v>28</v>
      </c>
      <c r="G738" s="2">
        <v>7</v>
      </c>
      <c r="H738" s="2">
        <v>216</v>
      </c>
      <c r="I738" s="2">
        <v>3425</v>
      </c>
      <c r="J738" s="2" t="s">
        <v>178</v>
      </c>
      <c r="K738" s="2">
        <v>2</v>
      </c>
      <c r="L738" s="2" t="s">
        <v>1812</v>
      </c>
      <c r="Q738" s="4" t="str">
        <f ca="1">IFERROR(__xludf.DUMMYFUNCTION("TRIM(SUBSTITUTE(SUBSTITUTE(D738, index(SPLIT(D738, "" ""), COLUMNS(SPLIT(D738, "" ""))), """"), index(SPLIT(D738, "" ""), COLUMNS(SPLIT(D738, "" ""))-1), """"))"),"Широківська")</f>
        <v>Широківська</v>
      </c>
    </row>
    <row r="739" spans="1:17" ht="63">
      <c r="A739" s="2"/>
      <c r="B739" s="2" t="s">
        <v>1788</v>
      </c>
      <c r="C739" s="2" t="s">
        <v>1813</v>
      </c>
      <c r="D739" s="2" t="s">
        <v>1814</v>
      </c>
      <c r="E739" s="2"/>
      <c r="F739" s="2" t="s">
        <v>32</v>
      </c>
      <c r="G739" s="2">
        <v>34</v>
      </c>
      <c r="H739" s="2">
        <v>1018.1</v>
      </c>
      <c r="I739" s="2">
        <v>14624</v>
      </c>
      <c r="J739" s="2" t="s">
        <v>1815</v>
      </c>
      <c r="K739" s="2">
        <v>12</v>
      </c>
      <c r="L739" s="2" t="s">
        <v>1816</v>
      </c>
      <c r="Q739" s="4" t="str">
        <f ca="1">IFERROR(__xludf.DUMMYFUNCTION("TRIM(SUBSTITUTE(SUBSTITUTE(D739, index(SPLIT(D739, "" ""), COLUMNS(SPLIT(D739, "" ""))), """"), index(SPLIT(D739, "" ""), COLUMNS(SPLIT(D739, "" ""))-1), """"))"),"Єланецька")</f>
        <v>Єланецька</v>
      </c>
    </row>
    <row r="740" spans="1:17" ht="50.5">
      <c r="A740" s="2"/>
      <c r="B740" s="2" t="s">
        <v>1788</v>
      </c>
      <c r="C740" s="2" t="s">
        <v>1813</v>
      </c>
      <c r="D740" s="2" t="s">
        <v>1817</v>
      </c>
      <c r="E740" s="2"/>
      <c r="F740" s="2" t="s">
        <v>32</v>
      </c>
      <c r="G740" s="2">
        <v>34</v>
      </c>
      <c r="H740" s="2">
        <v>706.5</v>
      </c>
      <c r="I740" s="2">
        <v>11983</v>
      </c>
      <c r="J740" s="2" t="s">
        <v>1818</v>
      </c>
      <c r="K740" s="2">
        <v>10</v>
      </c>
      <c r="L740" s="2" t="s">
        <v>1819</v>
      </c>
      <c r="Q740" s="4" t="str">
        <f ca="1">IFERROR(__xludf.DUMMYFUNCTION("TRIM(SUBSTITUTE(SUBSTITUTE(D740, index(SPLIT(D740, "" ""), COLUMNS(SPLIT(D740, "" ""))), """"), index(SPLIT(D740, "" ""), COLUMNS(SPLIT(D740, "" ""))-1), """"))"),"Братська")</f>
        <v>Братська</v>
      </c>
    </row>
    <row r="741" spans="1:17" ht="38">
      <c r="A741" s="2"/>
      <c r="B741" s="2" t="s">
        <v>1788</v>
      </c>
      <c r="C741" s="2" t="s">
        <v>1813</v>
      </c>
      <c r="D741" s="2" t="s">
        <v>1820</v>
      </c>
      <c r="E741" s="2"/>
      <c r="F741" s="2" t="s">
        <v>28</v>
      </c>
      <c r="G741" s="2">
        <v>9</v>
      </c>
      <c r="H741" s="2">
        <v>306.39999999999998</v>
      </c>
      <c r="I741" s="2">
        <v>5306</v>
      </c>
      <c r="J741" s="2" t="s">
        <v>33</v>
      </c>
      <c r="K741" s="2">
        <v>4</v>
      </c>
      <c r="L741" s="2" t="s">
        <v>1821</v>
      </c>
      <c r="Q741" s="4" t="str">
        <f ca="1">IFERROR(__xludf.DUMMYFUNCTION("TRIM(SUBSTITUTE(SUBSTITUTE(D741, index(SPLIT(D741, "" ""), COLUMNS(SPLIT(D741, "" ""))), """"), index(SPLIT(D741, "" ""), COLUMNS(SPLIT(D741, "" ""))-1), """"))"),"Бузька")</f>
        <v>Бузька</v>
      </c>
    </row>
    <row r="742" spans="1:17" ht="50.5">
      <c r="A742" s="2"/>
      <c r="B742" s="2" t="s">
        <v>1788</v>
      </c>
      <c r="C742" s="2" t="s">
        <v>1813</v>
      </c>
      <c r="D742" s="2" t="s">
        <v>1822</v>
      </c>
      <c r="E742" s="2"/>
      <c r="F742" s="2" t="s">
        <v>32</v>
      </c>
      <c r="G742" s="2">
        <v>44</v>
      </c>
      <c r="H742" s="2">
        <v>975.9</v>
      </c>
      <c r="I742" s="2">
        <v>17667</v>
      </c>
      <c r="J742" s="2" t="s">
        <v>33</v>
      </c>
      <c r="K742" s="2">
        <v>11</v>
      </c>
      <c r="L742" s="2" t="s">
        <v>1823</v>
      </c>
      <c r="Q742" s="4" t="str">
        <f ca="1">IFERROR(__xludf.DUMMYFUNCTION("TRIM(SUBSTITUTE(SUBSTITUTE(D742, index(SPLIT(D742, "" ""), COLUMNS(SPLIT(D742, "" ""))), """"), index(SPLIT(D742, "" ""), COLUMNS(SPLIT(D742, "" ""))-1), """"))"),"Веселинівська")</f>
        <v>Веселинівська</v>
      </c>
    </row>
    <row r="743" spans="1:17" ht="50.5">
      <c r="A743" s="2"/>
      <c r="B743" s="2" t="s">
        <v>1788</v>
      </c>
      <c r="C743" s="2" t="s">
        <v>1813</v>
      </c>
      <c r="D743" s="2" t="s">
        <v>1824</v>
      </c>
      <c r="E743" s="2"/>
      <c r="F743" s="2" t="s">
        <v>20</v>
      </c>
      <c r="G743" s="2">
        <v>3</v>
      </c>
      <c r="H743" s="2">
        <v>95.8</v>
      </c>
      <c r="I743" s="2">
        <v>35420</v>
      </c>
      <c r="J743" s="2" t="s">
        <v>1825</v>
      </c>
      <c r="K743" s="2">
        <v>2</v>
      </c>
      <c r="L743" s="2" t="s">
        <v>1826</v>
      </c>
      <c r="Q743" s="4" t="str">
        <f ca="1">IFERROR(__xludf.DUMMYFUNCTION("TRIM(SUBSTITUTE(SUBSTITUTE(D743, index(SPLIT(D743, "" ""), COLUMNS(SPLIT(D743, "" ""))), """"), index(SPLIT(D743, "" ""), COLUMNS(SPLIT(D743, "" ""))-1), """"))"),"Вознесенська")</f>
        <v>Вознесенська</v>
      </c>
    </row>
    <row r="744" spans="1:17" ht="38">
      <c r="A744" s="2"/>
      <c r="B744" s="2" t="s">
        <v>1788</v>
      </c>
      <c r="C744" s="2" t="s">
        <v>1813</v>
      </c>
      <c r="D744" s="2" t="s">
        <v>1827</v>
      </c>
      <c r="E744" s="2"/>
      <c r="F744" s="2" t="s">
        <v>32</v>
      </c>
      <c r="G744" s="2">
        <v>31</v>
      </c>
      <c r="H744" s="2">
        <v>729.7</v>
      </c>
      <c r="I744" s="2">
        <v>14671</v>
      </c>
      <c r="J744" s="2" t="s">
        <v>33</v>
      </c>
      <c r="K744" s="2">
        <v>7</v>
      </c>
      <c r="L744" s="2" t="s">
        <v>1828</v>
      </c>
      <c r="Q744" s="4" t="str">
        <f ca="1">IFERROR(__xludf.DUMMYFUNCTION("TRIM(SUBSTITUTE(SUBSTITUTE(D744, index(SPLIT(D744, "" ""), COLUMNS(SPLIT(D744, "" ""))), """"), index(SPLIT(D744, "" ""), COLUMNS(SPLIT(D744, "" ""))-1), """"))"),"Доманівська")</f>
        <v>Доманівська</v>
      </c>
    </row>
    <row r="745" spans="1:17" ht="38">
      <c r="A745" s="2"/>
      <c r="B745" s="2" t="s">
        <v>1788</v>
      </c>
      <c r="C745" s="2" t="s">
        <v>1813</v>
      </c>
      <c r="D745" s="2" t="s">
        <v>1829</v>
      </c>
      <c r="E745" s="2"/>
      <c r="F745" s="2" t="s">
        <v>28</v>
      </c>
      <c r="G745" s="2">
        <v>8</v>
      </c>
      <c r="H745" s="2">
        <v>357.6</v>
      </c>
      <c r="I745" s="2">
        <v>5442</v>
      </c>
      <c r="J745" s="2" t="s">
        <v>63</v>
      </c>
      <c r="K745" s="2">
        <v>4</v>
      </c>
      <c r="L745" s="2" t="s">
        <v>1830</v>
      </c>
      <c r="Q745" s="4" t="str">
        <f ca="1">IFERROR(__xludf.DUMMYFUNCTION("TRIM(SUBSTITUTE(SUBSTITUTE(D745, index(SPLIT(D745, "" ""), COLUMNS(SPLIT(D745, "" ""))), """"), index(SPLIT(D745, "" ""), COLUMNS(SPLIT(D745, "" ""))-1), """"))"),"Дорошівська")</f>
        <v>Дорошівська</v>
      </c>
    </row>
    <row r="746" spans="1:17" ht="38">
      <c r="A746" s="2"/>
      <c r="B746" s="2" t="s">
        <v>1788</v>
      </c>
      <c r="C746" s="2" t="s">
        <v>1813</v>
      </c>
      <c r="D746" s="2" t="s">
        <v>1831</v>
      </c>
      <c r="E746" s="2"/>
      <c r="F746" s="2" t="s">
        <v>28</v>
      </c>
      <c r="G746" s="2">
        <v>18</v>
      </c>
      <c r="H746" s="2">
        <v>428.2</v>
      </c>
      <c r="I746" s="2">
        <v>4442</v>
      </c>
      <c r="J746" s="2" t="s">
        <v>72</v>
      </c>
      <c r="K746" s="2">
        <v>4</v>
      </c>
      <c r="L746" s="2" t="s">
        <v>1832</v>
      </c>
      <c r="Q746" s="4" t="str">
        <f ca="1">IFERROR(__xludf.DUMMYFUNCTION("TRIM(SUBSTITUTE(SUBSTITUTE(D746, index(SPLIT(D746, "" ""), COLUMNS(SPLIT(D746, "" ""))), """"), index(SPLIT(D746, "" ""), COLUMNS(SPLIT(D746, "" ""))-1), """"))"),"Мостівська")</f>
        <v>Мостівська</v>
      </c>
    </row>
    <row r="747" spans="1:17" ht="50.5">
      <c r="A747" s="2"/>
      <c r="B747" s="2" t="s">
        <v>1788</v>
      </c>
      <c r="C747" s="2" t="s">
        <v>1813</v>
      </c>
      <c r="D747" s="2" t="s">
        <v>1833</v>
      </c>
      <c r="E747" s="2"/>
      <c r="F747" s="2" t="s">
        <v>28</v>
      </c>
      <c r="G747" s="2">
        <v>26</v>
      </c>
      <c r="H747" s="2">
        <v>422.4</v>
      </c>
      <c r="I747" s="2">
        <v>4947</v>
      </c>
      <c r="J747" s="2" t="s">
        <v>46</v>
      </c>
      <c r="K747" s="2">
        <v>6</v>
      </c>
      <c r="L747" s="2" t="s">
        <v>1834</v>
      </c>
      <c r="Q747" s="4" t="str">
        <f ca="1">IFERROR(__xludf.DUMMYFUNCTION("TRIM(SUBSTITUTE(SUBSTITUTE(D747, index(SPLIT(D747, "" ""), COLUMNS(SPLIT(D747, "" ""))), """"), index(SPLIT(D747, "" ""), COLUMNS(SPLIT(D747, "" ""))-1), """"))"),"Новомар'ївська")</f>
        <v>Новомар'ївська</v>
      </c>
    </row>
    <row r="748" spans="1:17" ht="50.5">
      <c r="A748" s="2"/>
      <c r="B748" s="2" t="s">
        <v>1788</v>
      </c>
      <c r="C748" s="2" t="s">
        <v>1813</v>
      </c>
      <c r="D748" s="2" t="s">
        <v>523</v>
      </c>
      <c r="E748" s="2"/>
      <c r="F748" s="2" t="s">
        <v>32</v>
      </c>
      <c r="G748" s="2">
        <v>8</v>
      </c>
      <c r="H748" s="2">
        <v>288.2</v>
      </c>
      <c r="I748" s="2">
        <v>9020</v>
      </c>
      <c r="J748" s="2" t="s">
        <v>72</v>
      </c>
      <c r="K748" s="2">
        <v>3</v>
      </c>
      <c r="L748" s="2" t="s">
        <v>1835</v>
      </c>
      <c r="Q748" s="4" t="str">
        <f ca="1">IFERROR(__xludf.DUMMYFUNCTION("TRIM(SUBSTITUTE(SUBSTITUTE(D748, index(SPLIT(D748, "" ""), COLUMNS(SPLIT(D748, "" ""))), """"), index(SPLIT(D748, "" ""), COLUMNS(SPLIT(D748, "" ""))-1), """"))"),"Олександрівська")</f>
        <v>Олександрівська</v>
      </c>
    </row>
    <row r="749" spans="1:17" ht="50.5">
      <c r="A749" s="2"/>
      <c r="B749" s="2" t="s">
        <v>1788</v>
      </c>
      <c r="C749" s="2" t="s">
        <v>1813</v>
      </c>
      <c r="D749" s="2" t="s">
        <v>1836</v>
      </c>
      <c r="E749" s="2"/>
      <c r="F749" s="2" t="s">
        <v>28</v>
      </c>
      <c r="G749" s="2">
        <v>20</v>
      </c>
      <c r="H749" s="2">
        <v>365.9</v>
      </c>
      <c r="I749" s="2">
        <v>7681</v>
      </c>
      <c r="J749" s="2" t="s">
        <v>72</v>
      </c>
      <c r="K749" s="2">
        <v>5</v>
      </c>
      <c r="L749" s="2" t="s">
        <v>1837</v>
      </c>
      <c r="Q749" s="4" t="str">
        <f ca="1">IFERROR(__xludf.DUMMYFUNCTION("TRIM(SUBSTITUTE(SUBSTITUTE(D749, index(SPLIT(D749, "" ""), COLUMNS(SPLIT(D749, "" ""))), """"), index(SPLIT(D749, "" ""), COLUMNS(SPLIT(D749, "" ""))-1), """"))"),"Прибужанівська")</f>
        <v>Прибужанівська</v>
      </c>
    </row>
    <row r="750" spans="1:17" ht="38">
      <c r="A750" s="2"/>
      <c r="B750" s="2" t="s">
        <v>1788</v>
      </c>
      <c r="C750" s="2" t="s">
        <v>1813</v>
      </c>
      <c r="D750" s="2" t="s">
        <v>1838</v>
      </c>
      <c r="E750" s="2"/>
      <c r="F750" s="2" t="s">
        <v>28</v>
      </c>
      <c r="G750" s="2">
        <v>13</v>
      </c>
      <c r="H750" s="2">
        <v>299.3</v>
      </c>
      <c r="I750" s="2">
        <v>5016</v>
      </c>
      <c r="J750" s="2" t="s">
        <v>178</v>
      </c>
      <c r="K750" s="2">
        <v>3</v>
      </c>
      <c r="L750" s="2" t="s">
        <v>1839</v>
      </c>
      <c r="Q750" s="4" t="str">
        <f ca="1">IFERROR(__xludf.DUMMYFUNCTION("TRIM(SUBSTITUTE(SUBSTITUTE(D750, index(SPLIT(D750, "" ""), COLUMNS(SPLIT(D750, "" ""))), """"), index(SPLIT(D750, "" ""), COLUMNS(SPLIT(D750, "" ""))-1), """"))"),"Прибузька")</f>
        <v>Прибузька</v>
      </c>
    </row>
    <row r="751" spans="1:17" ht="50.5">
      <c r="A751" s="2"/>
      <c r="B751" s="2" t="s">
        <v>1788</v>
      </c>
      <c r="C751" s="2" t="s">
        <v>1813</v>
      </c>
      <c r="D751" s="2" t="s">
        <v>1840</v>
      </c>
      <c r="E751" s="2"/>
      <c r="F751" s="2" t="s">
        <v>20</v>
      </c>
      <c r="G751" s="2">
        <v>5</v>
      </c>
      <c r="H751" s="2">
        <v>158.69999999999999</v>
      </c>
      <c r="I751" s="2">
        <v>42117</v>
      </c>
      <c r="J751" s="2" t="s">
        <v>1841</v>
      </c>
      <c r="K751" s="2">
        <v>3</v>
      </c>
      <c r="L751" s="2" t="s">
        <v>1842</v>
      </c>
      <c r="Q751" s="4" t="str">
        <f ca="1">IFERROR(__xludf.DUMMYFUNCTION("TRIM(SUBSTITUTE(SUBSTITUTE(D751, index(SPLIT(D751, "" ""), COLUMNS(SPLIT(D751, "" ""))), """"), index(SPLIT(D751, "" ""), COLUMNS(SPLIT(D751, "" ""))-1), """"))"),"Южноукраїнська")</f>
        <v>Южноукраїнська</v>
      </c>
    </row>
    <row r="752" spans="1:17" ht="50.5">
      <c r="A752" s="2"/>
      <c r="B752" s="2" t="s">
        <v>1788</v>
      </c>
      <c r="C752" s="2" t="s">
        <v>1843</v>
      </c>
      <c r="D752" s="2" t="s">
        <v>1254</v>
      </c>
      <c r="E752" s="2"/>
      <c r="F752" s="2" t="s">
        <v>32</v>
      </c>
      <c r="G752" s="2">
        <v>35</v>
      </c>
      <c r="H752" s="2">
        <v>896.5</v>
      </c>
      <c r="I752" s="2">
        <v>13701</v>
      </c>
      <c r="J752" s="2" t="s">
        <v>178</v>
      </c>
      <c r="K752" s="2">
        <v>10</v>
      </c>
      <c r="L752" s="2" t="s">
        <v>1844</v>
      </c>
      <c r="Q752" s="4" t="str">
        <f ca="1">IFERROR(__xludf.DUMMYFUNCTION("TRIM(SUBSTITUTE(SUBSTITUTE(D752, index(SPLIT(D752, "" ""), COLUMNS(SPLIT(D752, "" ""))), """"), index(SPLIT(D752, "" ""), COLUMNS(SPLIT(D752, "" ""))-1), """"))"),"Березанська")</f>
        <v>Березанська</v>
      </c>
    </row>
    <row r="753" spans="1:17" ht="38">
      <c r="A753" s="2"/>
      <c r="B753" s="2" t="s">
        <v>1788</v>
      </c>
      <c r="C753" s="2" t="s">
        <v>1843</v>
      </c>
      <c r="D753" s="2" t="s">
        <v>1845</v>
      </c>
      <c r="E753" s="2"/>
      <c r="F753" s="2" t="s">
        <v>28</v>
      </c>
      <c r="G753" s="2">
        <v>17</v>
      </c>
      <c r="H753" s="2">
        <v>352.7</v>
      </c>
      <c r="I753" s="2">
        <v>8719</v>
      </c>
      <c r="J753" s="2" t="s">
        <v>163</v>
      </c>
      <c r="K753" s="2">
        <v>6</v>
      </c>
      <c r="L753" s="2" t="s">
        <v>1846</v>
      </c>
      <c r="Q753" s="4" t="str">
        <f ca="1">IFERROR(__xludf.DUMMYFUNCTION("TRIM(SUBSTITUTE(SUBSTITUTE(D753, index(SPLIT(D753, "" ""), COLUMNS(SPLIT(D753, "" ""))), """"), index(SPLIT(D753, "" ""), COLUMNS(SPLIT(D753, "" ""))-1), """"))"),"Веснянська")</f>
        <v>Веснянська</v>
      </c>
    </row>
    <row r="754" spans="1:17" ht="50.5">
      <c r="A754" s="2"/>
      <c r="B754" s="2" t="s">
        <v>1788</v>
      </c>
      <c r="C754" s="2" t="s">
        <v>1843</v>
      </c>
      <c r="D754" s="2" t="s">
        <v>1037</v>
      </c>
      <c r="E754" s="2"/>
      <c r="F754" s="2" t="s">
        <v>32</v>
      </c>
      <c r="G754" s="2">
        <v>9</v>
      </c>
      <c r="H754" s="2">
        <v>329.9</v>
      </c>
      <c r="I754" s="2">
        <v>14988</v>
      </c>
      <c r="J754" s="2" t="s">
        <v>33</v>
      </c>
      <c r="K754" s="2">
        <v>5</v>
      </c>
      <c r="L754" s="2" t="s">
        <v>1847</v>
      </c>
      <c r="Q754" s="4" t="str">
        <f ca="1">IFERROR(__xludf.DUMMYFUNCTION("TRIM(SUBSTITUTE(SUBSTITUTE(D754, index(SPLIT(D754, "" ""), COLUMNS(SPLIT(D754, "" ""))), """"), index(SPLIT(D754, "" ""), COLUMNS(SPLIT(D754, "" ""))-1), """"))"),"Воскресенська")</f>
        <v>Воскресенська</v>
      </c>
    </row>
    <row r="755" spans="1:17" ht="50.5">
      <c r="A755" s="2"/>
      <c r="B755" s="2" t="s">
        <v>1788</v>
      </c>
      <c r="C755" s="2" t="s">
        <v>1843</v>
      </c>
      <c r="D755" s="2" t="s">
        <v>1848</v>
      </c>
      <c r="E755" s="2"/>
      <c r="F755" s="2" t="s">
        <v>28</v>
      </c>
      <c r="G755" s="2">
        <v>6</v>
      </c>
      <c r="H755" s="2">
        <v>311.10000000000002</v>
      </c>
      <c r="I755" s="2">
        <v>7502</v>
      </c>
      <c r="J755" s="2" t="s">
        <v>33</v>
      </c>
      <c r="K755" s="2">
        <v>4</v>
      </c>
      <c r="L755" s="2" t="s">
        <v>1849</v>
      </c>
      <c r="Q755" s="4" t="str">
        <f ca="1">IFERROR(__xludf.DUMMYFUNCTION("TRIM(SUBSTITUTE(SUBSTITUTE(D755, index(SPLIT(D755, "" ""), COLUMNS(SPLIT(D755, "" ""))), """"), index(SPLIT(D755, "" ""), COLUMNS(SPLIT(D755, "" ""))-1), """"))"),"Галицинівська")</f>
        <v>Галицинівська</v>
      </c>
    </row>
    <row r="756" spans="1:17" ht="38">
      <c r="A756" s="2"/>
      <c r="B756" s="2" t="s">
        <v>1788</v>
      </c>
      <c r="C756" s="2" t="s">
        <v>1843</v>
      </c>
      <c r="D756" s="2" t="s">
        <v>1850</v>
      </c>
      <c r="E756" s="2"/>
      <c r="F756" s="2" t="s">
        <v>28</v>
      </c>
      <c r="G756" s="2">
        <v>12</v>
      </c>
      <c r="H756" s="2">
        <v>428.4</v>
      </c>
      <c r="I756" s="2">
        <v>7789</v>
      </c>
      <c r="J756" s="2" t="s">
        <v>33</v>
      </c>
      <c r="K756" s="2">
        <v>6</v>
      </c>
      <c r="L756" s="2" t="s">
        <v>1851</v>
      </c>
      <c r="Q756" s="4" t="str">
        <f ca="1">IFERROR(__xludf.DUMMYFUNCTION("TRIM(SUBSTITUTE(SUBSTITUTE(D756, index(SPLIT(D756, "" ""), COLUMNS(SPLIT(D756, "" ""))), """"), index(SPLIT(D756, "" ""), COLUMNS(SPLIT(D756, "" ""))-1), """"))"),"Коблівська")</f>
        <v>Коблівська</v>
      </c>
    </row>
    <row r="757" spans="1:17" ht="50.5">
      <c r="A757" s="2"/>
      <c r="B757" s="2" t="s">
        <v>1788</v>
      </c>
      <c r="C757" s="2" t="s">
        <v>1843</v>
      </c>
      <c r="D757" s="2" t="s">
        <v>512</v>
      </c>
      <c r="E757" s="2"/>
      <c r="F757" s="2" t="s">
        <v>28</v>
      </c>
      <c r="G757" s="2">
        <v>11</v>
      </c>
      <c r="H757" s="2">
        <v>446.4</v>
      </c>
      <c r="I757" s="2">
        <v>9671</v>
      </c>
      <c r="J757" s="2" t="s">
        <v>513</v>
      </c>
      <c r="K757" s="2">
        <v>6</v>
      </c>
      <c r="L757" s="2" t="s">
        <v>1852</v>
      </c>
      <c r="Q757" s="4" t="str">
        <f ca="1">IFERROR(__xludf.DUMMYFUNCTION("TRIM(SUBSTITUTE(SUBSTITUTE(D757, index(SPLIT(D757, "" ""), COLUMNS(SPLIT(D757, "" ""))), """"), index(SPLIT(D757, "" ""), COLUMNS(SPLIT(D757, "" ""))-1), """"))"),"Костянтинівська")</f>
        <v>Костянтинівська</v>
      </c>
    </row>
    <row r="758" spans="1:17" ht="38">
      <c r="A758" s="2"/>
      <c r="B758" s="2" t="s">
        <v>1788</v>
      </c>
      <c r="C758" s="2" t="s">
        <v>1843</v>
      </c>
      <c r="D758" s="2" t="s">
        <v>1853</v>
      </c>
      <c r="E758" s="2"/>
      <c r="F758" s="2" t="s">
        <v>28</v>
      </c>
      <c r="G758" s="2">
        <v>12</v>
      </c>
      <c r="H758" s="2">
        <v>533.9</v>
      </c>
      <c r="I758" s="2">
        <v>7572</v>
      </c>
      <c r="J758" s="2" t="s">
        <v>143</v>
      </c>
      <c r="K758" s="2">
        <v>6</v>
      </c>
      <c r="L758" s="2" t="s">
        <v>1854</v>
      </c>
      <c r="Q758" s="4" t="str">
        <f ca="1">IFERROR(__xludf.DUMMYFUNCTION("TRIM(SUBSTITUTE(SUBSTITUTE(D758, index(SPLIT(D758, "" ""), COLUMNS(SPLIT(D758, "" ""))), """"), index(SPLIT(D758, "" ""), COLUMNS(SPLIT(D758, "" ""))-1), """"))"),"Куцурубська")</f>
        <v>Куцурубська</v>
      </c>
    </row>
    <row r="759" spans="1:17" ht="50.5">
      <c r="A759" s="2"/>
      <c r="B759" s="2" t="s">
        <v>1788</v>
      </c>
      <c r="C759" s="2" t="s">
        <v>1843</v>
      </c>
      <c r="D759" s="2" t="s">
        <v>297</v>
      </c>
      <c r="E759" s="2"/>
      <c r="F759" s="2" t="s">
        <v>20</v>
      </c>
      <c r="G759" s="2">
        <v>1</v>
      </c>
      <c r="H759" s="2">
        <v>248.7</v>
      </c>
      <c r="I759" s="2">
        <v>476101</v>
      </c>
      <c r="J759" s="2" t="s">
        <v>1735</v>
      </c>
      <c r="K759" s="2">
        <v>5</v>
      </c>
      <c r="L759" s="2" t="s">
        <v>1855</v>
      </c>
      <c r="Q759" s="4" t="str">
        <f ca="1">IFERROR(__xludf.DUMMYFUNCTION("TRIM(SUBSTITUTE(SUBSTITUTE(D759, index(SPLIT(D759, "" ""), COLUMNS(SPLIT(D759, "" ""))), """"), index(SPLIT(D759, "" ""), COLUMNS(SPLIT(D759, "" ""))-1), """"))"),"Миколаївська")</f>
        <v>Миколаївська</v>
      </c>
    </row>
    <row r="760" spans="1:17" ht="50.5">
      <c r="A760" s="2"/>
      <c r="B760" s="2" t="s">
        <v>1788</v>
      </c>
      <c r="C760" s="2" t="s">
        <v>1843</v>
      </c>
      <c r="D760" s="2" t="s">
        <v>1856</v>
      </c>
      <c r="E760" s="2"/>
      <c r="F760" s="2" t="s">
        <v>28</v>
      </c>
      <c r="G760" s="2">
        <v>7</v>
      </c>
      <c r="H760" s="2">
        <v>172.5</v>
      </c>
      <c r="I760" s="2">
        <v>7174</v>
      </c>
      <c r="J760" s="2" t="s">
        <v>163</v>
      </c>
      <c r="K760" s="2">
        <v>2</v>
      </c>
      <c r="L760" s="2" t="s">
        <v>1857</v>
      </c>
      <c r="Q760" s="4" t="str">
        <f ca="1">IFERROR(__xludf.DUMMYFUNCTION("TRIM(SUBSTITUTE(SUBSTITUTE(D760, index(SPLIT(D760, "" ""), COLUMNS(SPLIT(D760, "" ""))), """"), index(SPLIT(D760, "" ""), COLUMNS(SPLIT(D760, "" ""))-1), """"))"),"Мішково-Погорілівська")</f>
        <v>Мішково-Погорілівська</v>
      </c>
    </row>
    <row r="761" spans="1:17" ht="38">
      <c r="A761" s="2"/>
      <c r="B761" s="2" t="s">
        <v>1788</v>
      </c>
      <c r="C761" s="2" t="s">
        <v>1843</v>
      </c>
      <c r="D761" s="2" t="s">
        <v>1858</v>
      </c>
      <c r="E761" s="2"/>
      <c r="F761" s="2" t="s">
        <v>28</v>
      </c>
      <c r="G761" s="2">
        <v>13</v>
      </c>
      <c r="H761" s="2">
        <v>253.5</v>
      </c>
      <c r="I761" s="2">
        <v>4244</v>
      </c>
      <c r="J761" s="2" t="s">
        <v>33</v>
      </c>
      <c r="K761" s="2">
        <v>3</v>
      </c>
      <c r="L761" s="2" t="s">
        <v>1859</v>
      </c>
      <c r="Q761" s="4" t="str">
        <f ca="1">IFERROR(__xludf.DUMMYFUNCTION("TRIM(SUBSTITUTE(SUBSTITUTE(D761, index(SPLIT(D761, "" ""), COLUMNS(SPLIT(D761, "" ""))), """"), index(SPLIT(D761, "" ""), COLUMNS(SPLIT(D761, "" ""))-1), """"))"),"Нечаянська")</f>
        <v>Нечаянська</v>
      </c>
    </row>
    <row r="762" spans="1:17" ht="38">
      <c r="A762" s="2"/>
      <c r="B762" s="2" t="s">
        <v>1788</v>
      </c>
      <c r="C762" s="2" t="s">
        <v>1843</v>
      </c>
      <c r="D762" s="2" t="s">
        <v>1860</v>
      </c>
      <c r="E762" s="2"/>
      <c r="F762" s="2" t="s">
        <v>20</v>
      </c>
      <c r="G762" s="2">
        <v>16</v>
      </c>
      <c r="H762" s="2">
        <v>617.5</v>
      </c>
      <c r="I762" s="2">
        <v>17478</v>
      </c>
      <c r="J762" s="2" t="s">
        <v>1861</v>
      </c>
      <c r="K762" s="2">
        <v>7</v>
      </c>
      <c r="L762" s="2" t="s">
        <v>1862</v>
      </c>
      <c r="Q762" s="4" t="str">
        <f ca="1">IFERROR(__xludf.DUMMYFUNCTION("TRIM(SUBSTITUTE(SUBSTITUTE(D762, index(SPLIT(D762, "" ""), COLUMNS(SPLIT(D762, "" ""))), """"), index(SPLIT(D762, "" ""), COLUMNS(SPLIT(D762, "" ""))-1), """"))"),"Новоодеська")</f>
        <v>Новоодеська</v>
      </c>
    </row>
    <row r="763" spans="1:17" ht="38">
      <c r="A763" s="2"/>
      <c r="B763" s="2" t="s">
        <v>1788</v>
      </c>
      <c r="C763" s="2" t="s">
        <v>1843</v>
      </c>
      <c r="D763" s="2" t="s">
        <v>1863</v>
      </c>
      <c r="E763" s="2"/>
      <c r="F763" s="2" t="s">
        <v>32</v>
      </c>
      <c r="G763" s="2">
        <v>13</v>
      </c>
      <c r="H763" s="2">
        <v>247.1</v>
      </c>
      <c r="I763" s="2">
        <v>9065</v>
      </c>
      <c r="J763" s="2" t="s">
        <v>33</v>
      </c>
      <c r="K763" s="2">
        <v>5</v>
      </c>
      <c r="L763" s="2" t="s">
        <v>1864</v>
      </c>
      <c r="Q763" s="4" t="str">
        <f ca="1">IFERROR(__xludf.DUMMYFUNCTION("TRIM(SUBSTITUTE(SUBSTITUTE(D763, index(SPLIT(D763, "" ""), COLUMNS(SPLIT(D763, "" ""))), """"), index(SPLIT(D763, "" ""), COLUMNS(SPLIT(D763, "" ""))-1), """"))"),"Ольшанська")</f>
        <v>Ольшанська</v>
      </c>
    </row>
    <row r="764" spans="1:17" ht="38">
      <c r="A764" s="2"/>
      <c r="B764" s="2" t="s">
        <v>1788</v>
      </c>
      <c r="C764" s="2" t="s">
        <v>1843</v>
      </c>
      <c r="D764" s="2" t="s">
        <v>1865</v>
      </c>
      <c r="E764" s="2"/>
      <c r="F764" s="2" t="s">
        <v>20</v>
      </c>
      <c r="G764" s="2">
        <v>4</v>
      </c>
      <c r="H764" s="2">
        <v>295</v>
      </c>
      <c r="I764" s="2">
        <v>14621</v>
      </c>
      <c r="J764" s="2" t="s">
        <v>1866</v>
      </c>
      <c r="K764" s="2">
        <v>2</v>
      </c>
      <c r="L764" s="2" t="s">
        <v>1867</v>
      </c>
      <c r="Q764" s="4" t="str">
        <f ca="1">IFERROR(__xludf.DUMMYFUNCTION("TRIM(SUBSTITUTE(SUBSTITUTE(D764, index(SPLIT(D764, "" ""), COLUMNS(SPLIT(D764, "" ""))), """"), index(SPLIT(D764, "" ""), COLUMNS(SPLIT(D764, "" ""))-1), """"))"),"Очаківська")</f>
        <v>Очаківська</v>
      </c>
    </row>
    <row r="765" spans="1:17" ht="50.5">
      <c r="A765" s="2"/>
      <c r="B765" s="2" t="s">
        <v>1788</v>
      </c>
      <c r="C765" s="2" t="s">
        <v>1843</v>
      </c>
      <c r="D765" s="2" t="s">
        <v>1868</v>
      </c>
      <c r="E765" s="2"/>
      <c r="F765" s="2" t="s">
        <v>32</v>
      </c>
      <c r="G765" s="2">
        <v>11</v>
      </c>
      <c r="H765" s="2">
        <v>377</v>
      </c>
      <c r="I765" s="2">
        <v>9390</v>
      </c>
      <c r="J765" s="2" t="s">
        <v>1869</v>
      </c>
      <c r="K765" s="2">
        <v>5</v>
      </c>
      <c r="L765" s="2" t="s">
        <v>1870</v>
      </c>
      <c r="Q765" s="4" t="str">
        <f ca="1">IFERROR(__xludf.DUMMYFUNCTION("TRIM(SUBSTITUTE(SUBSTITUTE(D765, index(SPLIT(D765, "" ""), COLUMNS(SPLIT(D765, "" ""))), """"), index(SPLIT(D765, "" ""), COLUMNS(SPLIT(D765, "" ""))-1), """"))"),"Первомайська")</f>
        <v>Первомайська</v>
      </c>
    </row>
    <row r="766" spans="1:17" ht="50.5">
      <c r="A766" s="2"/>
      <c r="B766" s="2" t="s">
        <v>1788</v>
      </c>
      <c r="C766" s="2" t="s">
        <v>1843</v>
      </c>
      <c r="D766" s="2" t="s">
        <v>1871</v>
      </c>
      <c r="E766" s="2"/>
      <c r="F766" s="2" t="s">
        <v>28</v>
      </c>
      <c r="G766" s="2">
        <v>6</v>
      </c>
      <c r="H766" s="2">
        <v>168.3</v>
      </c>
      <c r="I766" s="2">
        <v>4125</v>
      </c>
      <c r="J766" s="2" t="s">
        <v>178</v>
      </c>
      <c r="K766" s="2">
        <v>3</v>
      </c>
      <c r="L766" s="2" t="s">
        <v>1872</v>
      </c>
      <c r="Q766" s="4" t="str">
        <f ca="1">IFERROR(__xludf.DUMMYFUNCTION("TRIM(SUBSTITUTE(SUBSTITUTE(D766, index(SPLIT(D766, "" ""), COLUMNS(SPLIT(D766, "" ""))), """"), index(SPLIT(D766, "" ""), COLUMNS(SPLIT(D766, "" ""))-1), """"))"),"Радсадівська")</f>
        <v>Радсадівська</v>
      </c>
    </row>
    <row r="767" spans="1:17" ht="38">
      <c r="A767" s="2"/>
      <c r="B767" s="2" t="s">
        <v>1788</v>
      </c>
      <c r="C767" s="2" t="s">
        <v>1843</v>
      </c>
      <c r="D767" s="2" t="s">
        <v>1873</v>
      </c>
      <c r="E767" s="2"/>
      <c r="F767" s="2" t="s">
        <v>28</v>
      </c>
      <c r="G767" s="2">
        <v>16</v>
      </c>
      <c r="H767" s="2">
        <v>787</v>
      </c>
      <c r="I767" s="2">
        <v>8895</v>
      </c>
      <c r="J767" s="2" t="s">
        <v>1874</v>
      </c>
      <c r="K767" s="2">
        <v>6</v>
      </c>
      <c r="L767" s="2" t="s">
        <v>1875</v>
      </c>
      <c r="Q767" s="4" t="str">
        <f ca="1">IFERROR(__xludf.DUMMYFUNCTION("TRIM(SUBSTITUTE(SUBSTITUTE(D767, index(SPLIT(D767, "" ""), COLUMNS(SPLIT(D767, "" ""))), """"), index(SPLIT(D767, "" ""), COLUMNS(SPLIT(D767, "" ""))-1), """"))"),"Степівська")</f>
        <v>Степівська</v>
      </c>
    </row>
    <row r="768" spans="1:17" ht="50.5">
      <c r="A768" s="2"/>
      <c r="B768" s="2" t="s">
        <v>1788</v>
      </c>
      <c r="C768" s="2" t="s">
        <v>1843</v>
      </c>
      <c r="D768" s="2" t="s">
        <v>1876</v>
      </c>
      <c r="E768" s="2"/>
      <c r="F768" s="2" t="s">
        <v>28</v>
      </c>
      <c r="G768" s="2">
        <v>15</v>
      </c>
      <c r="H768" s="2">
        <v>368.7</v>
      </c>
      <c r="I768" s="2">
        <v>4819</v>
      </c>
      <c r="J768" s="2" t="s">
        <v>46</v>
      </c>
      <c r="K768" s="2">
        <v>5</v>
      </c>
      <c r="L768" s="2" t="s">
        <v>1877</v>
      </c>
      <c r="Q768" s="4" t="str">
        <f ca="1">IFERROR(__xludf.DUMMYFUNCTION("TRIM(SUBSTITUTE(SUBSTITUTE(D768, index(SPLIT(D768, "" ""), COLUMNS(SPLIT(D768, "" ""))), """"), index(SPLIT(D768, "" ""), COLUMNS(SPLIT(D768, "" ""))-1), """"))"),"Сухоєланецька")</f>
        <v>Сухоєланецька</v>
      </c>
    </row>
    <row r="769" spans="1:17" ht="50.5">
      <c r="A769" s="2"/>
      <c r="B769" s="2" t="s">
        <v>1788</v>
      </c>
      <c r="C769" s="2" t="s">
        <v>1843</v>
      </c>
      <c r="D769" s="2" t="s">
        <v>1878</v>
      </c>
      <c r="E769" s="2"/>
      <c r="F769" s="2" t="s">
        <v>28</v>
      </c>
      <c r="G769" s="2">
        <v>13</v>
      </c>
      <c r="H769" s="2">
        <v>339.9</v>
      </c>
      <c r="I769" s="2">
        <v>5298</v>
      </c>
      <c r="J769" s="2" t="s">
        <v>72</v>
      </c>
      <c r="K769" s="2">
        <v>3</v>
      </c>
      <c r="L769" s="2" t="s">
        <v>1879</v>
      </c>
      <c r="Q769" s="4" t="str">
        <f ca="1">IFERROR(__xludf.DUMMYFUNCTION("TRIM(SUBSTITUTE(SUBSTITUTE(D769, index(SPLIT(D769, "" ""), COLUMNS(SPLIT(D769, "" ""))), """"), index(SPLIT(D769, "" ""), COLUMNS(SPLIT(D769, "" ""))-1), """"))"),"Чорноморська")</f>
        <v>Чорноморська</v>
      </c>
    </row>
    <row r="770" spans="1:17" ht="50.5">
      <c r="A770" s="2"/>
      <c r="B770" s="2" t="s">
        <v>1788</v>
      </c>
      <c r="C770" s="2" t="s">
        <v>1843</v>
      </c>
      <c r="D770" s="2" t="s">
        <v>1880</v>
      </c>
      <c r="E770" s="2"/>
      <c r="F770" s="2" t="s">
        <v>28</v>
      </c>
      <c r="G770" s="2">
        <v>21</v>
      </c>
      <c r="H770" s="2">
        <v>515.79999999999995</v>
      </c>
      <c r="I770" s="2">
        <v>14410</v>
      </c>
      <c r="J770" s="2" t="s">
        <v>33</v>
      </c>
      <c r="K770" s="2">
        <v>9</v>
      </c>
      <c r="L770" s="2" t="s">
        <v>1881</v>
      </c>
      <c r="Q770" s="4" t="str">
        <f ca="1">IFERROR(__xludf.DUMMYFUNCTION("TRIM(SUBSTITUTE(SUBSTITUTE(D770, index(SPLIT(D770, "" ""), COLUMNS(SPLIT(D770, "" ""))), """"), index(SPLIT(D770, "" ""), COLUMNS(SPLIT(D770, "" ""))-1), """"))"),"Шевченківська")</f>
        <v>Шевченківська</v>
      </c>
    </row>
    <row r="771" spans="1:17" ht="38">
      <c r="A771" s="2"/>
      <c r="B771" s="2" t="s">
        <v>1788</v>
      </c>
      <c r="C771" s="2" t="s">
        <v>1882</v>
      </c>
      <c r="D771" s="2" t="s">
        <v>1883</v>
      </c>
      <c r="E771" s="2"/>
      <c r="F771" s="2" t="s">
        <v>32</v>
      </c>
      <c r="G771" s="2">
        <v>13</v>
      </c>
      <c r="H771" s="2">
        <v>429.3</v>
      </c>
      <c r="I771" s="2">
        <v>10258</v>
      </c>
      <c r="J771" s="2" t="s">
        <v>178</v>
      </c>
      <c r="K771" s="2">
        <v>5</v>
      </c>
      <c r="L771" s="2" t="s">
        <v>1884</v>
      </c>
      <c r="Q771" s="4" t="str">
        <f ca="1">IFERROR(__xludf.DUMMYFUNCTION("TRIM(SUBSTITUTE(SUBSTITUTE(D771, index(SPLIT(D771, "" ""), COLUMNS(SPLIT(D771, "" ""))), """"), index(SPLIT(D771, "" ""), COLUMNS(SPLIT(D771, "" ""))-1), """"))"),"Арбузинська")</f>
        <v>Арбузинська</v>
      </c>
    </row>
    <row r="772" spans="1:17" ht="50.5">
      <c r="A772" s="2"/>
      <c r="B772" s="2" t="s">
        <v>1788</v>
      </c>
      <c r="C772" s="2" t="s">
        <v>1882</v>
      </c>
      <c r="D772" s="2" t="s">
        <v>1885</v>
      </c>
      <c r="E772" s="2"/>
      <c r="F772" s="2" t="s">
        <v>28</v>
      </c>
      <c r="G772" s="2">
        <v>12</v>
      </c>
      <c r="H772" s="2">
        <v>403.4</v>
      </c>
      <c r="I772" s="2">
        <v>5688</v>
      </c>
      <c r="J772" s="2" t="s">
        <v>33</v>
      </c>
      <c r="K772" s="2">
        <v>7</v>
      </c>
      <c r="L772" s="2" t="s">
        <v>1886</v>
      </c>
      <c r="Q772" s="4" t="str">
        <f ca="1">IFERROR(__xludf.DUMMYFUNCTION("TRIM(SUBSTITUTE(SUBSTITUTE(D772, index(SPLIT(D772, "" ""), COLUMNS(SPLIT(D772, "" ""))), """"), index(SPLIT(D772, "" ""), COLUMNS(SPLIT(D772, "" ""))-1), """"))"),"Благодатненська")</f>
        <v>Благодатненська</v>
      </c>
    </row>
    <row r="773" spans="1:17" ht="63">
      <c r="A773" s="2"/>
      <c r="B773" s="2" t="s">
        <v>1788</v>
      </c>
      <c r="C773" s="2" t="s">
        <v>1882</v>
      </c>
      <c r="D773" s="2" t="s">
        <v>1887</v>
      </c>
      <c r="E773" s="2"/>
      <c r="F773" s="2" t="s">
        <v>32</v>
      </c>
      <c r="G773" s="2">
        <v>37</v>
      </c>
      <c r="H773" s="2">
        <v>800.6</v>
      </c>
      <c r="I773" s="2">
        <v>16640</v>
      </c>
      <c r="J773" s="2" t="s">
        <v>1888</v>
      </c>
      <c r="K773" s="2">
        <v>12</v>
      </c>
      <c r="L773" s="2" t="s">
        <v>1889</v>
      </c>
      <c r="Q773" s="4" t="str">
        <f ca="1">IFERROR(__xludf.DUMMYFUNCTION("TRIM(SUBSTITUTE(SUBSTITUTE(D773, index(SPLIT(D773, "" ""), COLUMNS(SPLIT(D773, "" ""))), """"), index(SPLIT(D773, "" ""), COLUMNS(SPLIT(D773, "" ""))-1), """"))"),"Врадіївська")</f>
        <v>Врадіївська</v>
      </c>
    </row>
    <row r="774" spans="1:17" ht="50.5">
      <c r="A774" s="2"/>
      <c r="B774" s="2" t="s">
        <v>1788</v>
      </c>
      <c r="C774" s="2" t="s">
        <v>1882</v>
      </c>
      <c r="D774" s="2" t="s">
        <v>1890</v>
      </c>
      <c r="E774" s="2"/>
      <c r="F774" s="2" t="s">
        <v>28</v>
      </c>
      <c r="G774" s="2">
        <v>15</v>
      </c>
      <c r="H774" s="2">
        <v>328.8</v>
      </c>
      <c r="I774" s="2">
        <v>7339</v>
      </c>
      <c r="J774" s="2" t="s">
        <v>33</v>
      </c>
      <c r="K774" s="2">
        <v>6</v>
      </c>
      <c r="L774" s="2" t="s">
        <v>1891</v>
      </c>
      <c r="Q774" s="4" t="str">
        <f ca="1">IFERROR(__xludf.DUMMYFUNCTION("TRIM(SUBSTITUTE(SUBSTITUTE(D774, index(SPLIT(D774, "" ""), COLUMNS(SPLIT(D774, "" ""))), """"), index(SPLIT(D774, "" ""), COLUMNS(SPLIT(D774, "" ""))-1), """"))"),"Кам'яномостівська")</f>
        <v>Кам'яномостівська</v>
      </c>
    </row>
    <row r="775" spans="1:17" ht="75.5">
      <c r="A775" s="2"/>
      <c r="B775" s="2" t="s">
        <v>1788</v>
      </c>
      <c r="C775" s="2" t="s">
        <v>1882</v>
      </c>
      <c r="D775" s="2" t="s">
        <v>1892</v>
      </c>
      <c r="E775" s="2"/>
      <c r="F775" s="2" t="s">
        <v>32</v>
      </c>
      <c r="G775" s="2">
        <v>27</v>
      </c>
      <c r="H775" s="2">
        <v>814.2</v>
      </c>
      <c r="I775" s="2">
        <v>23508</v>
      </c>
      <c r="J775" s="2" t="s">
        <v>1893</v>
      </c>
      <c r="K775" s="2">
        <v>16</v>
      </c>
      <c r="L775" s="2" t="s">
        <v>1894</v>
      </c>
      <c r="Q775" s="4" t="str">
        <f ca="1">IFERROR(__xludf.DUMMYFUNCTION("TRIM(SUBSTITUTE(SUBSTITUTE(D775, index(SPLIT(D775, "" ""), COLUMNS(SPLIT(D775, "" ""))), """"), index(SPLIT(D775, "" ""), COLUMNS(SPLIT(D775, "" ""))-1), """"))"),"Кривоозерська")</f>
        <v>Кривоозерська</v>
      </c>
    </row>
    <row r="776" spans="1:17" ht="38">
      <c r="A776" s="2"/>
      <c r="B776" s="2" t="s">
        <v>1788</v>
      </c>
      <c r="C776" s="2" t="s">
        <v>1882</v>
      </c>
      <c r="D776" s="2" t="s">
        <v>1895</v>
      </c>
      <c r="E776" s="2"/>
      <c r="F776" s="2" t="s">
        <v>28</v>
      </c>
      <c r="G776" s="2">
        <v>13</v>
      </c>
      <c r="H776" s="2">
        <v>391.1</v>
      </c>
      <c r="I776" s="2">
        <v>8243</v>
      </c>
      <c r="J776" s="2" t="s">
        <v>46</v>
      </c>
      <c r="K776" s="2">
        <v>4</v>
      </c>
      <c r="L776" s="2" t="s">
        <v>1896</v>
      </c>
      <c r="Q776" s="4" t="str">
        <f ca="1">IFERROR(__xludf.DUMMYFUNCTION("TRIM(SUBSTITUTE(SUBSTITUTE(D776, index(SPLIT(D776, "" ""), COLUMNS(SPLIT(D776, "" ""))), """"), index(SPLIT(D776, "" ""), COLUMNS(SPLIT(D776, "" ""))-1), """"))"),"Мигіївська")</f>
        <v>Мигіївська</v>
      </c>
    </row>
    <row r="777" spans="1:17" ht="50.5">
      <c r="A777" s="2"/>
      <c r="B777" s="2" t="s">
        <v>1788</v>
      </c>
      <c r="C777" s="2" t="s">
        <v>1882</v>
      </c>
      <c r="D777" s="2" t="s">
        <v>1868</v>
      </c>
      <c r="E777" s="2"/>
      <c r="F777" s="2" t="s">
        <v>20</v>
      </c>
      <c r="G777" s="2">
        <v>7</v>
      </c>
      <c r="H777" s="2">
        <v>282</v>
      </c>
      <c r="I777" s="2">
        <v>70327</v>
      </c>
      <c r="J777" s="2" t="s">
        <v>1869</v>
      </c>
      <c r="K777" s="2">
        <v>5</v>
      </c>
      <c r="L777" s="2" t="s">
        <v>1870</v>
      </c>
      <c r="Q777" s="4" t="str">
        <f ca="1">IFERROR(__xludf.DUMMYFUNCTION("TRIM(SUBSTITUTE(SUBSTITUTE(D777, index(SPLIT(D777, "" ""), COLUMNS(SPLIT(D777, "" ""))), """"), index(SPLIT(D777, "" ""), COLUMNS(SPLIT(D777, "" ""))-1), """"))"),"Первомайська")</f>
        <v>Первомайська</v>
      </c>
    </row>
    <row r="778" spans="1:17" ht="50.5">
      <c r="A778" s="2"/>
      <c r="B778" s="2" t="s">
        <v>1788</v>
      </c>
      <c r="C778" s="2" t="s">
        <v>1882</v>
      </c>
      <c r="D778" s="2" t="s">
        <v>1897</v>
      </c>
      <c r="E778" s="2"/>
      <c r="F778" s="2" t="s">
        <v>28</v>
      </c>
      <c r="G778" s="2">
        <v>17</v>
      </c>
      <c r="H778" s="2">
        <v>343.1</v>
      </c>
      <c r="I778" s="2">
        <v>5754</v>
      </c>
      <c r="J778" s="2" t="s">
        <v>1898</v>
      </c>
      <c r="K778" s="2">
        <v>7</v>
      </c>
      <c r="L778" s="2" t="s">
        <v>1899</v>
      </c>
      <c r="Q778" s="4" t="str">
        <f ca="1">IFERROR(__xludf.DUMMYFUNCTION("TRIM(SUBSTITUTE(SUBSTITUTE(D778, index(SPLIT(D778, "" ""), COLUMNS(SPLIT(D778, "" ""))), """"), index(SPLIT(D778, "" ""), COLUMNS(SPLIT(D778, "" ""))-1), """"))"),"Синюхинобрідська")</f>
        <v>Синюхинобрідська</v>
      </c>
    </row>
    <row r="779" spans="1:17" ht="38">
      <c r="A779" s="2"/>
      <c r="B779" s="2" t="s">
        <v>1900</v>
      </c>
      <c r="C779" s="2" t="s">
        <v>1901</v>
      </c>
      <c r="D779" s="2" t="s">
        <v>1902</v>
      </c>
      <c r="E779" s="2"/>
      <c r="F779" s="2" t="s">
        <v>20</v>
      </c>
      <c r="G779" s="2">
        <v>1</v>
      </c>
      <c r="H779" s="2">
        <v>50.4</v>
      </c>
      <c r="I779" s="2">
        <v>70731</v>
      </c>
      <c r="J779" s="2" t="s">
        <v>1903</v>
      </c>
      <c r="K779" s="2">
        <v>1</v>
      </c>
      <c r="L779" s="2" t="s">
        <v>1904</v>
      </c>
      <c r="Q779" s="4" t="str">
        <f ca="1">IFERROR(__xludf.DUMMYFUNCTION("TRIM(SUBSTITUTE(SUBSTITUTE(D779, index(SPLIT(D779, "" ""), COLUMNS(SPLIT(D779, "" ""))), """"), index(SPLIT(D779, "" ""), COLUMNS(SPLIT(D779, "" ""))-1), """"))"),"Ізмаїльська")</f>
        <v>Ізмаїльська</v>
      </c>
    </row>
    <row r="780" spans="1:17" ht="38">
      <c r="A780" s="2"/>
      <c r="B780" s="2" t="s">
        <v>1900</v>
      </c>
      <c r="C780" s="2" t="s">
        <v>1901</v>
      </c>
      <c r="D780" s="2" t="s">
        <v>1905</v>
      </c>
      <c r="E780" s="2"/>
      <c r="F780" s="2" t="s">
        <v>20</v>
      </c>
      <c r="G780" s="2">
        <v>5</v>
      </c>
      <c r="H780" s="2">
        <v>585.9</v>
      </c>
      <c r="I780" s="2">
        <v>12723</v>
      </c>
      <c r="J780" s="2" t="s">
        <v>39</v>
      </c>
      <c r="K780" s="2">
        <v>4</v>
      </c>
      <c r="L780" s="2" t="s">
        <v>1906</v>
      </c>
      <c r="Q780" s="4" t="str">
        <f ca="1">IFERROR(__xludf.DUMMYFUNCTION("TRIM(SUBSTITUTE(SUBSTITUTE(D780, index(SPLIT(D780, "" ""), COLUMNS(SPLIT(D780, "" ""))), """"), index(SPLIT(D780, "" ""), COLUMNS(SPLIT(D780, "" ""))-1), """"))"),"Вилківська")</f>
        <v>Вилківська</v>
      </c>
    </row>
    <row r="781" spans="1:17" ht="38">
      <c r="A781" s="2"/>
      <c r="B781" s="2" t="s">
        <v>1900</v>
      </c>
      <c r="C781" s="2" t="s">
        <v>1901</v>
      </c>
      <c r="D781" s="2" t="s">
        <v>1907</v>
      </c>
      <c r="E781" s="2"/>
      <c r="F781" s="2" t="s">
        <v>20</v>
      </c>
      <c r="G781" s="2">
        <v>11</v>
      </c>
      <c r="H781" s="2">
        <v>713.7</v>
      </c>
      <c r="I781" s="2">
        <v>33699</v>
      </c>
      <c r="J781" s="2" t="s">
        <v>93</v>
      </c>
      <c r="K781" s="2">
        <v>9</v>
      </c>
      <c r="L781" s="2" t="s">
        <v>1908</v>
      </c>
      <c r="Q781" s="4" t="str">
        <f ca="1">IFERROR(__xludf.DUMMYFUNCTION("TRIM(SUBSTITUTE(SUBSTITUTE(D781, index(SPLIT(D781, "" ""), COLUMNS(SPLIT(D781, "" ""))), """"), index(SPLIT(D781, "" ""), COLUMNS(SPLIT(D781, "" ""))-1), """"))"),"Кілійська")</f>
        <v>Кілійська</v>
      </c>
    </row>
    <row r="782" spans="1:17" ht="38">
      <c r="A782" s="2"/>
      <c r="B782" s="2" t="s">
        <v>1900</v>
      </c>
      <c r="C782" s="2" t="s">
        <v>1901</v>
      </c>
      <c r="D782" s="2" t="s">
        <v>1909</v>
      </c>
      <c r="E782" s="2"/>
      <c r="F782" s="2" t="s">
        <v>20</v>
      </c>
      <c r="G782" s="2">
        <v>8</v>
      </c>
      <c r="H782" s="2">
        <v>521.4</v>
      </c>
      <c r="I782" s="2">
        <v>35637</v>
      </c>
      <c r="J782" s="2" t="s">
        <v>1910</v>
      </c>
      <c r="K782" s="2">
        <v>8</v>
      </c>
      <c r="L782" s="2" t="s">
        <v>1911</v>
      </c>
      <c r="Q782" s="4" t="str">
        <f ca="1">IFERROR(__xludf.DUMMYFUNCTION("TRIM(SUBSTITUTE(SUBSTITUTE(D782, index(SPLIT(D782, "" ""), COLUMNS(SPLIT(D782, "" ""))), """"), index(SPLIT(D782, "" ""), COLUMNS(SPLIT(D782, "" ""))-1), """"))"),"Ренійська")</f>
        <v>Ренійська</v>
      </c>
    </row>
    <row r="783" spans="1:17" ht="75.5">
      <c r="A783" s="2"/>
      <c r="B783" s="2" t="s">
        <v>1900</v>
      </c>
      <c r="C783" s="2" t="s">
        <v>1901</v>
      </c>
      <c r="D783" s="2" t="s">
        <v>1912</v>
      </c>
      <c r="E783" s="2"/>
      <c r="F783" s="2" t="s">
        <v>28</v>
      </c>
      <c r="G783" s="2">
        <v>19</v>
      </c>
      <c r="H783" s="2">
        <v>995.1</v>
      </c>
      <c r="I783" s="2">
        <v>42588</v>
      </c>
      <c r="J783" s="2" t="s">
        <v>1913</v>
      </c>
      <c r="K783" s="2">
        <v>16</v>
      </c>
      <c r="L783" s="2" t="s">
        <v>1914</v>
      </c>
      <c r="Q783" s="4" t="str">
        <f ca="1">IFERROR(__xludf.DUMMYFUNCTION("TRIM(SUBSTITUTE(SUBSTITUTE(D783, index(SPLIT(D783, "" ""), COLUMNS(SPLIT(D783, "" ""))), """"), index(SPLIT(D783, "" ""), COLUMNS(SPLIT(D783, "" ""))-1), """"))"),"Саф'янівська")</f>
        <v>Саф'янівська</v>
      </c>
    </row>
    <row r="784" spans="1:17" ht="38">
      <c r="A784" s="2"/>
      <c r="B784" s="2" t="s">
        <v>1900</v>
      </c>
      <c r="C784" s="2" t="s">
        <v>1901</v>
      </c>
      <c r="D784" s="2" t="s">
        <v>1915</v>
      </c>
      <c r="E784" s="2"/>
      <c r="F784" s="2" t="s">
        <v>32</v>
      </c>
      <c r="G784" s="2">
        <v>7</v>
      </c>
      <c r="H784" s="2">
        <v>370.9</v>
      </c>
      <c r="I784" s="2">
        <v>11916</v>
      </c>
      <c r="J784" s="2" t="s">
        <v>1916</v>
      </c>
      <c r="K784" s="2">
        <v>6</v>
      </c>
      <c r="L784" s="2" t="s">
        <v>1917</v>
      </c>
      <c r="Q784" s="4" t="str">
        <f ca="1">IFERROR(__xludf.DUMMYFUNCTION("TRIM(SUBSTITUTE(SUBSTITUTE(D784, index(SPLIT(D784, "" ""), COLUMNS(SPLIT(D784, "" ""))), """"), index(SPLIT(D784, "" ""), COLUMNS(SPLIT(D784, "" ""))-1), """"))"),"Суворовська")</f>
        <v>Суворовська</v>
      </c>
    </row>
    <row r="785" spans="1:17" ht="38">
      <c r="A785" s="2"/>
      <c r="B785" s="2" t="s">
        <v>1900</v>
      </c>
      <c r="C785" s="2" t="s">
        <v>1918</v>
      </c>
      <c r="D785" s="2" t="s">
        <v>152</v>
      </c>
      <c r="E785" s="2"/>
      <c r="F785" s="2" t="s">
        <v>32</v>
      </c>
      <c r="G785" s="2">
        <v>19</v>
      </c>
      <c r="H785" s="2">
        <v>431.4</v>
      </c>
      <c r="I785" s="2">
        <v>8137</v>
      </c>
      <c r="J785" s="2" t="s">
        <v>163</v>
      </c>
      <c r="K785" s="2">
        <v>5</v>
      </c>
      <c r="L785" s="2" t="s">
        <v>1919</v>
      </c>
      <c r="Q785" s="4" t="str">
        <f ca="1">IFERROR(__xludf.DUMMYFUNCTION("TRIM(SUBSTITUTE(SUBSTITUTE(D785, index(SPLIT(D785, "" ""), COLUMNS(SPLIT(D785, "" ""))), """"), index(SPLIT(D785, "" ""), COLUMNS(SPLIT(D785, "" ""))-1), """"))"),"Іванівська")</f>
        <v>Іванівська</v>
      </c>
    </row>
    <row r="786" spans="1:17" ht="50.5">
      <c r="A786" s="2"/>
      <c r="B786" s="2" t="s">
        <v>1900</v>
      </c>
      <c r="C786" s="2" t="s">
        <v>1918</v>
      </c>
      <c r="D786" s="2" t="s">
        <v>1920</v>
      </c>
      <c r="E786" s="2"/>
      <c r="F786" s="2" t="s">
        <v>28</v>
      </c>
      <c r="G786" s="2">
        <v>12</v>
      </c>
      <c r="H786" s="2">
        <v>306.5</v>
      </c>
      <c r="I786" s="2">
        <v>5233</v>
      </c>
      <c r="J786" s="2" t="s">
        <v>163</v>
      </c>
      <c r="K786" s="2">
        <v>5</v>
      </c>
      <c r="L786" s="2" t="s">
        <v>1921</v>
      </c>
      <c r="Q786" s="4" t="str">
        <f ca="1">IFERROR(__xludf.DUMMYFUNCTION("TRIM(SUBSTITUTE(SUBSTITUTE(D786, index(SPLIT(D786, "" ""), COLUMNS(SPLIT(D786, "" ""))), """"), index(SPLIT(D786, "" ""), COLUMNS(SPLIT(D786, "" ""))-1), """"))"),"Андрієво-Іванівська")</f>
        <v>Андрієво-Іванівська</v>
      </c>
    </row>
    <row r="787" spans="1:17" ht="50.5">
      <c r="A787" s="2"/>
      <c r="B787" s="2" t="s">
        <v>1900</v>
      </c>
      <c r="C787" s="2" t="s">
        <v>1918</v>
      </c>
      <c r="D787" s="2" t="s">
        <v>610</v>
      </c>
      <c r="E787" s="2"/>
      <c r="F787" s="2" t="s">
        <v>20</v>
      </c>
      <c r="G787" s="2">
        <v>27</v>
      </c>
      <c r="H787" s="2">
        <v>686.9</v>
      </c>
      <c r="I787" s="2">
        <v>16531</v>
      </c>
      <c r="J787" s="2" t="s">
        <v>39</v>
      </c>
      <c r="K787" s="2">
        <v>9</v>
      </c>
      <c r="L787" s="2" t="s">
        <v>1922</v>
      </c>
      <c r="Q787" s="4" t="str">
        <f ca="1">IFERROR(__xludf.DUMMYFUNCTION("TRIM(SUBSTITUTE(SUBSTITUTE(D787, index(SPLIT(D787, "" ""), COLUMNS(SPLIT(D787, "" ""))), """"), index(SPLIT(D787, "" ""), COLUMNS(SPLIT(D787, "" ""))-1), """"))"),"Березівська")</f>
        <v>Березівська</v>
      </c>
    </row>
    <row r="788" spans="1:17" ht="50.5">
      <c r="A788" s="2"/>
      <c r="B788" s="2" t="s">
        <v>1900</v>
      </c>
      <c r="C788" s="2" t="s">
        <v>1918</v>
      </c>
      <c r="D788" s="2" t="s">
        <v>1923</v>
      </c>
      <c r="E788" s="2"/>
      <c r="F788" s="2" t="s">
        <v>28</v>
      </c>
      <c r="G788" s="2">
        <v>3</v>
      </c>
      <c r="H788" s="2">
        <v>165.9</v>
      </c>
      <c r="I788" s="2">
        <v>6086</v>
      </c>
      <c r="J788" s="2" t="s">
        <v>46</v>
      </c>
      <c r="K788" s="2">
        <v>2</v>
      </c>
      <c r="L788" s="2" t="s">
        <v>1924</v>
      </c>
      <c r="Q788" s="4" t="str">
        <f ca="1">IFERROR(__xludf.DUMMYFUNCTION("TRIM(SUBSTITUTE(SUBSTITUTE(D788, index(SPLIT(D788, "" ""), COLUMNS(SPLIT(D788, "" ""))), """"), index(SPLIT(D788, "" ""), COLUMNS(SPLIT(D788, "" ""))-1), """"))"),"Великобуялицька")</f>
        <v>Великобуялицька</v>
      </c>
    </row>
    <row r="789" spans="1:17" ht="38">
      <c r="A789" s="2"/>
      <c r="B789" s="2" t="s">
        <v>1900</v>
      </c>
      <c r="C789" s="2" t="s">
        <v>1918</v>
      </c>
      <c r="D789" s="2" t="s">
        <v>1452</v>
      </c>
      <c r="E789" s="2"/>
      <c r="F789" s="2" t="s">
        <v>28</v>
      </c>
      <c r="G789" s="2">
        <v>17</v>
      </c>
      <c r="H789" s="2">
        <v>411</v>
      </c>
      <c r="I789" s="2">
        <v>8447</v>
      </c>
      <c r="J789" s="2" t="s">
        <v>39</v>
      </c>
      <c r="K789" s="2">
        <v>6</v>
      </c>
      <c r="L789" s="2" t="s">
        <v>1925</v>
      </c>
      <c r="Q789" s="4" t="str">
        <f ca="1">IFERROR(__xludf.DUMMYFUNCTION("TRIM(SUBSTITUTE(SUBSTITUTE(D789, index(SPLIT(D789, "" ""), COLUMNS(SPLIT(D789, "" ""))), """"), index(SPLIT(D789, "" ""), COLUMNS(SPLIT(D789, "" ""))-1), """"))"),"Знам’янська")</f>
        <v>Знам’янська</v>
      </c>
    </row>
    <row r="790" spans="1:17" ht="50.5">
      <c r="A790" s="2"/>
      <c r="B790" s="2" t="s">
        <v>1900</v>
      </c>
      <c r="C790" s="2" t="s">
        <v>1918</v>
      </c>
      <c r="D790" s="2" t="s">
        <v>1926</v>
      </c>
      <c r="E790" s="2"/>
      <c r="F790" s="2" t="s">
        <v>28</v>
      </c>
      <c r="G790" s="2">
        <v>20</v>
      </c>
      <c r="H790" s="2">
        <v>445</v>
      </c>
      <c r="I790" s="2">
        <v>6339</v>
      </c>
      <c r="J790" s="2" t="s">
        <v>33</v>
      </c>
      <c r="K790" s="2">
        <v>4</v>
      </c>
      <c r="L790" s="2" t="s">
        <v>1927</v>
      </c>
      <c r="Q790" s="4" t="str">
        <f ca="1">IFERROR(__xludf.DUMMYFUNCTION("TRIM(SUBSTITUTE(SUBSTITUTE(D790, index(SPLIT(D790, "" ""), COLUMNS(SPLIT(D790, "" ""))), """"), index(SPLIT(D790, "" ""), COLUMNS(SPLIT(D790, "" ""))-1), """"))"),"Коноплянська")</f>
        <v>Коноплянська</v>
      </c>
    </row>
    <row r="791" spans="1:17" ht="38">
      <c r="A791" s="2"/>
      <c r="B791" s="2" t="s">
        <v>1900</v>
      </c>
      <c r="C791" s="2" t="s">
        <v>1918</v>
      </c>
      <c r="D791" s="2" t="s">
        <v>1928</v>
      </c>
      <c r="E791" s="2"/>
      <c r="F791" s="2" t="s">
        <v>28</v>
      </c>
      <c r="G791" s="2">
        <v>8</v>
      </c>
      <c r="H791" s="2">
        <v>257.60000000000002</v>
      </c>
      <c r="I791" s="2">
        <v>8505</v>
      </c>
      <c r="J791" s="2" t="s">
        <v>1929</v>
      </c>
      <c r="K791" s="2">
        <v>4</v>
      </c>
      <c r="L791" s="2" t="s">
        <v>1930</v>
      </c>
      <c r="Q791" s="4" t="str">
        <f ca="1">IFERROR(__xludf.DUMMYFUNCTION("TRIM(SUBSTITUTE(SUBSTITUTE(D791, index(SPLIT(D791, "" ""), COLUMNS(SPLIT(D791, "" ""))), """"), index(SPLIT(D791, "" ""), COLUMNS(SPLIT(D791, "" ""))-1), """"))"),"Курісовська")</f>
        <v>Курісовська</v>
      </c>
    </row>
    <row r="792" spans="1:17" ht="50.5">
      <c r="A792" s="2"/>
      <c r="B792" s="2" t="s">
        <v>1900</v>
      </c>
      <c r="C792" s="2" t="s">
        <v>1918</v>
      </c>
      <c r="D792" s="2" t="s">
        <v>297</v>
      </c>
      <c r="E792" s="2"/>
      <c r="F792" s="2" t="s">
        <v>32</v>
      </c>
      <c r="G792" s="2">
        <v>23</v>
      </c>
      <c r="H792" s="2">
        <v>537</v>
      </c>
      <c r="I792" s="2">
        <v>7172</v>
      </c>
      <c r="J792" s="2" t="s">
        <v>1931</v>
      </c>
      <c r="K792" s="2">
        <v>5</v>
      </c>
      <c r="L792" s="2" t="s">
        <v>1932</v>
      </c>
      <c r="Q792" s="4" t="str">
        <f ca="1">IFERROR(__xludf.DUMMYFUNCTION("TRIM(SUBSTITUTE(SUBSTITUTE(D792, index(SPLIT(D792, "" ""), COLUMNS(SPLIT(D792, "" ""))), """"), index(SPLIT(D792, "" ""), COLUMNS(SPLIT(D792, "" ""))-1), """"))"),"Миколаївська")</f>
        <v>Миколаївська</v>
      </c>
    </row>
    <row r="793" spans="1:17" ht="50.5">
      <c r="A793" s="2"/>
      <c r="B793" s="2" t="s">
        <v>1900</v>
      </c>
      <c r="C793" s="2" t="s">
        <v>1918</v>
      </c>
      <c r="D793" s="2" t="s">
        <v>1933</v>
      </c>
      <c r="E793" s="2"/>
      <c r="F793" s="2" t="s">
        <v>28</v>
      </c>
      <c r="G793" s="2">
        <v>12</v>
      </c>
      <c r="H793" s="2">
        <v>434</v>
      </c>
      <c r="I793" s="2">
        <v>4001</v>
      </c>
      <c r="J793" s="2" t="s">
        <v>143</v>
      </c>
      <c r="K793" s="2">
        <v>3</v>
      </c>
      <c r="L793" s="2" t="s">
        <v>1934</v>
      </c>
      <c r="Q793" s="4" t="str">
        <f ca="1">IFERROR(__xludf.DUMMYFUNCTION("TRIM(SUBSTITUTE(SUBSTITUTE(D793, index(SPLIT(D793, "" ""), COLUMNS(SPLIT(D793, "" ""))), """"), index(SPLIT(D793, "" ""), COLUMNS(SPLIT(D793, "" ""))-1), """"))"),"Новокальчевська")</f>
        <v>Новокальчевська</v>
      </c>
    </row>
    <row r="794" spans="1:17" ht="50.5">
      <c r="A794" s="2"/>
      <c r="B794" s="2" t="s">
        <v>1900</v>
      </c>
      <c r="C794" s="2" t="s">
        <v>1918</v>
      </c>
      <c r="D794" s="2" t="s">
        <v>1935</v>
      </c>
      <c r="E794" s="2"/>
      <c r="F794" s="2" t="s">
        <v>28</v>
      </c>
      <c r="G794" s="2">
        <v>10</v>
      </c>
      <c r="H794" s="2">
        <v>293.3</v>
      </c>
      <c r="I794" s="2">
        <v>4847</v>
      </c>
      <c r="J794" s="2" t="s">
        <v>163</v>
      </c>
      <c r="K794" s="2">
        <v>3</v>
      </c>
      <c r="L794" s="2" t="s">
        <v>1936</v>
      </c>
      <c r="Q794" s="4" t="str">
        <f ca="1">IFERROR(__xludf.DUMMYFUNCTION("TRIM(SUBSTITUTE(SUBSTITUTE(D794, index(SPLIT(D794, "" ""), COLUMNS(SPLIT(D794, "" ""))), """"), index(SPLIT(D794, "" ""), COLUMNS(SPLIT(D794, "" ""))-1), """"))"),"Петровірівська")</f>
        <v>Петровірівська</v>
      </c>
    </row>
    <row r="795" spans="1:17" ht="38">
      <c r="A795" s="2"/>
      <c r="B795" s="2" t="s">
        <v>1900</v>
      </c>
      <c r="C795" s="2" t="s">
        <v>1918</v>
      </c>
      <c r="D795" s="2" t="s">
        <v>1937</v>
      </c>
      <c r="E795" s="2"/>
      <c r="F795" s="2" t="s">
        <v>32</v>
      </c>
      <c r="G795" s="2">
        <v>11</v>
      </c>
      <c r="H795" s="2">
        <v>280.8</v>
      </c>
      <c r="I795" s="2">
        <v>7849</v>
      </c>
      <c r="J795" s="2" t="s">
        <v>1938</v>
      </c>
      <c r="K795" s="2">
        <v>5</v>
      </c>
      <c r="L795" s="2" t="s">
        <v>1939</v>
      </c>
      <c r="Q795" s="4" t="str">
        <f ca="1">IFERROR(__xludf.DUMMYFUNCTION("TRIM(SUBSTITUTE(SUBSTITUTE(D795, index(SPLIT(D795, "" ""), COLUMNS(SPLIT(D795, "" ""))), """"), index(SPLIT(D795, "" ""), COLUMNS(SPLIT(D795, "" ""))-1), """"))"),"Раухівська")</f>
        <v>Раухівська</v>
      </c>
    </row>
    <row r="796" spans="1:17" ht="38">
      <c r="A796" s="2"/>
      <c r="B796" s="2" t="s">
        <v>1900</v>
      </c>
      <c r="C796" s="2" t="s">
        <v>1918</v>
      </c>
      <c r="D796" s="2" t="s">
        <v>1940</v>
      </c>
      <c r="E796" s="2"/>
      <c r="F796" s="2" t="s">
        <v>28</v>
      </c>
      <c r="G796" s="2">
        <v>14</v>
      </c>
      <c r="H796" s="2">
        <v>236.8</v>
      </c>
      <c r="I796" s="2">
        <v>4092</v>
      </c>
      <c r="J796" s="2" t="s">
        <v>143</v>
      </c>
      <c r="K796" s="2">
        <v>3</v>
      </c>
      <c r="L796" s="2" t="s">
        <v>1941</v>
      </c>
      <c r="Q796" s="4" t="str">
        <f ca="1">IFERROR(__xludf.DUMMYFUNCTION("TRIM(SUBSTITUTE(SUBSTITUTE(D796, index(SPLIT(D796, "" ""), COLUMNS(SPLIT(D796, "" ""))), """"), index(SPLIT(D796, "" ""), COLUMNS(SPLIT(D796, "" ""))-1), """"))"),"Розквітівська")</f>
        <v>Розквітівська</v>
      </c>
    </row>
    <row r="797" spans="1:17" ht="50.5">
      <c r="A797" s="2"/>
      <c r="B797" s="2" t="s">
        <v>1900</v>
      </c>
      <c r="C797" s="2" t="s">
        <v>1918</v>
      </c>
      <c r="D797" s="2" t="s">
        <v>1942</v>
      </c>
      <c r="E797" s="2"/>
      <c r="F797" s="2" t="s">
        <v>28</v>
      </c>
      <c r="G797" s="2">
        <v>18</v>
      </c>
      <c r="H797" s="2">
        <v>305.2</v>
      </c>
      <c r="I797" s="2">
        <v>4518</v>
      </c>
      <c r="J797" s="2" t="s">
        <v>1943</v>
      </c>
      <c r="K797" s="2">
        <v>5</v>
      </c>
      <c r="L797" s="2" t="s">
        <v>1944</v>
      </c>
      <c r="Q797" s="4" t="str">
        <f ca="1">IFERROR(__xludf.DUMMYFUNCTION("TRIM(SUBSTITUTE(SUBSTITUTE(D797, index(SPLIT(D797, "" ""), COLUMNS(SPLIT(D797, "" ""))), """"), index(SPLIT(D797, "" ""), COLUMNS(SPLIT(D797, "" ""))-1), """"))"),"Старомаяківська")</f>
        <v>Старомаяківська</v>
      </c>
    </row>
    <row r="798" spans="1:17" ht="38">
      <c r="A798" s="2"/>
      <c r="B798" s="2" t="s">
        <v>1900</v>
      </c>
      <c r="C798" s="2" t="s">
        <v>1918</v>
      </c>
      <c r="D798" s="2" t="s">
        <v>1945</v>
      </c>
      <c r="E798" s="2"/>
      <c r="F798" s="2" t="s">
        <v>28</v>
      </c>
      <c r="G798" s="2">
        <v>11</v>
      </c>
      <c r="H798" s="2">
        <v>248.5</v>
      </c>
      <c r="I798" s="2">
        <v>2785</v>
      </c>
      <c r="J798" s="2" t="s">
        <v>1946</v>
      </c>
      <c r="K798" s="2">
        <v>3</v>
      </c>
      <c r="L798" s="2" t="s">
        <v>1947</v>
      </c>
      <c r="Q798" s="4" t="str">
        <f ca="1">IFERROR(__xludf.DUMMYFUNCTION("TRIM(SUBSTITUTE(SUBSTITUTE(D798, index(SPLIT(D798, "" ""), COLUMNS(SPLIT(D798, "" ""))), """"), index(SPLIT(D798, "" ""), COLUMNS(SPLIT(D798, "" ""))-1), """"))"),"Стрюківська")</f>
        <v>Стрюківська</v>
      </c>
    </row>
    <row r="799" spans="1:17" ht="50.5">
      <c r="A799" s="2"/>
      <c r="B799" s="2" t="s">
        <v>1900</v>
      </c>
      <c r="C799" s="2" t="s">
        <v>1918</v>
      </c>
      <c r="D799" s="2" t="s">
        <v>1948</v>
      </c>
      <c r="E799" s="2"/>
      <c r="F799" s="2" t="s">
        <v>28</v>
      </c>
      <c r="G799" s="2">
        <v>9</v>
      </c>
      <c r="H799" s="2">
        <v>181.3</v>
      </c>
      <c r="I799" s="2">
        <v>2087</v>
      </c>
      <c r="J799" s="2" t="s">
        <v>163</v>
      </c>
      <c r="K799" s="2">
        <v>3</v>
      </c>
      <c r="L799" s="2" t="s">
        <v>1949</v>
      </c>
      <c r="Q799" s="4" t="str">
        <f ca="1">IFERROR(__xludf.DUMMYFUNCTION("TRIM(SUBSTITUTE(SUBSTITUTE(D799, index(SPLIT(D799, "" ""), COLUMNS(SPLIT(D799, "" ""))), """"), index(SPLIT(D799, "" ""), COLUMNS(SPLIT(D799, "" ""))-1), """"))"),"Чогодарівська")</f>
        <v>Чогодарівська</v>
      </c>
    </row>
    <row r="800" spans="1:17" ht="38">
      <c r="A800" s="2"/>
      <c r="B800" s="2" t="s">
        <v>1900</v>
      </c>
      <c r="C800" s="2" t="s">
        <v>1918</v>
      </c>
      <c r="D800" s="2" t="s">
        <v>1950</v>
      </c>
      <c r="E800" s="2"/>
      <c r="F800" s="2" t="s">
        <v>32</v>
      </c>
      <c r="G800" s="2">
        <v>12</v>
      </c>
      <c r="H800" s="2">
        <v>324.89999999999998</v>
      </c>
      <c r="I800" s="2">
        <v>9861</v>
      </c>
      <c r="J800" s="2" t="s">
        <v>33</v>
      </c>
      <c r="K800" s="2">
        <v>4</v>
      </c>
      <c r="L800" s="2" t="s">
        <v>1951</v>
      </c>
      <c r="Q800" s="4" t="str">
        <f ca="1">IFERROR(__xludf.DUMMYFUNCTION("TRIM(SUBSTITUTE(SUBSTITUTE(D800, index(SPLIT(D800, "" ""), COLUMNS(SPLIT(D800, "" ""))), """"), index(SPLIT(D800, "" ""), COLUMNS(SPLIT(D800, "" ""))-1), """"))"),"Ширяївська")</f>
        <v>Ширяївська</v>
      </c>
    </row>
    <row r="801" spans="1:17" ht="50.5">
      <c r="A801" s="2"/>
      <c r="B801" s="2" t="s">
        <v>1900</v>
      </c>
      <c r="C801" s="2" t="s">
        <v>1952</v>
      </c>
      <c r="D801" s="2" t="s">
        <v>1953</v>
      </c>
      <c r="E801" s="2"/>
      <c r="F801" s="2" t="s">
        <v>20</v>
      </c>
      <c r="G801" s="2">
        <v>13</v>
      </c>
      <c r="H801" s="2">
        <v>762.5</v>
      </c>
      <c r="I801" s="2">
        <v>31502</v>
      </c>
      <c r="J801" s="2" t="s">
        <v>1954</v>
      </c>
      <c r="K801" s="2">
        <v>10</v>
      </c>
      <c r="L801" s="2" t="s">
        <v>1955</v>
      </c>
      <c r="Q801" s="4" t="str">
        <f ca="1">IFERROR(__xludf.DUMMYFUNCTION("TRIM(SUBSTITUTE(SUBSTITUTE(D801, index(SPLIT(D801, "" ""), COLUMNS(SPLIT(D801, "" ""))), """"), index(SPLIT(D801, "" ""), COLUMNS(SPLIT(D801, "" ""))-1), """"))"),"Арцизька")</f>
        <v>Арцизька</v>
      </c>
    </row>
    <row r="802" spans="1:17" ht="38">
      <c r="A802" s="2"/>
      <c r="B802" s="2" t="s">
        <v>1900</v>
      </c>
      <c r="C802" s="2" t="s">
        <v>1952</v>
      </c>
      <c r="D802" s="2" t="s">
        <v>1956</v>
      </c>
      <c r="E802" s="2"/>
      <c r="F802" s="2" t="s">
        <v>20</v>
      </c>
      <c r="G802" s="2">
        <v>7</v>
      </c>
      <c r="H802" s="2">
        <v>295.5</v>
      </c>
      <c r="I802" s="2">
        <v>26050</v>
      </c>
      <c r="J802" s="2" t="s">
        <v>1957</v>
      </c>
      <c r="K802" s="2">
        <v>6</v>
      </c>
      <c r="L802" s="2" t="s">
        <v>1958</v>
      </c>
      <c r="Q802" s="4" t="str">
        <f ca="1">IFERROR(__xludf.DUMMYFUNCTION("TRIM(SUBSTITUTE(SUBSTITUTE(D802, index(SPLIT(D802, "" ""), COLUMNS(SPLIT(D802, "" ""))), """"), index(SPLIT(D802, "" ""), COLUMNS(SPLIT(D802, "" ""))-1), """"))"),"Болградська")</f>
        <v>Болградська</v>
      </c>
    </row>
    <row r="803" spans="1:17" ht="75.5">
      <c r="A803" s="2"/>
      <c r="B803" s="2" t="s">
        <v>1900</v>
      </c>
      <c r="C803" s="2" t="s">
        <v>1952</v>
      </c>
      <c r="D803" s="2" t="s">
        <v>1959</v>
      </c>
      <c r="E803" s="2"/>
      <c r="F803" s="2" t="s">
        <v>32</v>
      </c>
      <c r="G803" s="2">
        <v>34</v>
      </c>
      <c r="H803" s="2">
        <v>933.3</v>
      </c>
      <c r="I803" s="2">
        <v>15727</v>
      </c>
      <c r="J803" s="2" t="s">
        <v>1960</v>
      </c>
      <c r="K803" s="2">
        <v>17</v>
      </c>
      <c r="L803" s="2" t="s">
        <v>1961</v>
      </c>
      <c r="Q803" s="4" t="str">
        <f ca="1">IFERROR(__xludf.DUMMYFUNCTION("TRIM(SUBSTITUTE(SUBSTITUTE(D803, index(SPLIT(D803, "" ""), COLUMNS(SPLIT(D803, "" ""))), """"), index(SPLIT(D803, "" ""), COLUMNS(SPLIT(D803, "" ""))-1), """"))"),"Бородінська")</f>
        <v>Бородінська</v>
      </c>
    </row>
    <row r="804" spans="1:17" ht="38">
      <c r="A804" s="2"/>
      <c r="B804" s="2" t="s">
        <v>1900</v>
      </c>
      <c r="C804" s="2" t="s">
        <v>1952</v>
      </c>
      <c r="D804" s="2" t="s">
        <v>938</v>
      </c>
      <c r="E804" s="2"/>
      <c r="F804" s="2" t="s">
        <v>28</v>
      </c>
      <c r="G804" s="2">
        <v>6</v>
      </c>
      <c r="H804" s="2">
        <v>406.4</v>
      </c>
      <c r="I804" s="2">
        <v>11587</v>
      </c>
      <c r="J804" s="2" t="s">
        <v>939</v>
      </c>
      <c r="K804" s="2">
        <v>5</v>
      </c>
      <c r="L804" s="2" t="s">
        <v>1962</v>
      </c>
      <c r="Q804" s="4" t="str">
        <f ca="1">IFERROR(__xludf.DUMMYFUNCTION("TRIM(SUBSTITUTE(SUBSTITUTE(D804, index(SPLIT(D804, "" ""), COLUMNS(SPLIT(D804, "" ""))), """"), index(SPLIT(D804, "" ""), COLUMNS(SPLIT(D804, "" ""))-1), """"))"),"Василівська")</f>
        <v>Василівська</v>
      </c>
    </row>
    <row r="805" spans="1:17" ht="50.5">
      <c r="A805" s="2"/>
      <c r="B805" s="2" t="s">
        <v>1900</v>
      </c>
      <c r="C805" s="2" t="s">
        <v>1952</v>
      </c>
      <c r="D805" s="2" t="s">
        <v>1963</v>
      </c>
      <c r="E805" s="2"/>
      <c r="F805" s="2" t="s">
        <v>28</v>
      </c>
      <c r="G805" s="2">
        <v>4</v>
      </c>
      <c r="H805" s="2">
        <v>297.60000000000002</v>
      </c>
      <c r="I805" s="2">
        <v>14785</v>
      </c>
      <c r="J805" s="2" t="s">
        <v>1964</v>
      </c>
      <c r="K805" s="2">
        <v>4</v>
      </c>
      <c r="L805" s="2" t="s">
        <v>1965</v>
      </c>
      <c r="Q805" s="4" t="str">
        <f ca="1">IFERROR(__xludf.DUMMYFUNCTION("TRIM(SUBSTITUTE(SUBSTITUTE(D805, index(SPLIT(D805, "" ""), COLUMNS(SPLIT(D805, "" ""))), """"), index(SPLIT(D805, "" ""), COLUMNS(SPLIT(D805, "" ""))-1), """"))"),"Городненська")</f>
        <v>Городненська</v>
      </c>
    </row>
    <row r="806" spans="1:17" ht="50.5">
      <c r="A806" s="2"/>
      <c r="B806" s="2" t="s">
        <v>1900</v>
      </c>
      <c r="C806" s="2" t="s">
        <v>1952</v>
      </c>
      <c r="D806" s="2" t="s">
        <v>1966</v>
      </c>
      <c r="E806" s="2"/>
      <c r="F806" s="2" t="s">
        <v>28</v>
      </c>
      <c r="G806" s="2">
        <v>3</v>
      </c>
      <c r="H806" s="2">
        <v>97.2</v>
      </c>
      <c r="I806" s="2">
        <v>4308</v>
      </c>
      <c r="J806" s="2" t="s">
        <v>1967</v>
      </c>
      <c r="K806" s="2">
        <v>1</v>
      </c>
      <c r="L806" s="2" t="s">
        <v>1968</v>
      </c>
      <c r="Q806" s="4" t="str">
        <f ca="1">IFERROR(__xludf.DUMMYFUNCTION("TRIM(SUBSTITUTE(SUBSTITUTE(D806, index(SPLIT(D806, "" ""), COLUMNS(SPLIT(D806, "" ""))), """"), index(SPLIT(D806, "" ""), COLUMNS(SPLIT(D806, "" ""))-1), """"))"),"Криниченська")</f>
        <v>Криниченська</v>
      </c>
    </row>
    <row r="807" spans="1:17" ht="38">
      <c r="A807" s="2"/>
      <c r="B807" s="2" t="s">
        <v>1900</v>
      </c>
      <c r="C807" s="2" t="s">
        <v>1952</v>
      </c>
      <c r="D807" s="2" t="s">
        <v>1969</v>
      </c>
      <c r="E807" s="2"/>
      <c r="F807" s="2" t="s">
        <v>28</v>
      </c>
      <c r="G807" s="2">
        <v>3</v>
      </c>
      <c r="H807" s="2">
        <v>270.7</v>
      </c>
      <c r="I807" s="2">
        <v>9512</v>
      </c>
      <c r="J807" s="2" t="s">
        <v>1970</v>
      </c>
      <c r="K807" s="2">
        <v>3</v>
      </c>
      <c r="L807" s="2" t="s">
        <v>1971</v>
      </c>
      <c r="Q807" s="4" t="str">
        <f ca="1">IFERROR(__xludf.DUMMYFUNCTION("TRIM(SUBSTITUTE(SUBSTITUTE(D807, index(SPLIT(D807, "" ""), COLUMNS(SPLIT(D807, "" ""))), """"), index(SPLIT(D807, "" ""), COLUMNS(SPLIT(D807, "" ""))-1), """"))"),"Кубейська")</f>
        <v>Кубейська</v>
      </c>
    </row>
    <row r="808" spans="1:17" ht="38">
      <c r="A808" s="2"/>
      <c r="B808" s="2" t="s">
        <v>1900</v>
      </c>
      <c r="C808" s="2" t="s">
        <v>1952</v>
      </c>
      <c r="D808" s="2" t="s">
        <v>190</v>
      </c>
      <c r="E808" s="2"/>
      <c r="F808" s="2" t="s">
        <v>28</v>
      </c>
      <c r="G808" s="2">
        <v>8</v>
      </c>
      <c r="H808" s="2">
        <v>288.3</v>
      </c>
      <c r="I808" s="2">
        <v>5134</v>
      </c>
      <c r="J808" s="2" t="s">
        <v>1972</v>
      </c>
      <c r="K808" s="2">
        <v>4</v>
      </c>
      <c r="L808" s="2" t="s">
        <v>1973</v>
      </c>
      <c r="Q808" s="4" t="str">
        <f ca="1">IFERROR(__xludf.DUMMYFUNCTION("TRIM(SUBSTITUTE(SUBSTITUTE(D808, index(SPLIT(D808, "" ""), COLUMNS(SPLIT(D808, "" ""))), """"), index(SPLIT(D808, "" ""), COLUMNS(SPLIT(D808, "" ""))-1), """"))"),"Павлівська")</f>
        <v>Павлівська</v>
      </c>
    </row>
    <row r="809" spans="1:17" ht="50.5">
      <c r="A809" s="2"/>
      <c r="B809" s="2" t="s">
        <v>1900</v>
      </c>
      <c r="C809" s="2" t="s">
        <v>1952</v>
      </c>
      <c r="D809" s="2" t="s">
        <v>1974</v>
      </c>
      <c r="E809" s="2"/>
      <c r="F809" s="2" t="s">
        <v>32</v>
      </c>
      <c r="G809" s="2">
        <v>16</v>
      </c>
      <c r="H809" s="2">
        <v>872.9</v>
      </c>
      <c r="I809" s="2">
        <v>22308</v>
      </c>
      <c r="J809" s="2" t="s">
        <v>1975</v>
      </c>
      <c r="K809" s="2">
        <v>9</v>
      </c>
      <c r="L809" s="2" t="s">
        <v>1976</v>
      </c>
      <c r="Q809" s="4" t="str">
        <f ca="1">IFERROR(__xludf.DUMMYFUNCTION("TRIM(SUBSTITUTE(SUBSTITUTE(D809, index(SPLIT(D809, "" ""), COLUMNS(SPLIT(D809, "" ""))), """"), index(SPLIT(D809, "" ""), COLUMNS(SPLIT(D809, "" ""))-1), """"))"),"Тарутинська")</f>
        <v>Тарутинська</v>
      </c>
    </row>
    <row r="810" spans="1:17" ht="38">
      <c r="A810" s="2"/>
      <c r="B810" s="2" t="s">
        <v>1900</v>
      </c>
      <c r="C810" s="2" t="s">
        <v>1952</v>
      </c>
      <c r="D810" s="2" t="s">
        <v>90</v>
      </c>
      <c r="E810" s="2"/>
      <c r="F810" s="2" t="s">
        <v>28</v>
      </c>
      <c r="G810" s="2">
        <v>5</v>
      </c>
      <c r="H810" s="2">
        <v>265.39999999999998</v>
      </c>
      <c r="I810" s="2">
        <v>5511</v>
      </c>
      <c r="J810" s="2" t="s">
        <v>1977</v>
      </c>
      <c r="K810" s="2">
        <v>3</v>
      </c>
      <c r="L810" s="2" t="s">
        <v>1978</v>
      </c>
      <c r="Q810" s="4" t="str">
        <f ca="1">IFERROR(__xludf.DUMMYFUNCTION("TRIM(SUBSTITUTE(SUBSTITUTE(D810, index(SPLIT(D810, "" ""), COLUMNS(SPLIT(D810, "" ""))), """"), index(SPLIT(D810, "" ""), COLUMNS(SPLIT(D810, "" ""))-1), """"))"),"Теплицька")</f>
        <v>Теплицька</v>
      </c>
    </row>
    <row r="811" spans="1:17" ht="50.5">
      <c r="A811" s="2"/>
      <c r="B811" s="2" t="s">
        <v>1900</v>
      </c>
      <c r="C811" s="2" t="s">
        <v>1979</v>
      </c>
      <c r="D811" s="2" t="s">
        <v>1980</v>
      </c>
      <c r="E811" s="2"/>
      <c r="F811" s="2" t="s">
        <v>20</v>
      </c>
      <c r="G811" s="2">
        <v>1</v>
      </c>
      <c r="H811" s="2">
        <v>19.600000000000001</v>
      </c>
      <c r="I811" s="2">
        <v>48197</v>
      </c>
      <c r="J811" s="2" t="s">
        <v>1981</v>
      </c>
      <c r="K811" s="2">
        <v>1</v>
      </c>
      <c r="L811" s="2" t="s">
        <v>1982</v>
      </c>
      <c r="Q811" s="4" t="str">
        <f ca="1">IFERROR(__xludf.DUMMYFUNCTION("TRIM(SUBSTITUTE(SUBSTITUTE(D811, index(SPLIT(D811, "" ""), COLUMNS(SPLIT(D811, "" ""))), """"), index(SPLIT(D811, "" ""), COLUMNS(SPLIT(D811, "" ""))-1), """"))"),"Білгород-Дністровська")</f>
        <v>Білгород-Дністровська</v>
      </c>
    </row>
    <row r="812" spans="1:17" ht="38">
      <c r="A812" s="2"/>
      <c r="B812" s="2" t="s">
        <v>1900</v>
      </c>
      <c r="C812" s="2" t="s">
        <v>1979</v>
      </c>
      <c r="D812" s="2" t="s">
        <v>1983</v>
      </c>
      <c r="E812" s="2"/>
      <c r="F812" s="2" t="s">
        <v>28</v>
      </c>
      <c r="G812" s="2">
        <v>11</v>
      </c>
      <c r="H812" s="2">
        <v>347.7</v>
      </c>
      <c r="I812" s="2">
        <v>5664</v>
      </c>
      <c r="J812" s="2" t="s">
        <v>1984</v>
      </c>
      <c r="K812" s="2">
        <v>5</v>
      </c>
      <c r="L812" s="2" t="s">
        <v>1985</v>
      </c>
      <c r="Q812" s="4" t="str">
        <f ca="1">IFERROR(__xludf.DUMMYFUNCTION("TRIM(SUBSTITUTE(SUBSTITUTE(D812, index(SPLIT(D812, "" ""), COLUMNS(SPLIT(D812, "" ""))), """"), index(SPLIT(D812, "" ""), COLUMNS(SPLIT(D812, "" ""))-1), """"))"),"Дивізійська")</f>
        <v>Дивізійська</v>
      </c>
    </row>
    <row r="813" spans="1:17" ht="50.5">
      <c r="A813" s="2"/>
      <c r="B813" s="2" t="s">
        <v>1900</v>
      </c>
      <c r="C813" s="2" t="s">
        <v>1979</v>
      </c>
      <c r="D813" s="2" t="s">
        <v>1986</v>
      </c>
      <c r="E813" s="2"/>
      <c r="F813" s="2" t="s">
        <v>28</v>
      </c>
      <c r="G813" s="2">
        <v>2</v>
      </c>
      <c r="H813" s="2">
        <v>21.7</v>
      </c>
      <c r="I813" s="2">
        <v>4779</v>
      </c>
      <c r="J813" s="2" t="s">
        <v>1987</v>
      </c>
      <c r="K813" s="2">
        <v>2</v>
      </c>
      <c r="L813" s="2" t="s">
        <v>1988</v>
      </c>
      <c r="Q813" s="4" t="str">
        <f ca="1">IFERROR(__xludf.DUMMYFUNCTION("TRIM(SUBSTITUTE(SUBSTITUTE(D813, index(SPLIT(D813, "" ""), COLUMNS(SPLIT(D813, "" ""))), """"), index(SPLIT(D813, "" ""), COLUMNS(SPLIT(D813, "" ""))-1), """"))"),"Кароліно-Бугазька")</f>
        <v>Кароліно-Бугазька</v>
      </c>
    </row>
    <row r="814" spans="1:17" ht="50.5">
      <c r="A814" s="2"/>
      <c r="B814" s="2" t="s">
        <v>1900</v>
      </c>
      <c r="C814" s="2" t="s">
        <v>1979</v>
      </c>
      <c r="D814" s="2" t="s">
        <v>1989</v>
      </c>
      <c r="E814" s="2"/>
      <c r="F814" s="2" t="s">
        <v>28</v>
      </c>
      <c r="G814" s="2">
        <v>4</v>
      </c>
      <c r="H814" s="2">
        <v>211.8</v>
      </c>
      <c r="I814" s="2">
        <v>5738</v>
      </c>
      <c r="J814" s="2" t="s">
        <v>1990</v>
      </c>
      <c r="K814" s="2">
        <v>3</v>
      </c>
      <c r="L814" s="2" t="s">
        <v>1991</v>
      </c>
      <c r="Q814" s="4" t="str">
        <f ca="1">IFERROR(__xludf.DUMMYFUNCTION("TRIM(SUBSTITUTE(SUBSTITUTE(D814, index(SPLIT(D814, "" ""), COLUMNS(SPLIT(D814, "" ""))), """"), index(SPLIT(D814, "" ""), COLUMNS(SPLIT(D814, "" ""))-1), """"))"),"Кулевчанська")</f>
        <v>Кулевчанська</v>
      </c>
    </row>
    <row r="815" spans="1:17" ht="38">
      <c r="A815" s="2"/>
      <c r="B815" s="2" t="s">
        <v>1900</v>
      </c>
      <c r="C815" s="2" t="s">
        <v>1979</v>
      </c>
      <c r="D815" s="2" t="s">
        <v>518</v>
      </c>
      <c r="E815" s="2"/>
      <c r="F815" s="2" t="s">
        <v>28</v>
      </c>
      <c r="G815" s="2">
        <v>6</v>
      </c>
      <c r="H815" s="2">
        <v>205.4</v>
      </c>
      <c r="I815" s="2">
        <v>4577</v>
      </c>
      <c r="J815" s="2" t="s">
        <v>39</v>
      </c>
      <c r="K815" s="2">
        <v>3</v>
      </c>
      <c r="L815" s="2" t="s">
        <v>1992</v>
      </c>
      <c r="Q815" s="4" t="str">
        <f ca="1">IFERROR(__xludf.DUMMYFUNCTION("TRIM(SUBSTITUTE(SUBSTITUTE(D815, index(SPLIT(D815, "" ""), COLUMNS(SPLIT(D815, "" ""))), """"), index(SPLIT(D815, "" ""), COLUMNS(SPLIT(D815, "" ""))-1), """"))"),"Лиманська")</f>
        <v>Лиманська</v>
      </c>
    </row>
    <row r="816" spans="1:17" ht="50.5">
      <c r="A816" s="2"/>
      <c r="B816" s="2" t="s">
        <v>1900</v>
      </c>
      <c r="C816" s="2" t="s">
        <v>1979</v>
      </c>
      <c r="D816" s="2" t="s">
        <v>1993</v>
      </c>
      <c r="E816" s="2"/>
      <c r="F816" s="2" t="s">
        <v>28</v>
      </c>
      <c r="G816" s="2">
        <v>9</v>
      </c>
      <c r="H816" s="2">
        <v>296.10000000000002</v>
      </c>
      <c r="I816" s="2">
        <v>6647</v>
      </c>
      <c r="J816" s="2" t="s">
        <v>143</v>
      </c>
      <c r="K816" s="2">
        <v>4</v>
      </c>
      <c r="L816" s="2" t="s">
        <v>1994</v>
      </c>
      <c r="Q816" s="4" t="str">
        <f ca="1">IFERROR(__xludf.DUMMYFUNCTION("TRIM(SUBSTITUTE(SUBSTITUTE(D816, index(SPLIT(D816, "" ""), COLUMNS(SPLIT(D816, "" ""))), """"), index(SPLIT(D816, "" ""), COLUMNS(SPLIT(D816, "" ""))-1), """"))"),"Маразліївська")</f>
        <v>Маразліївська</v>
      </c>
    </row>
    <row r="817" spans="1:17" ht="38">
      <c r="A817" s="2"/>
      <c r="B817" s="2" t="s">
        <v>1900</v>
      </c>
      <c r="C817" s="2" t="s">
        <v>1979</v>
      </c>
      <c r="D817" s="2" t="s">
        <v>1995</v>
      </c>
      <c r="E817" s="2"/>
      <c r="F817" s="2" t="s">
        <v>28</v>
      </c>
      <c r="G817" s="2">
        <v>8</v>
      </c>
      <c r="H817" s="2">
        <v>207.9</v>
      </c>
      <c r="I817" s="2">
        <v>13051</v>
      </c>
      <c r="J817" s="2" t="s">
        <v>178</v>
      </c>
      <c r="K817" s="2">
        <v>3</v>
      </c>
      <c r="L817" s="2" t="s">
        <v>1996</v>
      </c>
      <c r="Q817" s="4" t="str">
        <f ca="1">IFERROR(__xludf.DUMMYFUNCTION("TRIM(SUBSTITUTE(SUBSTITUTE(D817, index(SPLIT(D817, "" ""), COLUMNS(SPLIT(D817, "" ""))), """"), index(SPLIT(D817, "" ""), COLUMNS(SPLIT(D817, "" ""))-1), """"))"),"Мологівська")</f>
        <v>Мологівська</v>
      </c>
    </row>
    <row r="818" spans="1:17" ht="50.5">
      <c r="A818" s="2"/>
      <c r="B818" s="2" t="s">
        <v>1900</v>
      </c>
      <c r="C818" s="2" t="s">
        <v>1979</v>
      </c>
      <c r="D818" s="2" t="s">
        <v>450</v>
      </c>
      <c r="E818" s="2"/>
      <c r="F818" s="2" t="s">
        <v>28</v>
      </c>
      <c r="G818" s="2">
        <v>8</v>
      </c>
      <c r="H818" s="2">
        <v>276.89999999999998</v>
      </c>
      <c r="I818" s="2">
        <v>7753</v>
      </c>
      <c r="J818" s="2" t="s">
        <v>1997</v>
      </c>
      <c r="K818" s="2">
        <v>5</v>
      </c>
      <c r="L818" s="2" t="s">
        <v>1998</v>
      </c>
      <c r="Q818" s="4" t="str">
        <f ca="1">IFERROR(__xludf.DUMMYFUNCTION("TRIM(SUBSTITUTE(SUBSTITUTE(D818, index(SPLIT(D818, "" ""), COLUMNS(SPLIT(D818, "" ""))), """"), index(SPLIT(D818, "" ""), COLUMNS(SPLIT(D818, "" ""))-1), """"))"),"Петропавлівська")</f>
        <v>Петропавлівська</v>
      </c>
    </row>
    <row r="819" spans="1:17" ht="38">
      <c r="A819" s="2"/>
      <c r="B819" s="2" t="s">
        <v>1900</v>
      </c>
      <c r="C819" s="2" t="s">
        <v>1979</v>
      </c>
      <c r="D819" s="2" t="s">
        <v>1999</v>
      </c>
      <c r="E819" s="2"/>
      <c r="F819" s="2" t="s">
        <v>28</v>
      </c>
      <c r="G819" s="2">
        <v>8</v>
      </c>
      <c r="H819" s="2">
        <v>310.3</v>
      </c>
      <c r="I819" s="2">
        <v>8258</v>
      </c>
      <c r="J819" s="2" t="s">
        <v>2000</v>
      </c>
      <c r="K819" s="2">
        <v>3</v>
      </c>
      <c r="L819" s="2" t="s">
        <v>2001</v>
      </c>
      <c r="Q819" s="4" t="str">
        <f ca="1">IFERROR(__xludf.DUMMYFUNCTION("TRIM(SUBSTITUTE(SUBSTITUTE(D819, index(SPLIT(D819, "" ""), COLUMNS(SPLIT(D819, "" ""))), """"), index(SPLIT(D819, "" ""), COLUMNS(SPLIT(D819, "" ""))-1), """"))"),"Плахтіївська")</f>
        <v>Плахтіївська</v>
      </c>
    </row>
    <row r="820" spans="1:17" ht="38">
      <c r="A820" s="2"/>
      <c r="B820" s="2" t="s">
        <v>1900</v>
      </c>
      <c r="C820" s="2" t="s">
        <v>1979</v>
      </c>
      <c r="D820" s="2" t="s">
        <v>2002</v>
      </c>
      <c r="E820" s="2"/>
      <c r="F820" s="2" t="s">
        <v>32</v>
      </c>
      <c r="G820" s="2">
        <v>11</v>
      </c>
      <c r="H820" s="2">
        <v>451.7</v>
      </c>
      <c r="I820" s="2">
        <v>16648</v>
      </c>
      <c r="J820" s="2" t="s">
        <v>2003</v>
      </c>
      <c r="K820" s="2">
        <v>8</v>
      </c>
      <c r="L820" s="2" t="s">
        <v>2004</v>
      </c>
      <c r="Q820" s="4" t="str">
        <f ca="1">IFERROR(__xludf.DUMMYFUNCTION("TRIM(SUBSTITUTE(SUBSTITUTE(D820, index(SPLIT(D820, "" ""), COLUMNS(SPLIT(D820, "" ""))), """"), index(SPLIT(D820, "" ""), COLUMNS(SPLIT(D820, "" ""))-1), """"))"),"Саратська")</f>
        <v>Саратська</v>
      </c>
    </row>
    <row r="821" spans="1:17" ht="38">
      <c r="A821" s="2"/>
      <c r="B821" s="2" t="s">
        <v>1900</v>
      </c>
      <c r="C821" s="2" t="s">
        <v>1979</v>
      </c>
      <c r="D821" s="2" t="s">
        <v>2005</v>
      </c>
      <c r="E821" s="2"/>
      <c r="F821" s="2" t="s">
        <v>32</v>
      </c>
      <c r="G821" s="2">
        <v>8</v>
      </c>
      <c r="H821" s="2">
        <v>149.5</v>
      </c>
      <c r="I821" s="2">
        <v>9425</v>
      </c>
      <c r="J821" s="2" t="s">
        <v>2006</v>
      </c>
      <c r="K821" s="2">
        <v>3</v>
      </c>
      <c r="L821" s="2" t="s">
        <v>2007</v>
      </c>
      <c r="Q821" s="4" t="str">
        <f ca="1">IFERROR(__xludf.DUMMYFUNCTION("TRIM(SUBSTITUTE(SUBSTITUTE(D821, index(SPLIT(D821, "" ""), COLUMNS(SPLIT(D821, "" ""))), """"), index(SPLIT(D821, "" ""), COLUMNS(SPLIT(D821, "" ""))-1), """"))"),"Сергіївська")</f>
        <v>Сергіївська</v>
      </c>
    </row>
    <row r="822" spans="1:17" ht="63">
      <c r="A822" s="2"/>
      <c r="B822" s="2" t="s">
        <v>1900</v>
      </c>
      <c r="C822" s="2" t="s">
        <v>1979</v>
      </c>
      <c r="D822" s="2" t="s">
        <v>2008</v>
      </c>
      <c r="E822" s="2"/>
      <c r="F822" s="2" t="s">
        <v>28</v>
      </c>
      <c r="G822" s="2">
        <v>18</v>
      </c>
      <c r="H822" s="2">
        <v>556.70000000000005</v>
      </c>
      <c r="I822" s="2">
        <v>18308</v>
      </c>
      <c r="J822" s="2" t="s">
        <v>39</v>
      </c>
      <c r="K822" s="2">
        <v>12</v>
      </c>
      <c r="L822" s="2" t="s">
        <v>2009</v>
      </c>
      <c r="Q822" s="4" t="str">
        <f ca="1">IFERROR(__xludf.DUMMYFUNCTION("TRIM(SUBSTITUTE(SUBSTITUTE(D822, index(SPLIT(D822, "" ""), COLUMNS(SPLIT(D822, "" ""))), """"), index(SPLIT(D822, "" ""), COLUMNS(SPLIT(D822, "" ""))-1), """"))"),"Старокозацька")</f>
        <v>Старокозацька</v>
      </c>
    </row>
    <row r="823" spans="1:17" ht="50.5">
      <c r="A823" s="2"/>
      <c r="B823" s="2" t="s">
        <v>1900</v>
      </c>
      <c r="C823" s="2" t="s">
        <v>1979</v>
      </c>
      <c r="D823" s="2" t="s">
        <v>2010</v>
      </c>
      <c r="E823" s="2"/>
      <c r="F823" s="2" t="s">
        <v>20</v>
      </c>
      <c r="G823" s="2">
        <v>10</v>
      </c>
      <c r="H823" s="2">
        <v>616</v>
      </c>
      <c r="I823" s="2">
        <v>24051</v>
      </c>
      <c r="J823" s="2" t="s">
        <v>2011</v>
      </c>
      <c r="K823" s="2">
        <v>8</v>
      </c>
      <c r="L823" s="2" t="s">
        <v>2012</v>
      </c>
      <c r="Q823" s="4" t="str">
        <f ca="1">IFERROR(__xludf.DUMMYFUNCTION("TRIM(SUBSTITUTE(SUBSTITUTE(D823, index(SPLIT(D823, "" ""), COLUMNS(SPLIT(D823, "" ""))), """"), index(SPLIT(D823, "" ""), COLUMNS(SPLIT(D823, "" ""))-1), """"))"),"Татарбунарська")</f>
        <v>Татарбунарська</v>
      </c>
    </row>
    <row r="824" spans="1:17" ht="38">
      <c r="A824" s="2"/>
      <c r="B824" s="2" t="s">
        <v>1900</v>
      </c>
      <c r="C824" s="2" t="s">
        <v>1979</v>
      </c>
      <c r="D824" s="2" t="s">
        <v>2013</v>
      </c>
      <c r="E824" s="2"/>
      <c r="F824" s="2" t="s">
        <v>28</v>
      </c>
      <c r="G824" s="2">
        <v>8</v>
      </c>
      <c r="H824" s="2">
        <v>124.8</v>
      </c>
      <c r="I824" s="2">
        <v>3503</v>
      </c>
      <c r="J824" s="2" t="s">
        <v>143</v>
      </c>
      <c r="K824" s="2">
        <v>3</v>
      </c>
      <c r="L824" s="2" t="s">
        <v>2014</v>
      </c>
      <c r="Q824" s="4" t="str">
        <f ca="1">IFERROR(__xludf.DUMMYFUNCTION("TRIM(SUBSTITUTE(SUBSTITUTE(D824, index(SPLIT(D824, "" ""), COLUMNS(SPLIT(D824, "" ""))), """"), index(SPLIT(D824, "" ""), COLUMNS(SPLIT(D824, "" ""))-1), """"))"),"Тузлівська")</f>
        <v>Тузлівська</v>
      </c>
    </row>
    <row r="825" spans="1:17" ht="38">
      <c r="A825" s="2"/>
      <c r="B825" s="2" t="s">
        <v>1900</v>
      </c>
      <c r="C825" s="2" t="s">
        <v>1979</v>
      </c>
      <c r="D825" s="2" t="s">
        <v>2015</v>
      </c>
      <c r="E825" s="2"/>
      <c r="F825" s="2" t="s">
        <v>28</v>
      </c>
      <c r="G825" s="2">
        <v>8</v>
      </c>
      <c r="H825" s="2">
        <v>292</v>
      </c>
      <c r="I825" s="2">
        <v>7045</v>
      </c>
      <c r="J825" s="2" t="s">
        <v>2016</v>
      </c>
      <c r="K825" s="2">
        <v>5</v>
      </c>
      <c r="L825" s="2" t="s">
        <v>2017</v>
      </c>
      <c r="Q825" s="4" t="str">
        <f ca="1">IFERROR(__xludf.DUMMYFUNCTION("TRIM(SUBSTITUTE(SUBSTITUTE(D825, index(SPLIT(D825, "" ""), COLUMNS(SPLIT(D825, "" ""))), """"), index(SPLIT(D825, "" ""), COLUMNS(SPLIT(D825, "" ""))-1), """"))"),"Успенівська")</f>
        <v>Успенівська</v>
      </c>
    </row>
    <row r="826" spans="1:17" ht="38">
      <c r="A826" s="2"/>
      <c r="B826" s="2" t="s">
        <v>1900</v>
      </c>
      <c r="C826" s="2" t="s">
        <v>1979</v>
      </c>
      <c r="D826" s="2" t="s">
        <v>2018</v>
      </c>
      <c r="E826" s="2"/>
      <c r="F826" s="2" t="s">
        <v>28</v>
      </c>
      <c r="G826" s="2">
        <v>14</v>
      </c>
      <c r="H826" s="2">
        <v>279.60000000000002</v>
      </c>
      <c r="I826" s="2">
        <v>14928</v>
      </c>
      <c r="J826" s="2" t="s">
        <v>39</v>
      </c>
      <c r="K826" s="2">
        <v>5</v>
      </c>
      <c r="L826" s="2" t="s">
        <v>2019</v>
      </c>
      <c r="Q826" s="4" t="str">
        <f ca="1">IFERROR(__xludf.DUMMYFUNCTION("TRIM(SUBSTITUTE(SUBSTITUTE(D826, index(SPLIT(D826, "" ""), COLUMNS(SPLIT(D826, "" ""))), """"), index(SPLIT(D826, "" ""), COLUMNS(SPLIT(D826, "" ""))-1), """"))"),"Шабівська")</f>
        <v>Шабівська</v>
      </c>
    </row>
    <row r="827" spans="1:17" ht="50.5">
      <c r="A827" s="2"/>
      <c r="B827" s="2" t="s">
        <v>1900</v>
      </c>
      <c r="C827" s="2" t="s">
        <v>2020</v>
      </c>
      <c r="D827" s="2" t="s">
        <v>2021</v>
      </c>
      <c r="E827" s="2"/>
      <c r="F827" s="2" t="s">
        <v>32</v>
      </c>
      <c r="G827" s="2">
        <v>5</v>
      </c>
      <c r="H827" s="2">
        <v>69.599999999999994</v>
      </c>
      <c r="I827" s="2">
        <v>19598</v>
      </c>
      <c r="J827" s="2" t="s">
        <v>39</v>
      </c>
      <c r="K827" s="2">
        <v>4</v>
      </c>
      <c r="L827" s="2" t="s">
        <v>2022</v>
      </c>
      <c r="Q827" s="4" t="str">
        <f ca="1">IFERROR(__xludf.DUMMYFUNCTION("TRIM(SUBSTITUTE(SUBSTITUTE(D827, index(SPLIT(D827, "" ""), COLUMNS(SPLIT(D827, "" ""))), """"), index(SPLIT(D827, "" ""), COLUMNS(SPLIT(D827, "" ""))-1), """"))"),"Авангардівська")</f>
        <v>Авангардівська</v>
      </c>
    </row>
    <row r="828" spans="1:17" ht="38">
      <c r="A828" s="2"/>
      <c r="B828" s="2" t="s">
        <v>1900</v>
      </c>
      <c r="C828" s="2" t="s">
        <v>2020</v>
      </c>
      <c r="D828" s="2" t="s">
        <v>2023</v>
      </c>
      <c r="E828" s="2"/>
      <c r="F828" s="2" t="s">
        <v>20</v>
      </c>
      <c r="G828" s="2">
        <v>7</v>
      </c>
      <c r="H828" s="2">
        <v>398.7</v>
      </c>
      <c r="I828" s="2">
        <v>22632</v>
      </c>
      <c r="J828" s="2" t="s">
        <v>143</v>
      </c>
      <c r="K828" s="2">
        <v>5</v>
      </c>
      <c r="L828" s="2" t="s">
        <v>2024</v>
      </c>
      <c r="Q828" s="4" t="str">
        <f ca="1">IFERROR(__xludf.DUMMYFUNCTION("TRIM(SUBSTITUTE(SUBSTITUTE(D828, index(SPLIT(D828, "" ""), COLUMNS(SPLIT(D828, "" ""))), """"), index(SPLIT(D828, "" ""), COLUMNS(SPLIT(D828, "" ""))-1), """"))"),"Біляївська")</f>
        <v>Біляївська</v>
      </c>
    </row>
    <row r="829" spans="1:17" ht="50.5">
      <c r="A829" s="2"/>
      <c r="B829" s="2" t="s">
        <v>1900</v>
      </c>
      <c r="C829" s="2" t="s">
        <v>2020</v>
      </c>
      <c r="D829" s="2" t="s">
        <v>2025</v>
      </c>
      <c r="E829" s="2"/>
      <c r="F829" s="2" t="s">
        <v>28</v>
      </c>
      <c r="G829" s="2">
        <v>3</v>
      </c>
      <c r="H829" s="2">
        <v>146.6</v>
      </c>
      <c r="I829" s="2">
        <v>12167</v>
      </c>
      <c r="J829" s="2" t="s">
        <v>2026</v>
      </c>
      <c r="K829" s="2">
        <v>2</v>
      </c>
      <c r="L829" s="2" t="s">
        <v>2027</v>
      </c>
      <c r="Q829" s="4" t="str">
        <f ca="1">IFERROR(__xludf.DUMMYFUNCTION("TRIM(SUBSTITUTE(SUBSTITUTE(D829, index(SPLIT(D829, "" ""), COLUMNS(SPLIT(D829, "" ""))), """"), index(SPLIT(D829, "" ""), COLUMNS(SPLIT(D829, "" ""))-1), """"))"),"Великодальницька")</f>
        <v>Великодальницька</v>
      </c>
    </row>
    <row r="830" spans="1:17" ht="50.5">
      <c r="A830" s="2"/>
      <c r="B830" s="2" t="s">
        <v>1900</v>
      </c>
      <c r="C830" s="2" t="s">
        <v>2020</v>
      </c>
      <c r="D830" s="2" t="s">
        <v>2028</v>
      </c>
      <c r="E830" s="2"/>
      <c r="F830" s="2" t="s">
        <v>32</v>
      </c>
      <c r="G830" s="2">
        <v>2</v>
      </c>
      <c r="H830" s="2">
        <v>126.2</v>
      </c>
      <c r="I830" s="2">
        <v>16906</v>
      </c>
      <c r="J830" s="2" t="s">
        <v>2029</v>
      </c>
      <c r="K830" s="2">
        <v>2</v>
      </c>
      <c r="L830" s="2" t="s">
        <v>2030</v>
      </c>
      <c r="Q830" s="4" t="str">
        <f ca="1">IFERROR(__xludf.DUMMYFUNCTION("TRIM(SUBSTITUTE(SUBSTITUTE(D830, index(SPLIT(D830, "" ""), COLUMNS(SPLIT(D830, "" ""))), """"), index(SPLIT(D830, "" ""), COLUMNS(SPLIT(D830, "" ""))-1), """"))"),"Великодолинська")</f>
        <v>Великодолинська</v>
      </c>
    </row>
    <row r="831" spans="1:17" ht="38">
      <c r="A831" s="2"/>
      <c r="B831" s="2" t="s">
        <v>1900</v>
      </c>
      <c r="C831" s="2" t="s">
        <v>2020</v>
      </c>
      <c r="D831" s="2" t="s">
        <v>2031</v>
      </c>
      <c r="E831" s="2"/>
      <c r="F831" s="2" t="s">
        <v>28</v>
      </c>
      <c r="G831" s="2">
        <v>15</v>
      </c>
      <c r="H831" s="2">
        <v>289.60000000000002</v>
      </c>
      <c r="I831" s="2">
        <v>12006</v>
      </c>
      <c r="J831" s="2" t="s">
        <v>2032</v>
      </c>
      <c r="K831" s="2">
        <v>5</v>
      </c>
      <c r="L831" s="2" t="s">
        <v>2033</v>
      </c>
      <c r="Q831" s="4" t="str">
        <f ca="1">IFERROR(__xludf.DUMMYFUNCTION("TRIM(SUBSTITUTE(SUBSTITUTE(D831, index(SPLIT(D831, "" ""), COLUMNS(SPLIT(D831, "" ""))), """"), index(SPLIT(D831, "" ""), COLUMNS(SPLIT(D831, "" ""))-1), """"))"),"Вигодянська")</f>
        <v>Вигодянська</v>
      </c>
    </row>
    <row r="832" spans="1:17" ht="38">
      <c r="A832" s="2"/>
      <c r="B832" s="2" t="s">
        <v>1900</v>
      </c>
      <c r="C832" s="2" t="s">
        <v>2020</v>
      </c>
      <c r="D832" s="2" t="s">
        <v>2034</v>
      </c>
      <c r="E832" s="2"/>
      <c r="F832" s="2" t="s">
        <v>28</v>
      </c>
      <c r="G832" s="2">
        <v>19</v>
      </c>
      <c r="H832" s="2">
        <v>419.1</v>
      </c>
      <c r="I832" s="2">
        <v>9753</v>
      </c>
      <c r="J832" s="2" t="s">
        <v>46</v>
      </c>
      <c r="K832" s="2">
        <v>6</v>
      </c>
      <c r="L832" s="2" t="s">
        <v>2035</v>
      </c>
      <c r="Q832" s="4" t="str">
        <f ca="1">IFERROR(__xludf.DUMMYFUNCTION("TRIM(SUBSTITUTE(SUBSTITUTE(D832, index(SPLIT(D832, "" ""), COLUMNS(SPLIT(D832, "" ""))), """"), index(SPLIT(D832, "" ""), COLUMNS(SPLIT(D832, "" ""))-1), """"))"),"Визирська")</f>
        <v>Визирська</v>
      </c>
    </row>
    <row r="833" spans="1:17" ht="38">
      <c r="A833" s="2"/>
      <c r="B833" s="2" t="s">
        <v>1900</v>
      </c>
      <c r="C833" s="2" t="s">
        <v>2020</v>
      </c>
      <c r="D833" s="2" t="s">
        <v>2036</v>
      </c>
      <c r="E833" s="2"/>
      <c r="F833" s="2" t="s">
        <v>28</v>
      </c>
      <c r="G833" s="2">
        <v>9</v>
      </c>
      <c r="H833" s="2">
        <v>214</v>
      </c>
      <c r="I833" s="2">
        <v>14185</v>
      </c>
      <c r="J833" s="2" t="s">
        <v>39</v>
      </c>
      <c r="K833" s="2">
        <v>6</v>
      </c>
      <c r="L833" s="2" t="s">
        <v>2037</v>
      </c>
      <c r="Q833" s="4" t="str">
        <f ca="1">IFERROR(__xludf.DUMMYFUNCTION("TRIM(SUBSTITUTE(SUBSTITUTE(D833, index(SPLIT(D833, "" ""), COLUMNS(SPLIT(D833, "" ""))), """"), index(SPLIT(D833, "" ""), COLUMNS(SPLIT(D833, "" ""))-1), """"))"),"Дальницька")</f>
        <v>Дальницька</v>
      </c>
    </row>
    <row r="834" spans="1:17" ht="38">
      <c r="A834" s="2"/>
      <c r="B834" s="2" t="s">
        <v>1900</v>
      </c>
      <c r="C834" s="2" t="s">
        <v>2020</v>
      </c>
      <c r="D834" s="2" t="s">
        <v>2038</v>
      </c>
      <c r="E834" s="2"/>
      <c r="F834" s="2" t="s">
        <v>28</v>
      </c>
      <c r="G834" s="2">
        <v>8</v>
      </c>
      <c r="H834" s="2">
        <v>174.9</v>
      </c>
      <c r="I834" s="2">
        <v>10474</v>
      </c>
      <c r="J834" s="2" t="s">
        <v>2039</v>
      </c>
      <c r="K834" s="2">
        <v>2</v>
      </c>
      <c r="L834" s="2" t="s">
        <v>2040</v>
      </c>
      <c r="Q834" s="4" t="str">
        <f ca="1">IFERROR(__xludf.DUMMYFUNCTION("TRIM(SUBSTITUTE(SUBSTITUTE(D834, index(SPLIT(D834, "" ""), COLUMNS(SPLIT(D834, "" ""))), """"), index(SPLIT(D834, "" ""), COLUMNS(SPLIT(D834, "" ""))-1), """"))"),"Дачненська")</f>
        <v>Дачненська</v>
      </c>
    </row>
    <row r="835" spans="1:17" ht="50.5">
      <c r="A835" s="2"/>
      <c r="B835" s="2" t="s">
        <v>1900</v>
      </c>
      <c r="C835" s="2" t="s">
        <v>2020</v>
      </c>
      <c r="D835" s="2" t="s">
        <v>2041</v>
      </c>
      <c r="E835" s="2"/>
      <c r="F835" s="2" t="s">
        <v>32</v>
      </c>
      <c r="G835" s="2">
        <v>17</v>
      </c>
      <c r="H835" s="2">
        <v>313.89999999999998</v>
      </c>
      <c r="I835" s="2">
        <v>15192</v>
      </c>
      <c r="J835" s="2" t="s">
        <v>2042</v>
      </c>
      <c r="K835" s="2">
        <v>4</v>
      </c>
      <c r="L835" s="2" t="s">
        <v>2043</v>
      </c>
      <c r="Q835" s="4" t="str">
        <f ca="1">IFERROR(__xludf.DUMMYFUNCTION("TRIM(SUBSTITUTE(SUBSTITUTE(D835, index(SPLIT(D835, "" ""), COLUMNS(SPLIT(D835, "" ""))), """"), index(SPLIT(D835, "" ""), COLUMNS(SPLIT(D835, "" ""))-1), """"))"),"Доброславська")</f>
        <v>Доброславська</v>
      </c>
    </row>
    <row r="836" spans="1:17" ht="50.5">
      <c r="A836" s="2"/>
      <c r="B836" s="2" t="s">
        <v>1900</v>
      </c>
      <c r="C836" s="2" t="s">
        <v>2020</v>
      </c>
      <c r="D836" s="2" t="s">
        <v>2044</v>
      </c>
      <c r="E836" s="2"/>
      <c r="F836" s="2" t="s">
        <v>28</v>
      </c>
      <c r="G836" s="2">
        <v>14</v>
      </c>
      <c r="H836" s="2">
        <v>294.60000000000002</v>
      </c>
      <c r="I836" s="2">
        <v>12790</v>
      </c>
      <c r="J836" s="2" t="s">
        <v>143</v>
      </c>
      <c r="K836" s="2">
        <v>3</v>
      </c>
      <c r="L836" s="2" t="s">
        <v>2045</v>
      </c>
      <c r="Q836" s="4" t="str">
        <f ca="1">IFERROR(__xludf.DUMMYFUNCTION("TRIM(SUBSTITUTE(SUBSTITUTE(D836, index(SPLIT(D836, "" ""), COLUMNS(SPLIT(D836, "" ""))), """"), index(SPLIT(D836, "" ""), COLUMNS(SPLIT(D836, "" ""))-1), """"))"),"Красносільська")</f>
        <v>Красносільська</v>
      </c>
    </row>
    <row r="837" spans="1:17" ht="38">
      <c r="A837" s="2"/>
      <c r="B837" s="2" t="s">
        <v>1900</v>
      </c>
      <c r="C837" s="2" t="s">
        <v>2020</v>
      </c>
      <c r="D837" s="2" t="s">
        <v>2046</v>
      </c>
      <c r="E837" s="2"/>
      <c r="F837" s="2" t="s">
        <v>28</v>
      </c>
      <c r="G837" s="2">
        <v>5</v>
      </c>
      <c r="H837" s="2">
        <v>149.69999999999999</v>
      </c>
      <c r="I837" s="2">
        <v>12329</v>
      </c>
      <c r="J837" s="2" t="s">
        <v>39</v>
      </c>
      <c r="K837" s="2">
        <v>4</v>
      </c>
      <c r="L837" s="2" t="s">
        <v>2047</v>
      </c>
      <c r="Q837" s="4" t="str">
        <f ca="1">IFERROR(__xludf.DUMMYFUNCTION("TRIM(SUBSTITUTE(SUBSTITUTE(D837, index(SPLIT(D837, "" ""), COLUMNS(SPLIT(D837, "" ""))), """"), index(SPLIT(D837, "" ""), COLUMNS(SPLIT(D837, "" ""))-1), """"))"),"Маяківська")</f>
        <v>Маяківська</v>
      </c>
    </row>
    <row r="838" spans="1:17" ht="38">
      <c r="A838" s="2"/>
      <c r="B838" s="2" t="s">
        <v>1900</v>
      </c>
      <c r="C838" s="2" t="s">
        <v>2020</v>
      </c>
      <c r="D838" s="2" t="s">
        <v>2048</v>
      </c>
      <c r="E838" s="2"/>
      <c r="F838" s="2" t="s">
        <v>28</v>
      </c>
      <c r="G838" s="2">
        <v>5</v>
      </c>
      <c r="H838" s="2">
        <v>97.5</v>
      </c>
      <c r="I838" s="2">
        <v>12606</v>
      </c>
      <c r="J838" s="2" t="s">
        <v>2049</v>
      </c>
      <c r="K838" s="2">
        <v>2</v>
      </c>
      <c r="L838" s="2" t="s">
        <v>2050</v>
      </c>
      <c r="Q838" s="4" t="str">
        <f ca="1">IFERROR(__xludf.DUMMYFUNCTION("TRIM(SUBSTITUTE(SUBSTITUTE(D838, index(SPLIT(D838, "" ""), COLUMNS(SPLIT(D838, "" ""))), """"), index(SPLIT(D838, "" ""), COLUMNS(SPLIT(D838, "" ""))-1), """"))"),"Нерубайська")</f>
        <v>Нерубайська</v>
      </c>
    </row>
    <row r="839" spans="1:17" ht="50.5">
      <c r="A839" s="2"/>
      <c r="B839" s="2" t="s">
        <v>1900</v>
      </c>
      <c r="C839" s="2" t="s">
        <v>2020</v>
      </c>
      <c r="D839" s="2" t="s">
        <v>2051</v>
      </c>
      <c r="E839" s="2"/>
      <c r="F839" s="2" t="s">
        <v>32</v>
      </c>
      <c r="G839" s="2">
        <v>3</v>
      </c>
      <c r="H839" s="2">
        <v>238.4</v>
      </c>
      <c r="I839" s="2">
        <v>15497</v>
      </c>
      <c r="J839" s="2" t="s">
        <v>2052</v>
      </c>
      <c r="K839" s="2">
        <v>3</v>
      </c>
      <c r="L839" s="2" t="s">
        <v>2053</v>
      </c>
      <c r="Q839" s="4" t="str">
        <f ca="1">IFERROR(__xludf.DUMMYFUNCTION("TRIM(SUBSTITUTE(SUBSTITUTE(D839, index(SPLIT(D839, "" ""), COLUMNS(SPLIT(D839, "" ""))), """"), index(SPLIT(D839, "" ""), COLUMNS(SPLIT(D839, "" ""))-1), """"))"),"Овідіопольська")</f>
        <v>Овідіопольська</v>
      </c>
    </row>
    <row r="840" spans="1:17" ht="38">
      <c r="A840" s="2"/>
      <c r="B840" s="2" t="s">
        <v>1900</v>
      </c>
      <c r="C840" s="2" t="s">
        <v>2020</v>
      </c>
      <c r="D840" s="2" t="s">
        <v>2054</v>
      </c>
      <c r="E840" s="2"/>
      <c r="F840" s="2" t="s">
        <v>20</v>
      </c>
      <c r="G840" s="2">
        <v>1</v>
      </c>
      <c r="H840" s="2">
        <v>161.19999999999999</v>
      </c>
      <c r="I840" s="2">
        <v>1015826</v>
      </c>
      <c r="J840" s="2" t="s">
        <v>2055</v>
      </c>
      <c r="K840" s="2">
        <v>1</v>
      </c>
      <c r="L840" s="2" t="s">
        <v>2056</v>
      </c>
      <c r="Q840" s="4" t="str">
        <f ca="1">IFERROR(__xludf.DUMMYFUNCTION("TRIM(SUBSTITUTE(SUBSTITUTE(D840, index(SPLIT(D840, "" ""), COLUMNS(SPLIT(D840, "" ""))), """"), index(SPLIT(D840, "" ""), COLUMNS(SPLIT(D840, "" ""))-1), """"))"),"Одеська")</f>
        <v>Одеська</v>
      </c>
    </row>
    <row r="841" spans="1:17" ht="38">
      <c r="A841" s="2"/>
      <c r="B841" s="2" t="s">
        <v>1900</v>
      </c>
      <c r="C841" s="2" t="s">
        <v>2020</v>
      </c>
      <c r="D841" s="2" t="s">
        <v>2057</v>
      </c>
      <c r="E841" s="2"/>
      <c r="F841" s="2" t="s">
        <v>32</v>
      </c>
      <c r="G841" s="2">
        <v>4</v>
      </c>
      <c r="H841" s="2">
        <v>39.1</v>
      </c>
      <c r="I841" s="2">
        <v>14479</v>
      </c>
      <c r="J841" s="2" t="s">
        <v>178</v>
      </c>
      <c r="K841" s="2">
        <v>2</v>
      </c>
      <c r="L841" s="2" t="s">
        <v>2058</v>
      </c>
      <c r="Q841" s="4" t="str">
        <f ca="1">IFERROR(__xludf.DUMMYFUNCTION("TRIM(SUBSTITUTE(SUBSTITUTE(D841, index(SPLIT(D841, "" ""), COLUMNS(SPLIT(D841, "" ""))), """"), index(SPLIT(D841, "" ""), COLUMNS(SPLIT(D841, "" ""))-1), """"))"),"Таїровська")</f>
        <v>Таїровська</v>
      </c>
    </row>
    <row r="842" spans="1:17" ht="50.5">
      <c r="A842" s="2"/>
      <c r="B842" s="2" t="s">
        <v>1900</v>
      </c>
      <c r="C842" s="2" t="s">
        <v>2020</v>
      </c>
      <c r="D842" s="2" t="s">
        <v>2059</v>
      </c>
      <c r="E842" s="2"/>
      <c r="F842" s="2" t="s">
        <v>20</v>
      </c>
      <c r="G842" s="2">
        <v>1</v>
      </c>
      <c r="H842" s="2">
        <v>7.7</v>
      </c>
      <c r="I842" s="2">
        <v>10081</v>
      </c>
      <c r="J842" s="2" t="s">
        <v>2060</v>
      </c>
      <c r="K842" s="2">
        <v>1</v>
      </c>
      <c r="L842" s="2" t="s">
        <v>2061</v>
      </c>
      <c r="Q842" s="4" t="str">
        <f ca="1">IFERROR(__xludf.DUMMYFUNCTION("TRIM(SUBSTITUTE(SUBSTITUTE(D842, index(SPLIT(D842, "" ""), COLUMNS(SPLIT(D842, "" ""))), """"), index(SPLIT(D842, "" ""), COLUMNS(SPLIT(D842, "" ""))-1), """"))"),"Теплодарська")</f>
        <v>Теплодарська</v>
      </c>
    </row>
    <row r="843" spans="1:17" ht="38">
      <c r="A843" s="2"/>
      <c r="B843" s="2" t="s">
        <v>1900</v>
      </c>
      <c r="C843" s="2" t="s">
        <v>2020</v>
      </c>
      <c r="D843" s="2" t="s">
        <v>2062</v>
      </c>
      <c r="E843" s="2"/>
      <c r="F843" s="2" t="s">
        <v>28</v>
      </c>
      <c r="G843" s="2">
        <v>15</v>
      </c>
      <c r="H843" s="2">
        <v>253.5</v>
      </c>
      <c r="I843" s="2">
        <v>14891</v>
      </c>
      <c r="J843" s="2" t="s">
        <v>2063</v>
      </c>
      <c r="K843" s="2">
        <v>4</v>
      </c>
      <c r="L843" s="2" t="s">
        <v>2064</v>
      </c>
      <c r="Q843" s="4" t="str">
        <f ca="1">IFERROR(__xludf.DUMMYFUNCTION("TRIM(SUBSTITUTE(SUBSTITUTE(D843, index(SPLIT(D843, "" ""), COLUMNS(SPLIT(D843, "" ""))), """"), index(SPLIT(D843, "" ""), COLUMNS(SPLIT(D843, "" ""))-1), """"))"),"Усатівська")</f>
        <v>Усатівська</v>
      </c>
    </row>
    <row r="844" spans="1:17" ht="38">
      <c r="A844" s="2"/>
      <c r="B844" s="2" t="s">
        <v>1900</v>
      </c>
      <c r="C844" s="2" t="s">
        <v>2020</v>
      </c>
      <c r="D844" s="2" t="s">
        <v>2065</v>
      </c>
      <c r="E844" s="2"/>
      <c r="F844" s="2" t="s">
        <v>28</v>
      </c>
      <c r="G844" s="2">
        <v>7</v>
      </c>
      <c r="H844" s="2">
        <v>90</v>
      </c>
      <c r="I844" s="2">
        <v>18019</v>
      </c>
      <c r="J844" s="2" t="s">
        <v>2066</v>
      </c>
      <c r="K844" s="2">
        <v>4</v>
      </c>
      <c r="L844" s="2" t="s">
        <v>2067</v>
      </c>
      <c r="Q844" s="4" t="str">
        <f ca="1">IFERROR(__xludf.DUMMYFUNCTION("TRIM(SUBSTITUTE(SUBSTITUTE(D844, index(SPLIT(D844, "" ""), COLUMNS(SPLIT(D844, "" ""))), """"), index(SPLIT(D844, "" ""), COLUMNS(SPLIT(D844, "" ""))-1), """"))"),"Фонтанська")</f>
        <v>Фонтанська</v>
      </c>
    </row>
    <row r="845" spans="1:17" ht="50.5">
      <c r="A845" s="2"/>
      <c r="B845" s="2" t="s">
        <v>1900</v>
      </c>
      <c r="C845" s="2" t="s">
        <v>2020</v>
      </c>
      <c r="D845" s="2" t="s">
        <v>1878</v>
      </c>
      <c r="E845" s="2"/>
      <c r="F845" s="2" t="s">
        <v>32</v>
      </c>
      <c r="G845" s="2">
        <v>2</v>
      </c>
      <c r="H845" s="2">
        <v>43.5</v>
      </c>
      <c r="I845" s="2">
        <v>7953</v>
      </c>
      <c r="J845" s="2" t="s">
        <v>2068</v>
      </c>
      <c r="K845" s="2">
        <v>1</v>
      </c>
      <c r="L845" s="2" t="s">
        <v>2069</v>
      </c>
      <c r="Q845" s="4" t="str">
        <f ca="1">IFERROR(__xludf.DUMMYFUNCTION("TRIM(SUBSTITUTE(SUBSTITUTE(D845, index(SPLIT(D845, "" ""), COLUMNS(SPLIT(D845, "" ""))), """"), index(SPLIT(D845, "" ""), COLUMNS(SPLIT(D845, "" ""))-1), """"))"),"Чорноморська")</f>
        <v>Чорноморська</v>
      </c>
    </row>
    <row r="846" spans="1:17" ht="50.5">
      <c r="A846" s="2"/>
      <c r="B846" s="2" t="s">
        <v>1900</v>
      </c>
      <c r="C846" s="2" t="s">
        <v>2020</v>
      </c>
      <c r="D846" s="2" t="s">
        <v>1878</v>
      </c>
      <c r="E846" s="2"/>
      <c r="F846" s="2" t="s">
        <v>20</v>
      </c>
      <c r="G846" s="2">
        <v>4</v>
      </c>
      <c r="H846" s="2">
        <v>26.5</v>
      </c>
      <c r="I846" s="2">
        <v>71308</v>
      </c>
      <c r="J846" s="2" t="s">
        <v>2068</v>
      </c>
      <c r="K846" s="2">
        <v>1</v>
      </c>
      <c r="L846" s="2" t="s">
        <v>2069</v>
      </c>
      <c r="Q846" s="4" t="str">
        <f ca="1">IFERROR(__xludf.DUMMYFUNCTION("TRIM(SUBSTITUTE(SUBSTITUTE(D846, index(SPLIT(D846, "" ""), COLUMNS(SPLIT(D846, "" ""))), """"), index(SPLIT(D846, "" ""), COLUMNS(SPLIT(D846, "" ""))-1), """"))"),"Чорноморська")</f>
        <v>Чорноморська</v>
      </c>
    </row>
    <row r="847" spans="1:17" ht="38">
      <c r="A847" s="2"/>
      <c r="B847" s="2" t="s">
        <v>1900</v>
      </c>
      <c r="C847" s="2" t="s">
        <v>2020</v>
      </c>
      <c r="D847" s="2" t="s">
        <v>2070</v>
      </c>
      <c r="E847" s="2"/>
      <c r="F847" s="2" t="s">
        <v>20</v>
      </c>
      <c r="G847" s="2">
        <v>7</v>
      </c>
      <c r="H847" s="2">
        <v>107.5</v>
      </c>
      <c r="I847" s="2">
        <v>35318</v>
      </c>
      <c r="J847" s="2" t="s">
        <v>2071</v>
      </c>
      <c r="K847" s="2">
        <v>3</v>
      </c>
      <c r="L847" s="2" t="s">
        <v>2072</v>
      </c>
      <c r="Q847" s="4" t="str">
        <f ca="1">IFERROR(__xludf.DUMMYFUNCTION("TRIM(SUBSTITUTE(SUBSTITUTE(D847, index(SPLIT(D847, "" ""), COLUMNS(SPLIT(D847, "" ""))), """"), index(SPLIT(D847, "" ""), COLUMNS(SPLIT(D847, "" ""))-1), """"))"),"Южненська")</f>
        <v>Южненська</v>
      </c>
    </row>
    <row r="848" spans="1:17" ht="38">
      <c r="A848" s="2"/>
      <c r="B848" s="2" t="s">
        <v>1900</v>
      </c>
      <c r="C848" s="2" t="s">
        <v>2020</v>
      </c>
      <c r="D848" s="2" t="s">
        <v>2073</v>
      </c>
      <c r="E848" s="2"/>
      <c r="F848" s="2" t="s">
        <v>28</v>
      </c>
      <c r="G848" s="2">
        <v>2</v>
      </c>
      <c r="H848" s="2">
        <v>216.3</v>
      </c>
      <c r="I848" s="2">
        <v>8531</v>
      </c>
      <c r="J848" s="2" t="s">
        <v>63</v>
      </c>
      <c r="K848" s="2">
        <v>2</v>
      </c>
      <c r="L848" s="2" t="s">
        <v>2074</v>
      </c>
      <c r="Q848" s="4" t="str">
        <f ca="1">IFERROR(__xludf.DUMMYFUNCTION("TRIM(SUBSTITUTE(SUBSTITUTE(D848, index(SPLIT(D848, "" ""), COLUMNS(SPLIT(D848, "" ""))), """"), index(SPLIT(D848, "" ""), COLUMNS(SPLIT(D848, "" ""))-1), """"))"),"Яськівська")</f>
        <v>Яськівська</v>
      </c>
    </row>
    <row r="849" spans="1:17" ht="63">
      <c r="A849" s="2"/>
      <c r="B849" s="2" t="s">
        <v>1900</v>
      </c>
      <c r="C849" s="2" t="s">
        <v>2075</v>
      </c>
      <c r="D849" s="2" t="s">
        <v>2076</v>
      </c>
      <c r="E849" s="2"/>
      <c r="F849" s="2" t="s">
        <v>20</v>
      </c>
      <c r="G849" s="2">
        <v>30</v>
      </c>
      <c r="H849" s="2">
        <v>832</v>
      </c>
      <c r="I849" s="2">
        <v>22035</v>
      </c>
      <c r="J849" s="2" t="s">
        <v>2077</v>
      </c>
      <c r="K849" s="2">
        <v>14</v>
      </c>
      <c r="L849" s="2" t="s">
        <v>2078</v>
      </c>
      <c r="Q849" s="4" t="str">
        <f ca="1">IFERROR(__xludf.DUMMYFUNCTION("TRIM(SUBSTITUTE(SUBSTITUTE(D849, index(SPLIT(D849, "" ""), COLUMNS(SPLIT(D849, "" ""))), """"), index(SPLIT(D849, "" ""), COLUMNS(SPLIT(D849, "" ""))-1), """"))"),"Ананьївська")</f>
        <v>Ананьївська</v>
      </c>
    </row>
    <row r="850" spans="1:17" ht="88">
      <c r="A850" s="2"/>
      <c r="B850" s="2" t="s">
        <v>1900</v>
      </c>
      <c r="C850" s="2" t="s">
        <v>2075</v>
      </c>
      <c r="D850" s="2" t="s">
        <v>2079</v>
      </c>
      <c r="E850" s="2"/>
      <c r="F850" s="2" t="s">
        <v>20</v>
      </c>
      <c r="G850" s="2">
        <v>34</v>
      </c>
      <c r="H850" s="2">
        <v>1041.8</v>
      </c>
      <c r="I850" s="2">
        <v>33740</v>
      </c>
      <c r="J850" s="2" t="s">
        <v>143</v>
      </c>
      <c r="K850" s="2">
        <v>21</v>
      </c>
      <c r="L850" s="2" t="s">
        <v>2080</v>
      </c>
      <c r="Q850" s="4" t="str">
        <f ca="1">IFERROR(__xludf.DUMMYFUNCTION("TRIM(SUBSTITUTE(SUBSTITUTE(D850, index(SPLIT(D850, "" ""), COLUMNS(SPLIT(D850, "" ""))), """"), index(SPLIT(D850, "" ""), COLUMNS(SPLIT(D850, "" ""))-1), """"))"),"Балтська")</f>
        <v>Балтська</v>
      </c>
    </row>
    <row r="851" spans="1:17" ht="38">
      <c r="A851" s="2"/>
      <c r="B851" s="2" t="s">
        <v>1900</v>
      </c>
      <c r="C851" s="2" t="s">
        <v>2075</v>
      </c>
      <c r="D851" s="2" t="s">
        <v>969</v>
      </c>
      <c r="E851" s="2"/>
      <c r="F851" s="2" t="s">
        <v>28</v>
      </c>
      <c r="G851" s="2">
        <v>8</v>
      </c>
      <c r="H851" s="2">
        <v>304.60000000000002</v>
      </c>
      <c r="I851" s="2">
        <v>3982</v>
      </c>
      <c r="J851" s="2" t="s">
        <v>2081</v>
      </c>
      <c r="K851" s="2">
        <v>2</v>
      </c>
      <c r="L851" s="2" t="s">
        <v>2082</v>
      </c>
      <c r="Q851" s="4" t="str">
        <f ca="1">IFERROR(__xludf.DUMMYFUNCTION("TRIM(SUBSTITUTE(SUBSTITUTE(D851, index(SPLIT(D851, "" ""), COLUMNS(SPLIT(D851, "" ""))), """"), index(SPLIT(D851, "" ""), COLUMNS(SPLIT(D851, "" ""))-1), """"))"),"Долинська")</f>
        <v>Долинська</v>
      </c>
    </row>
    <row r="852" spans="1:17" ht="50.5">
      <c r="A852" s="2"/>
      <c r="B852" s="2" t="s">
        <v>1900</v>
      </c>
      <c r="C852" s="2" t="s">
        <v>2075</v>
      </c>
      <c r="D852" s="2" t="s">
        <v>2083</v>
      </c>
      <c r="E852" s="2"/>
      <c r="F852" s="2" t="s">
        <v>32</v>
      </c>
      <c r="G852" s="2">
        <v>12</v>
      </c>
      <c r="H852" s="2">
        <v>265.7</v>
      </c>
      <c r="I852" s="2">
        <v>7448</v>
      </c>
      <c r="J852" s="2" t="s">
        <v>46</v>
      </c>
      <c r="K852" s="2">
        <v>4</v>
      </c>
      <c r="L852" s="2" t="s">
        <v>2084</v>
      </c>
      <c r="Q852" s="4" t="str">
        <f ca="1">IFERROR(__xludf.DUMMYFUNCTION("TRIM(SUBSTITUTE(SUBSTITUTE(D852, index(SPLIT(D852, "" ""), COLUMNS(SPLIT(D852, "" ""))), """"), index(SPLIT(D852, "" ""), COLUMNS(SPLIT(D852, "" ""))-1), """"))"),"Зеленогірська")</f>
        <v>Зеленогірська</v>
      </c>
    </row>
    <row r="853" spans="1:17" ht="75.5">
      <c r="A853" s="2"/>
      <c r="B853" s="2" t="s">
        <v>1900</v>
      </c>
      <c r="C853" s="2" t="s">
        <v>2075</v>
      </c>
      <c r="D853" s="2" t="s">
        <v>2085</v>
      </c>
      <c r="E853" s="2"/>
      <c r="F853" s="2" t="s">
        <v>20</v>
      </c>
      <c r="G853" s="2">
        <v>21</v>
      </c>
      <c r="H853" s="2">
        <v>703</v>
      </c>
      <c r="I853" s="2">
        <v>24480</v>
      </c>
      <c r="J853" s="2" t="s">
        <v>2086</v>
      </c>
      <c r="K853" s="2">
        <v>16</v>
      </c>
      <c r="L853" s="2" t="s">
        <v>2087</v>
      </c>
      <c r="Q853" s="4" t="str">
        <f ca="1">IFERROR(__xludf.DUMMYFUNCTION("TRIM(SUBSTITUTE(SUBSTITUTE(D853, index(SPLIT(D853, "" ""), COLUMNS(SPLIT(D853, "" ""))), """"), index(SPLIT(D853, "" ""), COLUMNS(SPLIT(D853, "" ""))-1), """"))"),"Кодимська")</f>
        <v>Кодимська</v>
      </c>
    </row>
    <row r="854" spans="1:17" ht="75.5">
      <c r="A854" s="2"/>
      <c r="B854" s="2" t="s">
        <v>1900</v>
      </c>
      <c r="C854" s="2" t="s">
        <v>2075</v>
      </c>
      <c r="D854" s="2" t="s">
        <v>2088</v>
      </c>
      <c r="E854" s="2"/>
      <c r="F854" s="2" t="s">
        <v>28</v>
      </c>
      <c r="G854" s="2">
        <v>58</v>
      </c>
      <c r="H854" s="2">
        <v>916.5</v>
      </c>
      <c r="I854" s="2">
        <v>21683</v>
      </c>
      <c r="J854" s="2" t="s">
        <v>39</v>
      </c>
      <c r="K854" s="2">
        <v>17</v>
      </c>
      <c r="L854" s="2" t="s">
        <v>2089</v>
      </c>
      <c r="Q854" s="4" t="str">
        <f ca="1">IFERROR(__xludf.DUMMYFUNCTION("TRIM(SUBSTITUTE(SUBSTITUTE(D854, index(SPLIT(D854, "" ""), COLUMNS(SPLIT(D854, "" ""))), """"), index(SPLIT(D854, "" ""), COLUMNS(SPLIT(D854, "" ""))-1), """"))"),"Куяльницька")</f>
        <v>Куяльницька</v>
      </c>
    </row>
    <row r="855" spans="1:17" ht="50.5">
      <c r="A855" s="2"/>
      <c r="B855" s="2" t="s">
        <v>1900</v>
      </c>
      <c r="C855" s="2" t="s">
        <v>2075</v>
      </c>
      <c r="D855" s="2" t="s">
        <v>2090</v>
      </c>
      <c r="E855" s="2"/>
      <c r="F855" s="2" t="s">
        <v>32</v>
      </c>
      <c r="G855" s="2">
        <v>43</v>
      </c>
      <c r="H855" s="2">
        <v>834.7</v>
      </c>
      <c r="I855" s="2">
        <v>21484</v>
      </c>
      <c r="J855" s="2" t="s">
        <v>93</v>
      </c>
      <c r="K855" s="2">
        <v>12</v>
      </c>
      <c r="L855" s="2" t="s">
        <v>2091</v>
      </c>
      <c r="Q855" s="4" t="str">
        <f ca="1">IFERROR(__xludf.DUMMYFUNCTION("TRIM(SUBSTITUTE(SUBSTITUTE(D855, index(SPLIT(D855, "" ""), COLUMNS(SPLIT(D855, "" ""))), """"), index(SPLIT(D855, "" ""), COLUMNS(SPLIT(D855, "" ""))-1), """"))"),"Любашівська")</f>
        <v>Любашівська</v>
      </c>
    </row>
    <row r="856" spans="1:17" ht="63">
      <c r="A856" s="2"/>
      <c r="B856" s="2" t="s">
        <v>1900</v>
      </c>
      <c r="C856" s="2" t="s">
        <v>2075</v>
      </c>
      <c r="D856" s="2" t="s">
        <v>2092</v>
      </c>
      <c r="E856" s="2"/>
      <c r="F856" s="2" t="s">
        <v>32</v>
      </c>
      <c r="G856" s="2">
        <v>55</v>
      </c>
      <c r="H856" s="2">
        <v>1012.5</v>
      </c>
      <c r="I856" s="2">
        <v>19430</v>
      </c>
      <c r="J856" s="2" t="s">
        <v>93</v>
      </c>
      <c r="K856" s="2">
        <v>15</v>
      </c>
      <c r="L856" s="2" t="s">
        <v>2093</v>
      </c>
      <c r="Q856" s="4" t="str">
        <f ca="1">IFERROR(__xludf.DUMMYFUNCTION("TRIM(SUBSTITUTE(SUBSTITUTE(D856, index(SPLIT(D856, "" ""), COLUMNS(SPLIT(D856, "" ""))), """"), index(SPLIT(D856, "" ""), COLUMNS(SPLIT(D856, "" ""))-1), """"))"),"Окнянська")</f>
        <v>Окнянська</v>
      </c>
    </row>
    <row r="857" spans="1:17" ht="38">
      <c r="A857" s="2"/>
      <c r="B857" s="2" t="s">
        <v>1900</v>
      </c>
      <c r="C857" s="2" t="s">
        <v>2075</v>
      </c>
      <c r="D857" s="2" t="s">
        <v>2094</v>
      </c>
      <c r="E857" s="2"/>
      <c r="F857" s="2" t="s">
        <v>20</v>
      </c>
      <c r="G857" s="2">
        <v>4</v>
      </c>
      <c r="H857" s="2">
        <v>136.9</v>
      </c>
      <c r="I857" s="2">
        <v>43158</v>
      </c>
      <c r="J857" s="2" t="s">
        <v>2095</v>
      </c>
      <c r="K857" s="2">
        <v>3</v>
      </c>
      <c r="L857" s="2" t="s">
        <v>2096</v>
      </c>
      <c r="Q857" s="4" t="str">
        <f ca="1">IFERROR(__xludf.DUMMYFUNCTION("TRIM(SUBSTITUTE(SUBSTITUTE(D857, index(SPLIT(D857, "" ""), COLUMNS(SPLIT(D857, "" ""))), """"), index(SPLIT(D857, "" ""), COLUMNS(SPLIT(D857, "" ""))-1), """"))"),"Подільська")</f>
        <v>Подільська</v>
      </c>
    </row>
    <row r="858" spans="1:17" ht="38">
      <c r="A858" s="2"/>
      <c r="B858" s="2" t="s">
        <v>1900</v>
      </c>
      <c r="C858" s="2" t="s">
        <v>2075</v>
      </c>
      <c r="D858" s="2" t="s">
        <v>140</v>
      </c>
      <c r="E858" s="2"/>
      <c r="F858" s="2" t="s">
        <v>28</v>
      </c>
      <c r="G858" s="2">
        <v>8</v>
      </c>
      <c r="H858" s="2">
        <v>275.2</v>
      </c>
      <c r="I858" s="2">
        <v>5301</v>
      </c>
      <c r="J858" s="2" t="s">
        <v>2097</v>
      </c>
      <c r="K858" s="2">
        <v>4</v>
      </c>
      <c r="L858" s="2" t="s">
        <v>2098</v>
      </c>
      <c r="Q858" s="4" t="str">
        <f ca="1">IFERROR(__xludf.DUMMYFUNCTION("TRIM(SUBSTITUTE(SUBSTITUTE(D858, index(SPLIT(D858, "" ""), COLUMNS(SPLIT(D858, "" ""))), """"), index(SPLIT(D858, "" ""), COLUMNS(SPLIT(D858, "" ""))-1), """"))"),"Піщанська")</f>
        <v>Піщанська</v>
      </c>
    </row>
    <row r="859" spans="1:17" ht="50.5">
      <c r="A859" s="2"/>
      <c r="B859" s="2" t="s">
        <v>1900</v>
      </c>
      <c r="C859" s="2" t="s">
        <v>2075</v>
      </c>
      <c r="D859" s="2" t="s">
        <v>2099</v>
      </c>
      <c r="E859" s="2"/>
      <c r="F859" s="2" t="s">
        <v>32</v>
      </c>
      <c r="G859" s="2">
        <v>21</v>
      </c>
      <c r="H859" s="2">
        <v>619.20000000000005</v>
      </c>
      <c r="I859" s="2">
        <v>17959</v>
      </c>
      <c r="J859" s="2" t="s">
        <v>2100</v>
      </c>
      <c r="K859" s="2">
        <v>11</v>
      </c>
      <c r="L859" s="2" t="s">
        <v>2101</v>
      </c>
      <c r="Q859" s="4" t="str">
        <f ca="1">IFERROR(__xludf.DUMMYFUNCTION("TRIM(SUBSTITUTE(SUBSTITUTE(D859, index(SPLIT(D859, "" ""), COLUMNS(SPLIT(D859, "" ""))), """"), index(SPLIT(D859, "" ""), COLUMNS(SPLIT(D859, "" ""))-1), """"))"),"Савранська")</f>
        <v>Савранська</v>
      </c>
    </row>
    <row r="860" spans="1:17" ht="38">
      <c r="A860" s="2"/>
      <c r="B860" s="2" t="s">
        <v>1900</v>
      </c>
      <c r="C860" s="2" t="s">
        <v>2075</v>
      </c>
      <c r="D860" s="2" t="s">
        <v>2102</v>
      </c>
      <c r="E860" s="2"/>
      <c r="F860" s="2" t="s">
        <v>32</v>
      </c>
      <c r="G860" s="2">
        <v>5</v>
      </c>
      <c r="H860" s="2">
        <v>114.4</v>
      </c>
      <c r="I860" s="2">
        <v>3463</v>
      </c>
      <c r="J860" s="2" t="s">
        <v>2103</v>
      </c>
      <c r="K860" s="2">
        <v>3</v>
      </c>
      <c r="L860" s="2" t="s">
        <v>2104</v>
      </c>
      <c r="Q860" s="4" t="str">
        <f ca="1">IFERROR(__xludf.DUMMYFUNCTION("TRIM(SUBSTITUTE(SUBSTITUTE(D860, index(SPLIT(D860, "" ""), COLUMNS(SPLIT(D860, "" ""))), """"), index(SPLIT(D860, "" ""), COLUMNS(SPLIT(D860, "" ""))-1), """"))"),"Слобідська")</f>
        <v>Слобідська</v>
      </c>
    </row>
    <row r="861" spans="1:17" ht="63">
      <c r="A861" s="2"/>
      <c r="B861" s="2" t="s">
        <v>1900</v>
      </c>
      <c r="C861" s="2" t="s">
        <v>2105</v>
      </c>
      <c r="D861" s="2" t="s">
        <v>436</v>
      </c>
      <c r="E861" s="2"/>
      <c r="F861" s="2" t="s">
        <v>32</v>
      </c>
      <c r="G861" s="2">
        <v>29</v>
      </c>
      <c r="H861" s="2">
        <v>589.70000000000005</v>
      </c>
      <c r="I861" s="2">
        <v>13480</v>
      </c>
      <c r="J861" s="2" t="s">
        <v>143</v>
      </c>
      <c r="K861" s="2">
        <v>11</v>
      </c>
      <c r="L861" s="2" t="s">
        <v>2106</v>
      </c>
      <c r="Q861" s="4" t="str">
        <f ca="1">IFERROR(__xludf.DUMMYFUNCTION("TRIM(SUBSTITUTE(SUBSTITUTE(D861, index(SPLIT(D861, "" ""), COLUMNS(SPLIT(D861, "" ""))), """"), index(SPLIT(D861, "" ""), COLUMNS(SPLIT(D861, "" ""))-1), """"))"),"Великомихайлівська")</f>
        <v>Великомихайлівська</v>
      </c>
    </row>
    <row r="862" spans="1:17" ht="50.5">
      <c r="A862" s="2"/>
      <c r="B862" s="2" t="s">
        <v>1900</v>
      </c>
      <c r="C862" s="2" t="s">
        <v>2105</v>
      </c>
      <c r="D862" s="2" t="s">
        <v>2107</v>
      </c>
      <c r="E862" s="2"/>
      <c r="F862" s="2" t="s">
        <v>28</v>
      </c>
      <c r="G862" s="2">
        <v>12</v>
      </c>
      <c r="H862" s="2">
        <v>238.9</v>
      </c>
      <c r="I862" s="2">
        <v>4956</v>
      </c>
      <c r="J862" s="2" t="s">
        <v>46</v>
      </c>
      <c r="K862" s="2">
        <v>4</v>
      </c>
      <c r="L862" s="2" t="s">
        <v>2108</v>
      </c>
      <c r="Q862" s="4" t="str">
        <f ca="1">IFERROR(__xludf.DUMMYFUNCTION("TRIM(SUBSTITUTE(SUBSTITUTE(D862, index(SPLIT(D862, "" ""), COLUMNS(SPLIT(D862, "" ""))), """"), index(SPLIT(D862, "" ""), COLUMNS(SPLIT(D862, "" ""))-1), """"))"),"Великоплосківська")</f>
        <v>Великоплосківська</v>
      </c>
    </row>
    <row r="863" spans="1:17" ht="38">
      <c r="A863" s="2"/>
      <c r="B863" s="2" t="s">
        <v>1900</v>
      </c>
      <c r="C863" s="2" t="s">
        <v>2105</v>
      </c>
      <c r="D863" s="2" t="s">
        <v>2109</v>
      </c>
      <c r="E863" s="2"/>
      <c r="F863" s="2" t="s">
        <v>32</v>
      </c>
      <c r="G863" s="2">
        <v>16</v>
      </c>
      <c r="H863" s="2">
        <v>231.6</v>
      </c>
      <c r="I863" s="2">
        <v>6539</v>
      </c>
      <c r="J863" s="2" t="s">
        <v>72</v>
      </c>
      <c r="K863" s="2">
        <v>3</v>
      </c>
      <c r="L863" s="2" t="s">
        <v>2110</v>
      </c>
      <c r="Q863" s="4" t="str">
        <f ca="1">IFERROR(__xludf.DUMMYFUNCTION("TRIM(SUBSTITUTE(SUBSTITUTE(D863, index(SPLIT(D863, "" ""), COLUMNS(SPLIT(D863, "" ""))), """"), index(SPLIT(D863, "" ""), COLUMNS(SPLIT(D863, "" ""))-1), """"))"),"Затишанська")</f>
        <v>Затишанська</v>
      </c>
    </row>
    <row r="864" spans="1:17" ht="50.5">
      <c r="A864" s="2"/>
      <c r="B864" s="2" t="s">
        <v>1900</v>
      </c>
      <c r="C864" s="2" t="s">
        <v>2105</v>
      </c>
      <c r="D864" s="2" t="s">
        <v>2111</v>
      </c>
      <c r="E864" s="2"/>
      <c r="F864" s="2" t="s">
        <v>32</v>
      </c>
      <c r="G864" s="2">
        <v>37</v>
      </c>
      <c r="H864" s="2">
        <v>723.3</v>
      </c>
      <c r="I864" s="2">
        <v>13187</v>
      </c>
      <c r="J864" s="2" t="s">
        <v>2112</v>
      </c>
      <c r="K864" s="2">
        <v>10</v>
      </c>
      <c r="L864" s="2" t="s">
        <v>2113</v>
      </c>
      <c r="Q864" s="4" t="str">
        <f ca="1">IFERROR(__xludf.DUMMYFUNCTION("TRIM(SUBSTITUTE(SUBSTITUTE(D864, index(SPLIT(D864, "" ""), COLUMNS(SPLIT(D864, "" ""))), """"), index(SPLIT(D864, "" ""), COLUMNS(SPLIT(D864, "" ""))-1), """"))"),"Захарівська")</f>
        <v>Захарівська</v>
      </c>
    </row>
    <row r="865" spans="1:17" ht="38">
      <c r="A865" s="2"/>
      <c r="B865" s="2" t="s">
        <v>1900</v>
      </c>
      <c r="C865" s="2" t="s">
        <v>2105</v>
      </c>
      <c r="D865" s="2" t="s">
        <v>518</v>
      </c>
      <c r="E865" s="2"/>
      <c r="F865" s="2" t="s">
        <v>32</v>
      </c>
      <c r="G865" s="2">
        <v>7</v>
      </c>
      <c r="H865" s="2">
        <v>253.4</v>
      </c>
      <c r="I865" s="2">
        <v>14306</v>
      </c>
      <c r="J865" s="2" t="s">
        <v>39</v>
      </c>
      <c r="K865" s="2">
        <v>3</v>
      </c>
      <c r="L865" s="2" t="s">
        <v>1992</v>
      </c>
      <c r="Q865" s="4" t="str">
        <f ca="1">IFERROR(__xludf.DUMMYFUNCTION("TRIM(SUBSTITUTE(SUBSTITUTE(D865, index(SPLIT(D865, "" ""), COLUMNS(SPLIT(D865, "" ""))), """"), index(SPLIT(D865, "" ""), COLUMNS(SPLIT(D865, "" ""))-1), """"))"),"Лиманська")</f>
        <v>Лиманська</v>
      </c>
    </row>
    <row r="866" spans="1:17" ht="50.5">
      <c r="A866" s="2"/>
      <c r="B866" s="2" t="s">
        <v>1900</v>
      </c>
      <c r="C866" s="2" t="s">
        <v>2105</v>
      </c>
      <c r="D866" s="2" t="s">
        <v>2114</v>
      </c>
      <c r="E866" s="2"/>
      <c r="F866" s="2" t="s">
        <v>28</v>
      </c>
      <c r="G866" s="2">
        <v>21</v>
      </c>
      <c r="H866" s="2">
        <v>229.9</v>
      </c>
      <c r="I866" s="2">
        <v>5299</v>
      </c>
      <c r="J866" s="2" t="s">
        <v>163</v>
      </c>
      <c r="K866" s="2">
        <v>4</v>
      </c>
      <c r="L866" s="2" t="s">
        <v>2115</v>
      </c>
      <c r="Q866" s="4" t="str">
        <f ca="1">IFERROR(__xludf.DUMMYFUNCTION("TRIM(SUBSTITUTE(SUBSTITUTE(D866, index(SPLIT(D866, "" ""), COLUMNS(SPLIT(D866, "" ""))), """"), index(SPLIT(D866, "" ""), COLUMNS(SPLIT(D866, "" ""))-1), """"))"),"Новоборисівська")</f>
        <v>Новоборисівська</v>
      </c>
    </row>
    <row r="867" spans="1:17" ht="50.5">
      <c r="A867" s="2"/>
      <c r="B867" s="2" t="s">
        <v>1900</v>
      </c>
      <c r="C867" s="2" t="s">
        <v>2105</v>
      </c>
      <c r="D867" s="2" t="s">
        <v>2116</v>
      </c>
      <c r="E867" s="2"/>
      <c r="F867" s="2" t="s">
        <v>20</v>
      </c>
      <c r="G867" s="2">
        <v>51</v>
      </c>
      <c r="H867" s="2">
        <v>766.4</v>
      </c>
      <c r="I867" s="2">
        <v>32878</v>
      </c>
      <c r="J867" s="2" t="s">
        <v>2117</v>
      </c>
      <c r="K867" s="2">
        <v>12</v>
      </c>
      <c r="L867" s="2" t="s">
        <v>2118</v>
      </c>
      <c r="Q867" s="4" t="str">
        <f ca="1">IFERROR(__xludf.DUMMYFUNCTION("TRIM(SUBSTITUTE(SUBSTITUTE(D867, index(SPLIT(D867, "" ""), COLUMNS(SPLIT(D867, "" ""))), """"), index(SPLIT(D867, "" ""), COLUMNS(SPLIT(D867, "" ""))-1), """"))"),"Роздільнянська")</f>
        <v>Роздільнянська</v>
      </c>
    </row>
    <row r="868" spans="1:17" ht="38">
      <c r="A868" s="2"/>
      <c r="B868" s="2" t="s">
        <v>1900</v>
      </c>
      <c r="C868" s="2" t="s">
        <v>2105</v>
      </c>
      <c r="D868" s="2" t="s">
        <v>2119</v>
      </c>
      <c r="E868" s="2"/>
      <c r="F868" s="2" t="s">
        <v>28</v>
      </c>
      <c r="G868" s="2">
        <v>21</v>
      </c>
      <c r="H868" s="2">
        <v>252.2</v>
      </c>
      <c r="I868" s="2">
        <v>7008</v>
      </c>
      <c r="J868" s="2" t="s">
        <v>2120</v>
      </c>
      <c r="K868" s="2">
        <v>4</v>
      </c>
      <c r="L868" s="2" t="s">
        <v>2121</v>
      </c>
      <c r="Q868" s="4" t="str">
        <f ca="1">IFERROR(__xludf.DUMMYFUNCTION("TRIM(SUBSTITUTE(SUBSTITUTE(D868, index(SPLIT(D868, "" ""), COLUMNS(SPLIT(D868, "" ""))), """"), index(SPLIT(D868, "" ""), COLUMNS(SPLIT(D868, "" ""))-1), """"))"),"Степанівська")</f>
        <v>Степанівська</v>
      </c>
    </row>
    <row r="869" spans="1:17" ht="38">
      <c r="A869" s="2"/>
      <c r="B869" s="2" t="s">
        <v>1900</v>
      </c>
      <c r="C869" s="2" t="s">
        <v>2105</v>
      </c>
      <c r="D869" s="2" t="s">
        <v>2122</v>
      </c>
      <c r="E869" s="2"/>
      <c r="F869" s="2" t="s">
        <v>32</v>
      </c>
      <c r="G869" s="2">
        <v>15</v>
      </c>
      <c r="H869" s="2">
        <v>286.8</v>
      </c>
      <c r="I869" s="2">
        <v>4931</v>
      </c>
      <c r="J869" s="2" t="s">
        <v>39</v>
      </c>
      <c r="K869" s="2">
        <v>3</v>
      </c>
      <c r="L869" s="2" t="s">
        <v>2123</v>
      </c>
      <c r="Q869" s="4" t="str">
        <f ca="1">IFERROR(__xludf.DUMMYFUNCTION("TRIM(SUBSTITUTE(SUBSTITUTE(D869, index(SPLIT(D869, "" ""), COLUMNS(SPLIT(D869, "" ""))), """"), index(SPLIT(D869, "" ""), COLUMNS(SPLIT(D869, "" ""))-1), """"))"),"Цебриківська")</f>
        <v>Цебриківська</v>
      </c>
    </row>
    <row r="870" spans="1:17" ht="88">
      <c r="A870" s="2"/>
      <c r="B870" s="2" t="s">
        <v>2124</v>
      </c>
      <c r="C870" s="2" t="s">
        <v>2125</v>
      </c>
      <c r="D870" s="2" t="s">
        <v>2126</v>
      </c>
      <c r="E870" s="2"/>
      <c r="F870" s="2" t="s">
        <v>20</v>
      </c>
      <c r="G870" s="2">
        <v>65</v>
      </c>
      <c r="H870" s="2">
        <v>1198.9000000000001</v>
      </c>
      <c r="I870" s="2">
        <v>25280</v>
      </c>
      <c r="J870" s="2" t="s">
        <v>143</v>
      </c>
      <c r="K870" s="2">
        <v>19</v>
      </c>
      <c r="L870" s="2" t="s">
        <v>2127</v>
      </c>
      <c r="Q870" s="4" t="str">
        <f ca="1">IFERROR(__xludf.DUMMYFUNCTION("TRIM(SUBSTITUTE(SUBSTITUTE(D870, index(SPLIT(D870, "" ""), COLUMNS(SPLIT(D870, "" ""))), """"), index(SPLIT(D870, "" ""), COLUMNS(SPLIT(D870, "" ""))-1), """"))"),"Глобинська")</f>
        <v>Глобинська</v>
      </c>
    </row>
    <row r="871" spans="1:17" ht="50.5">
      <c r="A871" s="2"/>
      <c r="B871" s="2" t="s">
        <v>2124</v>
      </c>
      <c r="C871" s="2" t="s">
        <v>2125</v>
      </c>
      <c r="D871" s="2" t="s">
        <v>2128</v>
      </c>
      <c r="E871" s="2"/>
      <c r="F871" s="2" t="s">
        <v>20</v>
      </c>
      <c r="G871" s="2">
        <v>15</v>
      </c>
      <c r="H871" s="2">
        <v>368.7</v>
      </c>
      <c r="I871" s="2">
        <v>55366</v>
      </c>
      <c r="J871" s="2" t="s">
        <v>2129</v>
      </c>
      <c r="K871" s="2">
        <v>5</v>
      </c>
      <c r="L871" s="2" t="s">
        <v>2130</v>
      </c>
      <c r="Q871" s="4" t="str">
        <f ca="1">IFERROR(__xludf.DUMMYFUNCTION("TRIM(SUBSTITUTE(SUBSTITUTE(D871, index(SPLIT(D871, "" ""), COLUMNS(SPLIT(D871, "" ""))), """"), index(SPLIT(D871, "" ""), COLUMNS(SPLIT(D871, "" ""))-1), """"))"),"Горішньоплавнівська")</f>
        <v>Горішньоплавнівська</v>
      </c>
    </row>
    <row r="872" spans="1:17" ht="38">
      <c r="A872" s="2"/>
      <c r="B872" s="2" t="s">
        <v>2124</v>
      </c>
      <c r="C872" s="2" t="s">
        <v>2125</v>
      </c>
      <c r="D872" s="2" t="s">
        <v>2131</v>
      </c>
      <c r="E872" s="2"/>
      <c r="F872" s="2" t="s">
        <v>32</v>
      </c>
      <c r="G872" s="2">
        <v>28</v>
      </c>
      <c r="H872" s="2">
        <v>1257.9000000000001</v>
      </c>
      <c r="I872" s="2">
        <v>15215</v>
      </c>
      <c r="J872" s="2" t="s">
        <v>2132</v>
      </c>
      <c r="K872" s="2">
        <v>8</v>
      </c>
      <c r="L872" s="2" t="s">
        <v>2133</v>
      </c>
      <c r="Q872" s="4" t="str">
        <f ca="1">IFERROR(__xludf.DUMMYFUNCTION("TRIM(SUBSTITUTE(SUBSTITUTE(D872, index(SPLIT(D872, "" ""), COLUMNS(SPLIT(D872, "" ""))), """"), index(SPLIT(D872, "" ""), COLUMNS(SPLIT(D872, "" ""))-1), """"))"),"Градизька")</f>
        <v>Градизька</v>
      </c>
    </row>
    <row r="873" spans="1:17" ht="50.5">
      <c r="A873" s="2"/>
      <c r="B873" s="2" t="s">
        <v>2124</v>
      </c>
      <c r="C873" s="2" t="s">
        <v>2125</v>
      </c>
      <c r="D873" s="2" t="s">
        <v>2134</v>
      </c>
      <c r="E873" s="2"/>
      <c r="F873" s="2" t="s">
        <v>28</v>
      </c>
      <c r="G873" s="2">
        <v>11</v>
      </c>
      <c r="H873" s="2">
        <v>239</v>
      </c>
      <c r="I873" s="2">
        <v>11069</v>
      </c>
      <c r="J873" s="2" t="s">
        <v>2135</v>
      </c>
      <c r="K873" s="2">
        <v>2</v>
      </c>
      <c r="L873" s="2" t="s">
        <v>2136</v>
      </c>
      <c r="Q873" s="4" t="str">
        <f ca="1">IFERROR(__xludf.DUMMYFUNCTION("TRIM(SUBSTITUTE(SUBSTITUTE(D873, index(SPLIT(D873, "" ""), COLUMNS(SPLIT(D873, "" ""))), """"), index(SPLIT(D873, "" ""), COLUMNS(SPLIT(D873, "" ""))-1), """"))"),"Кам'янопотоківська")</f>
        <v>Кам'янопотоківська</v>
      </c>
    </row>
    <row r="874" spans="1:17" ht="63">
      <c r="A874" s="2"/>
      <c r="B874" s="2" t="s">
        <v>2124</v>
      </c>
      <c r="C874" s="2" t="s">
        <v>2125</v>
      </c>
      <c r="D874" s="2" t="s">
        <v>2137</v>
      </c>
      <c r="E874" s="2"/>
      <c r="F874" s="2" t="s">
        <v>32</v>
      </c>
      <c r="G874" s="2">
        <v>63</v>
      </c>
      <c r="H874" s="2">
        <v>726</v>
      </c>
      <c r="I874" s="2">
        <v>13755</v>
      </c>
      <c r="J874" s="2" t="s">
        <v>178</v>
      </c>
      <c r="K874" s="2">
        <v>14</v>
      </c>
      <c r="L874" s="2" t="s">
        <v>2138</v>
      </c>
      <c r="Q874" s="4" t="str">
        <f ca="1">IFERROR(__xludf.DUMMYFUNCTION("TRIM(SUBSTITUTE(SUBSTITUTE(D874, index(SPLIT(D874, "" ""), COLUMNS(SPLIT(D874, "" ""))), """"), index(SPLIT(D874, "" ""), COLUMNS(SPLIT(D874, "" ""))-1), """"))"),"Козельщинська")</f>
        <v>Козельщинська</v>
      </c>
    </row>
    <row r="875" spans="1:17" ht="50.5">
      <c r="A875" s="2"/>
      <c r="B875" s="2" t="s">
        <v>2124</v>
      </c>
      <c r="C875" s="2" t="s">
        <v>2125</v>
      </c>
      <c r="D875" s="2" t="s">
        <v>2139</v>
      </c>
      <c r="E875" s="2"/>
      <c r="F875" s="2" t="s">
        <v>20</v>
      </c>
      <c r="G875" s="2">
        <v>5</v>
      </c>
      <c r="H875" s="2">
        <v>165.1</v>
      </c>
      <c r="I875" s="2">
        <v>220619</v>
      </c>
      <c r="J875" s="2" t="s">
        <v>2140</v>
      </c>
      <c r="K875" s="2">
        <v>2</v>
      </c>
      <c r="L875" s="2" t="s">
        <v>2141</v>
      </c>
      <c r="Q875" s="4" t="str">
        <f ca="1">IFERROR(__xludf.DUMMYFUNCTION("TRIM(SUBSTITUTE(SUBSTITUTE(D875, index(SPLIT(D875, "" ""), COLUMNS(SPLIT(D875, "" ""))), """"), index(SPLIT(D875, "" ""), COLUMNS(SPLIT(D875, "" ""))-1), """"))"),"Кременчуцька")</f>
        <v>Кременчуцька</v>
      </c>
    </row>
    <row r="876" spans="1:17" ht="50.5">
      <c r="A876" s="2"/>
      <c r="B876" s="2" t="s">
        <v>2124</v>
      </c>
      <c r="C876" s="2" t="s">
        <v>2125</v>
      </c>
      <c r="D876" s="2" t="s">
        <v>2142</v>
      </c>
      <c r="E876" s="2"/>
      <c r="F876" s="2" t="s">
        <v>32</v>
      </c>
      <c r="G876" s="2">
        <v>17</v>
      </c>
      <c r="H876" s="2">
        <v>193.6</v>
      </c>
      <c r="I876" s="2">
        <v>4692</v>
      </c>
      <c r="J876" s="2" t="s">
        <v>39</v>
      </c>
      <c r="K876" s="2">
        <v>4</v>
      </c>
      <c r="L876" s="2" t="s">
        <v>2143</v>
      </c>
      <c r="Q876" s="4" t="str">
        <f ca="1">IFERROR(__xludf.DUMMYFUNCTION("TRIM(SUBSTITUTE(SUBSTITUTE(D876, index(SPLIT(D876, "" ""), COLUMNS(SPLIT(D876, "" ""))), """"), index(SPLIT(D876, "" ""), COLUMNS(SPLIT(D876, "" ""))-1), """"))"),"Новогалещинська")</f>
        <v>Новогалещинська</v>
      </c>
    </row>
    <row r="877" spans="1:17" ht="38">
      <c r="A877" s="2"/>
      <c r="B877" s="2" t="s">
        <v>2124</v>
      </c>
      <c r="C877" s="2" t="s">
        <v>2125</v>
      </c>
      <c r="D877" s="2" t="s">
        <v>2144</v>
      </c>
      <c r="E877" s="2"/>
      <c r="F877" s="2" t="s">
        <v>28</v>
      </c>
      <c r="G877" s="2">
        <v>21</v>
      </c>
      <c r="H877" s="2">
        <v>465.9</v>
      </c>
      <c r="I877" s="2">
        <v>5858</v>
      </c>
      <c r="J877" s="2" t="s">
        <v>178</v>
      </c>
      <c r="K877" s="2">
        <v>7</v>
      </c>
      <c r="L877" s="2" t="s">
        <v>2145</v>
      </c>
      <c r="Q877" s="4" t="str">
        <f ca="1">IFERROR(__xludf.DUMMYFUNCTION("TRIM(SUBSTITUTE(SUBSTITUTE(D877, index(SPLIT(D877, "" ""), COLUMNS(SPLIT(D877, "" ""))), """"), index(SPLIT(D877, "" ""), COLUMNS(SPLIT(D877, "" ""))-1), """"))"),"Оболонська")</f>
        <v>Оболонська</v>
      </c>
    </row>
    <row r="878" spans="1:17" ht="38">
      <c r="A878" s="2"/>
      <c r="B878" s="2" t="s">
        <v>2124</v>
      </c>
      <c r="C878" s="2" t="s">
        <v>2125</v>
      </c>
      <c r="D878" s="2" t="s">
        <v>2146</v>
      </c>
      <c r="E878" s="2"/>
      <c r="F878" s="2" t="s">
        <v>28</v>
      </c>
      <c r="G878" s="2">
        <v>20</v>
      </c>
      <c r="H878" s="2">
        <v>224.6</v>
      </c>
      <c r="I878" s="2">
        <v>4909</v>
      </c>
      <c r="J878" s="2" t="s">
        <v>143</v>
      </c>
      <c r="K878" s="2">
        <v>4</v>
      </c>
      <c r="L878" s="2" t="s">
        <v>2147</v>
      </c>
      <c r="Q878" s="4" t="str">
        <f ca="1">IFERROR(__xludf.DUMMYFUNCTION("TRIM(SUBSTITUTE(SUBSTITUTE(D878, index(SPLIT(D878, "" ""), COLUMNS(SPLIT(D878, "" ""))), """"), index(SPLIT(D878, "" ""), COLUMNS(SPLIT(D878, "" ""))-1), """"))"),"Омельницька")</f>
        <v>Омельницька</v>
      </c>
    </row>
    <row r="879" spans="1:17" ht="38">
      <c r="A879" s="2"/>
      <c r="B879" s="2" t="s">
        <v>2124</v>
      </c>
      <c r="C879" s="2" t="s">
        <v>2125</v>
      </c>
      <c r="D879" s="2" t="s">
        <v>2148</v>
      </c>
      <c r="E879" s="2"/>
      <c r="F879" s="2" t="s">
        <v>28</v>
      </c>
      <c r="G879" s="2">
        <v>13</v>
      </c>
      <c r="H879" s="2">
        <v>171.7</v>
      </c>
      <c r="I879" s="2">
        <v>2947</v>
      </c>
      <c r="J879" s="2" t="s">
        <v>143</v>
      </c>
      <c r="K879" s="2">
        <v>3</v>
      </c>
      <c r="L879" s="2" t="s">
        <v>2149</v>
      </c>
      <c r="Q879" s="4" t="str">
        <f ca="1">IFERROR(__xludf.DUMMYFUNCTION("TRIM(SUBSTITUTE(SUBSTITUTE(D879, index(SPLIT(D879, "" ""), COLUMNS(SPLIT(D879, "" ""))), """"), index(SPLIT(D879, "" ""), COLUMNS(SPLIT(D879, "" ""))-1), """"))"),"Пришибська")</f>
        <v>Пришибська</v>
      </c>
    </row>
    <row r="880" spans="1:17" ht="38">
      <c r="A880" s="2"/>
      <c r="B880" s="2" t="s">
        <v>2124</v>
      </c>
      <c r="C880" s="2" t="s">
        <v>2125</v>
      </c>
      <c r="D880" s="2" t="s">
        <v>140</v>
      </c>
      <c r="E880" s="2"/>
      <c r="F880" s="2" t="s">
        <v>28</v>
      </c>
      <c r="G880" s="2">
        <v>23</v>
      </c>
      <c r="H880" s="2">
        <v>292.3</v>
      </c>
      <c r="I880" s="2">
        <v>15172</v>
      </c>
      <c r="J880" s="2" t="s">
        <v>143</v>
      </c>
      <c r="K880" s="2">
        <v>7</v>
      </c>
      <c r="L880" s="2" t="s">
        <v>2150</v>
      </c>
      <c r="Q880" s="4" t="str">
        <f ca="1">IFERROR(__xludf.DUMMYFUNCTION("TRIM(SUBSTITUTE(SUBSTITUTE(D880, index(SPLIT(D880, "" ""), COLUMNS(SPLIT(D880, "" ""))), """"), index(SPLIT(D880, "" ""), COLUMNS(SPLIT(D880, "" ""))-1), """"))"),"Піщанська")</f>
        <v>Піщанська</v>
      </c>
    </row>
    <row r="881" spans="1:17" ht="63">
      <c r="A881" s="2"/>
      <c r="B881" s="2" t="s">
        <v>2124</v>
      </c>
      <c r="C881" s="2" t="s">
        <v>2125</v>
      </c>
      <c r="D881" s="2" t="s">
        <v>601</v>
      </c>
      <c r="E881" s="2"/>
      <c r="F881" s="2" t="s">
        <v>32</v>
      </c>
      <c r="G881" s="2">
        <v>44</v>
      </c>
      <c r="H881" s="2">
        <v>802.4</v>
      </c>
      <c r="I881" s="2">
        <v>17459</v>
      </c>
      <c r="J881" s="2" t="s">
        <v>143</v>
      </c>
      <c r="K881" s="2">
        <v>14</v>
      </c>
      <c r="L881" s="2" t="s">
        <v>2151</v>
      </c>
      <c r="Q881" s="4" t="str">
        <f ca="1">IFERROR(__xludf.DUMMYFUNCTION("TRIM(SUBSTITUTE(SUBSTITUTE(D881, index(SPLIT(D881, "" ""), COLUMNS(SPLIT(D881, "" ""))), """"), index(SPLIT(D881, "" ""), COLUMNS(SPLIT(D881, "" ""))-1), """"))"),"Семенівська")</f>
        <v>Семенівська</v>
      </c>
    </row>
    <row r="882" spans="1:17" ht="75.5">
      <c r="A882" s="2"/>
      <c r="B882" s="2" t="s">
        <v>2124</v>
      </c>
      <c r="C882" s="2" t="s">
        <v>2152</v>
      </c>
      <c r="D882" s="2" t="s">
        <v>1313</v>
      </c>
      <c r="E882" s="2"/>
      <c r="F882" s="2" t="s">
        <v>20</v>
      </c>
      <c r="G882" s="2">
        <v>42</v>
      </c>
      <c r="H882" s="2">
        <v>595.70000000000005</v>
      </c>
      <c r="I882" s="2">
        <v>21316</v>
      </c>
      <c r="J882" s="2" t="s">
        <v>39</v>
      </c>
      <c r="K882" s="2">
        <v>17</v>
      </c>
      <c r="L882" s="2" t="s">
        <v>2153</v>
      </c>
      <c r="Q882" s="4" t="str">
        <f ca="1">IFERROR(__xludf.DUMMYFUNCTION("TRIM(SUBSTITUTE(SUBSTITUTE(D882, index(SPLIT(D882, "" ""), COLUMNS(SPLIT(D882, "" ""))), """"), index(SPLIT(D882, "" ""), COLUMNS(SPLIT(D882, "" ""))-1), """"))"),"Гребінківська")</f>
        <v>Гребінківська</v>
      </c>
    </row>
    <row r="883" spans="1:17" ht="88">
      <c r="A883" s="2"/>
      <c r="B883" s="2" t="s">
        <v>2124</v>
      </c>
      <c r="C883" s="2" t="s">
        <v>2152</v>
      </c>
      <c r="D883" s="2" t="s">
        <v>2154</v>
      </c>
      <c r="E883" s="2"/>
      <c r="F883" s="2" t="s">
        <v>20</v>
      </c>
      <c r="G883" s="2">
        <v>63</v>
      </c>
      <c r="H883" s="2">
        <v>1076.0999999999999</v>
      </c>
      <c r="I883" s="2">
        <v>68457</v>
      </c>
      <c r="J883" s="2" t="s">
        <v>2155</v>
      </c>
      <c r="K883" s="2">
        <v>20</v>
      </c>
      <c r="L883" s="2" t="s">
        <v>2156</v>
      </c>
      <c r="Q883" s="4" t="str">
        <f ca="1">IFERROR(__xludf.DUMMYFUNCTION("TRIM(SUBSTITUTE(SUBSTITUTE(D883, index(SPLIT(D883, "" ""), COLUMNS(SPLIT(D883, "" ""))), """"), index(SPLIT(D883, "" ""), COLUMNS(SPLIT(D883, "" ""))-1), """"))"),"Лубенська")</f>
        <v>Лубенська</v>
      </c>
    </row>
    <row r="884" spans="1:17" ht="50.5">
      <c r="A884" s="2"/>
      <c r="B884" s="2" t="s">
        <v>2124</v>
      </c>
      <c r="C884" s="2" t="s">
        <v>2152</v>
      </c>
      <c r="D884" s="2" t="s">
        <v>2157</v>
      </c>
      <c r="E884" s="2"/>
      <c r="F884" s="2" t="s">
        <v>32</v>
      </c>
      <c r="G884" s="2">
        <v>31</v>
      </c>
      <c r="H884" s="2">
        <v>453.1</v>
      </c>
      <c r="I884" s="2">
        <v>10010</v>
      </c>
      <c r="J884" s="2" t="s">
        <v>163</v>
      </c>
      <c r="K884" s="2">
        <v>9</v>
      </c>
      <c r="L884" s="2" t="s">
        <v>2158</v>
      </c>
      <c r="Q884" s="4" t="str">
        <f ca="1">IFERROR(__xludf.DUMMYFUNCTION("TRIM(SUBSTITUTE(SUBSTITUTE(D884, index(SPLIT(D884, "" ""), COLUMNS(SPLIT(D884, "" ""))), """"), index(SPLIT(D884, "" ""), COLUMNS(SPLIT(D884, "" ""))-1), """"))"),"Новооржицька")</f>
        <v>Новооржицька</v>
      </c>
    </row>
    <row r="885" spans="1:17" ht="75.5">
      <c r="A885" s="2"/>
      <c r="B885" s="2" t="s">
        <v>2124</v>
      </c>
      <c r="C885" s="2" t="s">
        <v>2152</v>
      </c>
      <c r="D885" s="2" t="s">
        <v>2159</v>
      </c>
      <c r="E885" s="2"/>
      <c r="F885" s="2" t="s">
        <v>32</v>
      </c>
      <c r="G885" s="2">
        <v>33</v>
      </c>
      <c r="H885" s="2">
        <v>755.4</v>
      </c>
      <c r="I885" s="2">
        <v>15441</v>
      </c>
      <c r="J885" s="2" t="s">
        <v>2160</v>
      </c>
      <c r="K885" s="2">
        <v>17</v>
      </c>
      <c r="L885" s="2" t="s">
        <v>2161</v>
      </c>
      <c r="Q885" s="4" t="str">
        <f ca="1">IFERROR(__xludf.DUMMYFUNCTION("TRIM(SUBSTITUTE(SUBSTITUTE(D885, index(SPLIT(D885, "" ""), COLUMNS(SPLIT(D885, "" ""))), """"), index(SPLIT(D885, "" ""), COLUMNS(SPLIT(D885, "" ""))-1), """"))"),"Оржицька")</f>
        <v>Оржицька</v>
      </c>
    </row>
    <row r="886" spans="1:17" ht="75.5">
      <c r="A886" s="2"/>
      <c r="B886" s="2" t="s">
        <v>2124</v>
      </c>
      <c r="C886" s="2" t="s">
        <v>2152</v>
      </c>
      <c r="D886" s="2" t="s">
        <v>2162</v>
      </c>
      <c r="E886" s="2"/>
      <c r="F886" s="2" t="s">
        <v>20</v>
      </c>
      <c r="G886" s="2">
        <v>46</v>
      </c>
      <c r="H886" s="2">
        <v>923.3</v>
      </c>
      <c r="I886" s="2">
        <v>30135</v>
      </c>
      <c r="J886" s="2" t="s">
        <v>143</v>
      </c>
      <c r="K886" s="2">
        <v>16</v>
      </c>
      <c r="L886" s="2" t="s">
        <v>2163</v>
      </c>
      <c r="Q886" s="4" t="str">
        <f ca="1">IFERROR(__xludf.DUMMYFUNCTION("TRIM(SUBSTITUTE(SUBSTITUTE(D886, index(SPLIT(D886, "" ""), COLUMNS(SPLIT(D886, "" ""))), """"), index(SPLIT(D886, "" ""), COLUMNS(SPLIT(D886, "" ""))-1), """"))"),"Пирятинська")</f>
        <v>Пирятинська</v>
      </c>
    </row>
    <row r="887" spans="1:17" ht="88">
      <c r="A887" s="2"/>
      <c r="B887" s="2" t="s">
        <v>2124</v>
      </c>
      <c r="C887" s="2" t="s">
        <v>2152</v>
      </c>
      <c r="D887" s="2" t="s">
        <v>2164</v>
      </c>
      <c r="E887" s="2"/>
      <c r="F887" s="2" t="s">
        <v>20</v>
      </c>
      <c r="G887" s="2">
        <v>93</v>
      </c>
      <c r="H887" s="2">
        <v>1062.4000000000001</v>
      </c>
      <c r="I887" s="2">
        <v>32191</v>
      </c>
      <c r="J887" s="2" t="s">
        <v>2165</v>
      </c>
      <c r="K887" s="2">
        <v>20</v>
      </c>
      <c r="L887" s="2" t="s">
        <v>2166</v>
      </c>
      <c r="Q887" s="4" t="str">
        <f ca="1">IFERROR(__xludf.DUMMYFUNCTION("TRIM(SUBSTITUTE(SUBSTITUTE(D887, index(SPLIT(D887, "" ""), COLUMNS(SPLIT(D887, "" ""))), """"), index(SPLIT(D887, "" ""), COLUMNS(SPLIT(D887, "" ""))-1), """"))"),"Хорольська")</f>
        <v>Хорольська</v>
      </c>
    </row>
    <row r="888" spans="1:17" ht="50.5">
      <c r="A888" s="2"/>
      <c r="B888" s="2" t="s">
        <v>2124</v>
      </c>
      <c r="C888" s="2" t="s">
        <v>2152</v>
      </c>
      <c r="D888" s="2" t="s">
        <v>2167</v>
      </c>
      <c r="E888" s="2"/>
      <c r="F888" s="2" t="s">
        <v>32</v>
      </c>
      <c r="G888" s="2">
        <v>37</v>
      </c>
      <c r="H888" s="2">
        <v>621.79999999999995</v>
      </c>
      <c r="I888" s="2">
        <v>9988</v>
      </c>
      <c r="J888" s="2" t="s">
        <v>249</v>
      </c>
      <c r="K888" s="2">
        <v>12</v>
      </c>
      <c r="L888" s="2" t="s">
        <v>2168</v>
      </c>
      <c r="Q888" s="4" t="str">
        <f ca="1">IFERROR(__xludf.DUMMYFUNCTION("TRIM(SUBSTITUTE(SUBSTITUTE(D888, index(SPLIT(D888, "" ""), COLUMNS(SPLIT(D888, "" ""))), """"), index(SPLIT(D888, "" ""), COLUMNS(SPLIT(D888, "" ""))-1), """"))"),"Чорнухинська")</f>
        <v>Чорнухинська</v>
      </c>
    </row>
    <row r="889" spans="1:17" ht="50.5">
      <c r="A889" s="2"/>
      <c r="B889" s="2" t="s">
        <v>2124</v>
      </c>
      <c r="C889" s="2" t="s">
        <v>2169</v>
      </c>
      <c r="D889" s="2" t="s">
        <v>1307</v>
      </c>
      <c r="E889" s="2"/>
      <c r="F889" s="2" t="s">
        <v>28</v>
      </c>
      <c r="G889" s="2">
        <v>29</v>
      </c>
      <c r="H889" s="2">
        <v>313.2</v>
      </c>
      <c r="I889" s="2">
        <v>5278</v>
      </c>
      <c r="J889" s="2" t="s">
        <v>143</v>
      </c>
      <c r="K889" s="2">
        <v>6</v>
      </c>
      <c r="L889" s="2" t="s">
        <v>2170</v>
      </c>
      <c r="Q889" s="4" t="str">
        <f ca="1">IFERROR(__xludf.DUMMYFUNCTION("TRIM(SUBSTITUTE(SUBSTITUTE(D889, index(SPLIT(D889, "" ""), COLUMNS(SPLIT(D889, "" ""))), """"), index(SPLIT(D889, "" ""), COLUMNS(SPLIT(D889, "" ""))-1), """"))"),"Білоцерківська")</f>
        <v>Білоцерківська</v>
      </c>
    </row>
    <row r="890" spans="1:17" ht="50.5">
      <c r="A890" s="2"/>
      <c r="B890" s="2" t="s">
        <v>2124</v>
      </c>
      <c r="C890" s="2" t="s">
        <v>2169</v>
      </c>
      <c r="D890" s="2" t="s">
        <v>2171</v>
      </c>
      <c r="E890" s="2"/>
      <c r="F890" s="2" t="s">
        <v>32</v>
      </c>
      <c r="G890" s="2">
        <v>29</v>
      </c>
      <c r="H890" s="2">
        <v>415.7</v>
      </c>
      <c r="I890" s="2">
        <v>11149</v>
      </c>
      <c r="J890" s="2" t="s">
        <v>63</v>
      </c>
      <c r="K890" s="2">
        <v>7</v>
      </c>
      <c r="L890" s="2" t="s">
        <v>2172</v>
      </c>
      <c r="Q890" s="4" t="str">
        <f ca="1">IFERROR(__xludf.DUMMYFUNCTION("TRIM(SUBSTITUTE(SUBSTITUTE(D890, index(SPLIT(D890, "" ""), COLUMNS(SPLIT(D890, "" ""))), """"), index(SPLIT(D890, "" ""), COLUMNS(SPLIT(D890, "" ""))-1), """"))"),"Великобагачанська")</f>
        <v>Великобагачанська</v>
      </c>
    </row>
    <row r="891" spans="1:17" ht="50.5">
      <c r="A891" s="2"/>
      <c r="B891" s="2" t="s">
        <v>2124</v>
      </c>
      <c r="C891" s="2" t="s">
        <v>2169</v>
      </c>
      <c r="D891" s="2" t="s">
        <v>2173</v>
      </c>
      <c r="E891" s="2"/>
      <c r="F891" s="2" t="s">
        <v>28</v>
      </c>
      <c r="G891" s="2">
        <v>20</v>
      </c>
      <c r="H891" s="2">
        <v>396</v>
      </c>
      <c r="I891" s="2">
        <v>7016</v>
      </c>
      <c r="J891" s="2" t="s">
        <v>163</v>
      </c>
      <c r="K891" s="2">
        <v>7</v>
      </c>
      <c r="L891" s="2" t="s">
        <v>2174</v>
      </c>
      <c r="Q891" s="4" t="str">
        <f ca="1">IFERROR(__xludf.DUMMYFUNCTION("TRIM(SUBSTITUTE(SUBSTITUTE(D891, index(SPLIT(D891, "" ""), COLUMNS(SPLIT(D891, "" ""))), """"), index(SPLIT(D891, "" ""), COLUMNS(SPLIT(D891, "" ""))-1), """"))"),"Великобудищанська")</f>
        <v>Великобудищанська</v>
      </c>
    </row>
    <row r="892" spans="1:17" ht="50.5">
      <c r="A892" s="2"/>
      <c r="B892" s="2" t="s">
        <v>2124</v>
      </c>
      <c r="C892" s="2" t="s">
        <v>2169</v>
      </c>
      <c r="D892" s="2" t="s">
        <v>2175</v>
      </c>
      <c r="E892" s="2"/>
      <c r="F892" s="2" t="s">
        <v>28</v>
      </c>
      <c r="G892" s="2">
        <v>21</v>
      </c>
      <c r="H892" s="2">
        <v>408.3</v>
      </c>
      <c r="I892" s="2">
        <v>7256</v>
      </c>
      <c r="J892" s="2" t="s">
        <v>33</v>
      </c>
      <c r="K892" s="2">
        <v>7</v>
      </c>
      <c r="L892" s="2" t="s">
        <v>2176</v>
      </c>
      <c r="Q892" s="4" t="str">
        <f ca="1">IFERROR(__xludf.DUMMYFUNCTION("TRIM(SUBSTITUTE(SUBSTITUTE(D892, index(SPLIT(D892, "" ""), COLUMNS(SPLIT(D892, "" ""))), """"), index(SPLIT(D892, "" ""), COLUMNS(SPLIT(D892, "" ""))-1), """"))"),"Великосорочинська")</f>
        <v>Великосорочинська</v>
      </c>
    </row>
    <row r="893" spans="1:17" ht="38">
      <c r="A893" s="2"/>
      <c r="B893" s="2" t="s">
        <v>2124</v>
      </c>
      <c r="C893" s="2" t="s">
        <v>2169</v>
      </c>
      <c r="D893" s="2" t="s">
        <v>2177</v>
      </c>
      <c r="E893" s="2"/>
      <c r="F893" s="2" t="s">
        <v>20</v>
      </c>
      <c r="G893" s="2">
        <v>21</v>
      </c>
      <c r="H893" s="2">
        <v>205</v>
      </c>
      <c r="I893" s="2">
        <v>26975</v>
      </c>
      <c r="J893" s="2" t="s">
        <v>2178</v>
      </c>
      <c r="K893" s="2">
        <v>4</v>
      </c>
      <c r="L893" s="2" t="s">
        <v>2179</v>
      </c>
      <c r="Q893" s="4" t="str">
        <f ca="1">IFERROR(__xludf.DUMMYFUNCTION("TRIM(SUBSTITUTE(SUBSTITUTE(D893, index(SPLIT(D893, "" ""), COLUMNS(SPLIT(D893, "" ""))), """"), index(SPLIT(D893, "" ""), COLUMNS(SPLIT(D893, "" ""))-1), """"))"),"Гадяцька")</f>
        <v>Гадяцька</v>
      </c>
    </row>
    <row r="894" spans="1:17" ht="38">
      <c r="A894" s="2"/>
      <c r="B894" s="2" t="s">
        <v>2124</v>
      </c>
      <c r="C894" s="2" t="s">
        <v>2169</v>
      </c>
      <c r="D894" s="2" t="s">
        <v>2180</v>
      </c>
      <c r="E894" s="2"/>
      <c r="F894" s="2" t="s">
        <v>32</v>
      </c>
      <c r="G894" s="2">
        <v>10</v>
      </c>
      <c r="H894" s="2">
        <v>189.1</v>
      </c>
      <c r="I894" s="2">
        <v>5404</v>
      </c>
      <c r="J894" s="2" t="s">
        <v>163</v>
      </c>
      <c r="K894" s="2">
        <v>4</v>
      </c>
      <c r="L894" s="2" t="s">
        <v>2181</v>
      </c>
      <c r="Q894" s="4" t="str">
        <f ca="1">IFERROR(__xludf.DUMMYFUNCTION("TRIM(SUBSTITUTE(SUBSTITUTE(D894, index(SPLIT(D894, "" ""), COLUMNS(SPLIT(D894, "" ""))), """"), index(SPLIT(D894, "" ""), COLUMNS(SPLIT(D894, "" ""))-1), """"))"),"Гоголівська")</f>
        <v>Гоголівська</v>
      </c>
    </row>
    <row r="895" spans="1:17" ht="38">
      <c r="A895" s="2"/>
      <c r="B895" s="2" t="s">
        <v>2124</v>
      </c>
      <c r="C895" s="2" t="s">
        <v>2169</v>
      </c>
      <c r="D895" s="2" t="s">
        <v>2182</v>
      </c>
      <c r="E895" s="2"/>
      <c r="F895" s="2" t="s">
        <v>20</v>
      </c>
      <c r="G895" s="2">
        <v>11</v>
      </c>
      <c r="H895" s="2">
        <v>200</v>
      </c>
      <c r="I895" s="2">
        <v>11324</v>
      </c>
      <c r="J895" s="2" t="s">
        <v>2183</v>
      </c>
      <c r="K895" s="2">
        <v>3</v>
      </c>
      <c r="L895" s="2" t="s">
        <v>2184</v>
      </c>
      <c r="Q895" s="4" t="str">
        <f ca="1">IFERROR(__xludf.DUMMYFUNCTION("TRIM(SUBSTITUTE(SUBSTITUTE(D895, index(SPLIT(D895, "" ""), COLUMNS(SPLIT(D895, "" ""))), """"), index(SPLIT(D895, "" ""), COLUMNS(SPLIT(D895, "" ""))-1), """"))"),"Заводська")</f>
        <v>Заводська</v>
      </c>
    </row>
    <row r="896" spans="1:17" ht="50.5">
      <c r="A896" s="2"/>
      <c r="B896" s="2" t="s">
        <v>2124</v>
      </c>
      <c r="C896" s="2" t="s">
        <v>2169</v>
      </c>
      <c r="D896" s="2" t="s">
        <v>2185</v>
      </c>
      <c r="E896" s="2"/>
      <c r="F896" s="2" t="s">
        <v>32</v>
      </c>
      <c r="G896" s="2">
        <v>38</v>
      </c>
      <c r="H896" s="2">
        <v>522.4</v>
      </c>
      <c r="I896" s="2">
        <v>8333</v>
      </c>
      <c r="J896" s="2" t="s">
        <v>2186</v>
      </c>
      <c r="K896" s="2">
        <v>7</v>
      </c>
      <c r="L896" s="2" t="s">
        <v>2187</v>
      </c>
      <c r="Q896" s="4" t="str">
        <f ca="1">IFERROR(__xludf.DUMMYFUNCTION("TRIM(SUBSTITUTE(SUBSTITUTE(D896, index(SPLIT(D896, "" ""), COLUMNS(SPLIT(D896, "" ""))), """"), index(SPLIT(D896, "" ""), COLUMNS(SPLIT(D896, "" ""))-1), """"))"),"Комишнянська")</f>
        <v>Комишнянська</v>
      </c>
    </row>
    <row r="897" spans="1:17" ht="50.5">
      <c r="A897" s="2"/>
      <c r="B897" s="2" t="s">
        <v>2124</v>
      </c>
      <c r="C897" s="2" t="s">
        <v>2169</v>
      </c>
      <c r="D897" s="2" t="s">
        <v>2188</v>
      </c>
      <c r="E897" s="2"/>
      <c r="F897" s="2" t="s">
        <v>28</v>
      </c>
      <c r="G897" s="2">
        <v>19</v>
      </c>
      <c r="H897" s="2">
        <v>244</v>
      </c>
      <c r="I897" s="2">
        <v>4067</v>
      </c>
      <c r="J897" s="2" t="s">
        <v>249</v>
      </c>
      <c r="K897" s="2">
        <v>6</v>
      </c>
      <c r="L897" s="2" t="s">
        <v>2189</v>
      </c>
      <c r="Q897" s="4" t="str">
        <f ca="1">IFERROR(__xludf.DUMMYFUNCTION("TRIM(SUBSTITUTE(SUBSTITUTE(D897, index(SPLIT(D897, "" ""), COLUMNS(SPLIT(D897, "" ""))), """"), index(SPLIT(D897, "" ""), COLUMNS(SPLIT(D897, "" ""))-1), """"))"),"Краснолуцька")</f>
        <v>Краснолуцька</v>
      </c>
    </row>
    <row r="898" spans="1:17" ht="63">
      <c r="A898" s="2"/>
      <c r="B898" s="2" t="s">
        <v>2124</v>
      </c>
      <c r="C898" s="2" t="s">
        <v>2169</v>
      </c>
      <c r="D898" s="2" t="s">
        <v>2190</v>
      </c>
      <c r="E898" s="2"/>
      <c r="F898" s="2" t="s">
        <v>20</v>
      </c>
      <c r="G898" s="2">
        <v>50</v>
      </c>
      <c r="H898" s="2">
        <v>819.5</v>
      </c>
      <c r="I898" s="2">
        <v>22187</v>
      </c>
      <c r="J898" s="2" t="s">
        <v>39</v>
      </c>
      <c r="K898" s="2">
        <v>14</v>
      </c>
      <c r="L898" s="2" t="s">
        <v>2191</v>
      </c>
      <c r="Q898" s="4" t="str">
        <f ca="1">IFERROR(__xludf.DUMMYFUNCTION("TRIM(SUBSTITUTE(SUBSTITUTE(D898, index(SPLIT(D898, "" ""), COLUMNS(SPLIT(D898, "" ""))), """"), index(SPLIT(D898, "" ""), COLUMNS(SPLIT(D898, "" ""))-1), """"))"),"Лохвицька")</f>
        <v>Лохвицька</v>
      </c>
    </row>
    <row r="899" spans="1:17" ht="38">
      <c r="A899" s="2"/>
      <c r="B899" s="2" t="s">
        <v>2124</v>
      </c>
      <c r="C899" s="2" t="s">
        <v>2169</v>
      </c>
      <c r="D899" s="2" t="s">
        <v>2192</v>
      </c>
      <c r="E899" s="2"/>
      <c r="F899" s="2" t="s">
        <v>28</v>
      </c>
      <c r="G899" s="2">
        <v>12</v>
      </c>
      <c r="H899" s="2">
        <v>374.3</v>
      </c>
      <c r="I899" s="2">
        <v>5152</v>
      </c>
      <c r="J899" s="2" t="s">
        <v>2193</v>
      </c>
      <c r="K899" s="2">
        <v>4</v>
      </c>
      <c r="L899" s="2" t="s">
        <v>2194</v>
      </c>
      <c r="Q899" s="4" t="str">
        <f ca="1">IFERROR(__xludf.DUMMYFUNCTION("TRIM(SUBSTITUTE(SUBSTITUTE(D899, index(SPLIT(D899, "" ""), COLUMNS(SPLIT(D899, "" ""))), """"), index(SPLIT(D899, "" ""), COLUMNS(SPLIT(D899, "" ""))-1), """"))"),"Лютенська")</f>
        <v>Лютенська</v>
      </c>
    </row>
    <row r="900" spans="1:17" ht="50.5">
      <c r="A900" s="2"/>
      <c r="B900" s="2" t="s">
        <v>2124</v>
      </c>
      <c r="C900" s="2" t="s">
        <v>2169</v>
      </c>
      <c r="D900" s="2" t="s">
        <v>2195</v>
      </c>
      <c r="E900" s="2"/>
      <c r="F900" s="2" t="s">
        <v>20</v>
      </c>
      <c r="G900" s="2">
        <v>37</v>
      </c>
      <c r="H900" s="2">
        <v>632.1</v>
      </c>
      <c r="I900" s="2">
        <v>49595</v>
      </c>
      <c r="J900" s="2" t="s">
        <v>2196</v>
      </c>
      <c r="K900" s="2">
        <v>12</v>
      </c>
      <c r="L900" s="2" t="s">
        <v>2197</v>
      </c>
      <c r="Q900" s="4" t="str">
        <f ca="1">IFERROR(__xludf.DUMMYFUNCTION("TRIM(SUBSTITUTE(SUBSTITUTE(D900, index(SPLIT(D900, "" ""), COLUMNS(SPLIT(D900, "" ""))), """"), index(SPLIT(D900, "" ""), COLUMNS(SPLIT(D900, "" ""))-1), """"))"),"Миргородська")</f>
        <v>Миргородська</v>
      </c>
    </row>
    <row r="901" spans="1:17" ht="50.5">
      <c r="A901" s="2"/>
      <c r="B901" s="2" t="s">
        <v>2124</v>
      </c>
      <c r="C901" s="2" t="s">
        <v>2169</v>
      </c>
      <c r="D901" s="2" t="s">
        <v>2198</v>
      </c>
      <c r="E901" s="2"/>
      <c r="F901" s="2" t="s">
        <v>28</v>
      </c>
      <c r="G901" s="2">
        <v>10</v>
      </c>
      <c r="H901" s="2">
        <v>209.7</v>
      </c>
      <c r="I901" s="2">
        <v>4204</v>
      </c>
      <c r="J901" s="2" t="s">
        <v>178</v>
      </c>
      <c r="K901" s="2">
        <v>4</v>
      </c>
      <c r="L901" s="2" t="s">
        <v>2199</v>
      </c>
      <c r="Q901" s="4" t="str">
        <f ca="1">IFERROR(__xludf.DUMMYFUNCTION("TRIM(SUBSTITUTE(SUBSTITUTE(D901, index(SPLIT(D901, "" ""), COLUMNS(SPLIT(D901, "" ""))), """"), index(SPLIT(D901, "" ""), COLUMNS(SPLIT(D901, "" ""))-1), """"))"),"Петрівсько-Роменська")</f>
        <v>Петрівсько-Роменська</v>
      </c>
    </row>
    <row r="902" spans="1:17" ht="50.5">
      <c r="A902" s="2"/>
      <c r="B902" s="2" t="s">
        <v>2124</v>
      </c>
      <c r="C902" s="2" t="s">
        <v>2169</v>
      </c>
      <c r="D902" s="2" t="s">
        <v>2200</v>
      </c>
      <c r="E902" s="2"/>
      <c r="F902" s="2" t="s">
        <v>32</v>
      </c>
      <c r="G902" s="2">
        <v>7</v>
      </c>
      <c r="H902" s="2">
        <v>88.6</v>
      </c>
      <c r="I902" s="2">
        <v>4904</v>
      </c>
      <c r="J902" s="2" t="s">
        <v>163</v>
      </c>
      <c r="K902" s="2">
        <v>2</v>
      </c>
      <c r="L902" s="2" t="s">
        <v>2201</v>
      </c>
      <c r="Q902" s="4" t="str">
        <f ca="1">IFERROR(__xludf.DUMMYFUNCTION("TRIM(SUBSTITUTE(SUBSTITUTE(D902, index(SPLIT(D902, "" ""), COLUMNS(SPLIT(D902, "" ""))), """"), index(SPLIT(D902, "" ""), COLUMNS(SPLIT(D902, "" ""))-1), """"))"),"Ромоданівська")</f>
        <v>Ромоданівська</v>
      </c>
    </row>
    <row r="903" spans="1:17" ht="38">
      <c r="A903" s="2"/>
      <c r="B903" s="2" t="s">
        <v>2124</v>
      </c>
      <c r="C903" s="2" t="s">
        <v>2169</v>
      </c>
      <c r="D903" s="2" t="s">
        <v>2202</v>
      </c>
      <c r="E903" s="2"/>
      <c r="F903" s="2" t="s">
        <v>28</v>
      </c>
      <c r="G903" s="2">
        <v>23</v>
      </c>
      <c r="H903" s="2">
        <v>354.8</v>
      </c>
      <c r="I903" s="2">
        <v>7696</v>
      </c>
      <c r="J903" s="2" t="s">
        <v>39</v>
      </c>
      <c r="K903" s="2">
        <v>6</v>
      </c>
      <c r="L903" s="2" t="s">
        <v>2203</v>
      </c>
      <c r="Q903" s="4" t="str">
        <f ca="1">IFERROR(__xludf.DUMMYFUNCTION("TRIM(SUBSTITUTE(SUBSTITUTE(D903, index(SPLIT(D903, "" ""), COLUMNS(SPLIT(D903, "" ""))), """"), index(SPLIT(D903, "" ""), COLUMNS(SPLIT(D903, "" ""))-1), """"))"),"Сенчанська")</f>
        <v>Сенчанська</v>
      </c>
    </row>
    <row r="904" spans="1:17" ht="38">
      <c r="A904" s="2"/>
      <c r="B904" s="2" t="s">
        <v>2124</v>
      </c>
      <c r="C904" s="2" t="s">
        <v>2169</v>
      </c>
      <c r="D904" s="2" t="s">
        <v>2005</v>
      </c>
      <c r="E904" s="2"/>
      <c r="F904" s="2" t="s">
        <v>28</v>
      </c>
      <c r="G904" s="2">
        <v>13</v>
      </c>
      <c r="H904" s="2">
        <v>168.1</v>
      </c>
      <c r="I904" s="2">
        <v>2720</v>
      </c>
      <c r="J904" s="2" t="s">
        <v>72</v>
      </c>
      <c r="K904" s="2">
        <v>3</v>
      </c>
      <c r="L904" s="2" t="s">
        <v>2204</v>
      </c>
      <c r="Q904" s="4" t="str">
        <f ca="1">IFERROR(__xludf.DUMMYFUNCTION("TRIM(SUBSTITUTE(SUBSTITUTE(D904, index(SPLIT(D904, "" ""), COLUMNS(SPLIT(D904, "" ""))), """"), index(SPLIT(D904, "" ""), COLUMNS(SPLIT(D904, "" ""))-1), """"))"),"Сергіївська")</f>
        <v>Сергіївська</v>
      </c>
    </row>
    <row r="905" spans="1:17" ht="63">
      <c r="A905" s="2"/>
      <c r="B905" s="2" t="s">
        <v>2124</v>
      </c>
      <c r="C905" s="2" t="s">
        <v>2169</v>
      </c>
      <c r="D905" s="2" t="s">
        <v>2205</v>
      </c>
      <c r="E905" s="2"/>
      <c r="F905" s="2" t="s">
        <v>32</v>
      </c>
      <c r="G905" s="2">
        <v>75</v>
      </c>
      <c r="H905" s="2">
        <v>754.7</v>
      </c>
      <c r="I905" s="2">
        <v>18468</v>
      </c>
      <c r="J905" s="2" t="s">
        <v>143</v>
      </c>
      <c r="K905" s="2">
        <v>14</v>
      </c>
      <c r="L905" s="2" t="s">
        <v>2206</v>
      </c>
      <c r="Q905" s="4" t="str">
        <f ca="1">IFERROR(__xludf.DUMMYFUNCTION("TRIM(SUBSTITUTE(SUBSTITUTE(D905, index(SPLIT(D905, "" ""), COLUMNS(SPLIT(D905, "" ""))), """"), index(SPLIT(D905, "" ""), COLUMNS(SPLIT(D905, "" ""))-1), """"))"),"Шишацька")</f>
        <v>Шишацька</v>
      </c>
    </row>
    <row r="906" spans="1:17" ht="38">
      <c r="A906" s="2"/>
      <c r="B906" s="2" t="s">
        <v>2124</v>
      </c>
      <c r="C906" s="2" t="s">
        <v>2207</v>
      </c>
      <c r="D906" s="2" t="s">
        <v>2208</v>
      </c>
      <c r="E906" s="2"/>
      <c r="F906" s="2" t="s">
        <v>32</v>
      </c>
      <c r="G906" s="2">
        <v>27</v>
      </c>
      <c r="H906" s="2">
        <v>391.2</v>
      </c>
      <c r="I906" s="2">
        <v>11492</v>
      </c>
      <c r="J906" s="2" t="s">
        <v>2209</v>
      </c>
      <c r="K906" s="2">
        <v>7</v>
      </c>
      <c r="L906" s="2" t="s">
        <v>2210</v>
      </c>
      <c r="Q906" s="4" t="str">
        <f ca="1">IFERROR(__xludf.DUMMYFUNCTION("TRIM(SUBSTITUTE(SUBSTITUTE(D906, index(SPLIT(D906, "" ""), COLUMNS(SPLIT(D906, "" ""))), """"), index(SPLIT(D906, "" ""), COLUMNS(SPLIT(D906, "" ""))-1), """"))"),"Білицька")</f>
        <v>Білицька</v>
      </c>
    </row>
    <row r="907" spans="1:17" ht="50.5">
      <c r="A907" s="2"/>
      <c r="B907" s="2" t="s">
        <v>2124</v>
      </c>
      <c r="C907" s="2" t="s">
        <v>2207</v>
      </c>
      <c r="D907" s="2" t="s">
        <v>2211</v>
      </c>
      <c r="E907" s="2"/>
      <c r="F907" s="2" t="s">
        <v>28</v>
      </c>
      <c r="G907" s="2">
        <v>29</v>
      </c>
      <c r="H907" s="2">
        <v>393.3</v>
      </c>
      <c r="I907" s="2">
        <v>4438</v>
      </c>
      <c r="J907" s="2" t="s">
        <v>2212</v>
      </c>
      <c r="K907" s="2">
        <v>6</v>
      </c>
      <c r="L907" s="2" t="s">
        <v>2213</v>
      </c>
      <c r="Q907" s="4" t="str">
        <f ca="1">IFERROR(__xludf.DUMMYFUNCTION("TRIM(SUBSTITUTE(SUBSTITUTE(D907, index(SPLIT(D907, "" ""), COLUMNS(SPLIT(D907, "" ""))), """"), index(SPLIT(D907, "" ""), COLUMNS(SPLIT(D907, "" ""))-1), """"))"),"Великорублівська")</f>
        <v>Великорублівська</v>
      </c>
    </row>
    <row r="908" spans="1:17" ht="63">
      <c r="A908" s="2"/>
      <c r="B908" s="2" t="s">
        <v>2124</v>
      </c>
      <c r="C908" s="2" t="s">
        <v>2207</v>
      </c>
      <c r="D908" s="2" t="s">
        <v>2214</v>
      </c>
      <c r="E908" s="2"/>
      <c r="F908" s="2" t="s">
        <v>32</v>
      </c>
      <c r="G908" s="2">
        <v>58</v>
      </c>
      <c r="H908" s="2">
        <v>682.2</v>
      </c>
      <c r="I908" s="2">
        <v>17937</v>
      </c>
      <c r="J908" s="2" t="s">
        <v>2215</v>
      </c>
      <c r="K908" s="2">
        <v>13</v>
      </c>
      <c r="L908" s="2" t="s">
        <v>2216</v>
      </c>
      <c r="Q908" s="4" t="str">
        <f ca="1">IFERROR(__xludf.DUMMYFUNCTION("TRIM(SUBSTITUTE(SUBSTITUTE(D908, index(SPLIT(D908, "" ""), COLUMNS(SPLIT(D908, "" ""))), """"), index(SPLIT(D908, "" ""), COLUMNS(SPLIT(D908, "" ""))-1), """"))"),"Диканьська")</f>
        <v>Диканьська</v>
      </c>
    </row>
    <row r="909" spans="1:17" ht="38">
      <c r="A909" s="2"/>
      <c r="B909" s="2" t="s">
        <v>2124</v>
      </c>
      <c r="C909" s="2" t="s">
        <v>2207</v>
      </c>
      <c r="D909" s="2" t="s">
        <v>2217</v>
      </c>
      <c r="E909" s="2"/>
      <c r="F909" s="2" t="s">
        <v>28</v>
      </c>
      <c r="G909" s="2">
        <v>16</v>
      </c>
      <c r="H909" s="2">
        <v>246.1</v>
      </c>
      <c r="I909" s="2">
        <v>4126</v>
      </c>
      <c r="J909" s="2" t="s">
        <v>39</v>
      </c>
      <c r="K909" s="2">
        <v>6</v>
      </c>
      <c r="L909" s="2" t="s">
        <v>2218</v>
      </c>
      <c r="Q909" s="4" t="str">
        <f ca="1">IFERROR(__xludf.DUMMYFUNCTION("TRIM(SUBSTITUTE(SUBSTITUTE(D909, index(SPLIT(D909, "" ""), COLUMNS(SPLIT(D909, "" ""))), """"), index(SPLIT(D909, "" ""), COLUMNS(SPLIT(D909, "" ""))-1), """"))"),"Драбинівська")</f>
        <v>Драбинівська</v>
      </c>
    </row>
    <row r="910" spans="1:17" ht="88">
      <c r="A910" s="2"/>
      <c r="B910" s="2" t="s">
        <v>2124</v>
      </c>
      <c r="C910" s="2" t="s">
        <v>2207</v>
      </c>
      <c r="D910" s="2" t="s">
        <v>2219</v>
      </c>
      <c r="E910" s="2"/>
      <c r="F910" s="2" t="s">
        <v>20</v>
      </c>
      <c r="G910" s="2">
        <v>84</v>
      </c>
      <c r="H910" s="2">
        <v>1051.8</v>
      </c>
      <c r="I910" s="2">
        <v>24000</v>
      </c>
      <c r="J910" s="2" t="s">
        <v>163</v>
      </c>
      <c r="K910" s="2">
        <v>19</v>
      </c>
      <c r="L910" s="2" t="s">
        <v>2220</v>
      </c>
      <c r="Q910" s="4" t="str">
        <f ca="1">IFERROR(__xludf.DUMMYFUNCTION("TRIM(SUBSTITUTE(SUBSTITUTE(D910, index(SPLIT(D910, "" ""), COLUMNS(SPLIT(D910, "" ""))), """"), index(SPLIT(D910, "" ""), COLUMNS(SPLIT(D910, "" ""))-1), """"))"),"Зіньківська")</f>
        <v>Зіньківська</v>
      </c>
    </row>
    <row r="911" spans="1:17" ht="38">
      <c r="A911" s="2"/>
      <c r="B911" s="2" t="s">
        <v>2124</v>
      </c>
      <c r="C911" s="2" t="s">
        <v>2207</v>
      </c>
      <c r="D911" s="2" t="s">
        <v>2221</v>
      </c>
      <c r="E911" s="2"/>
      <c r="F911" s="2" t="s">
        <v>20</v>
      </c>
      <c r="G911" s="2">
        <v>17</v>
      </c>
      <c r="H911" s="2">
        <v>331.2</v>
      </c>
      <c r="I911" s="2">
        <v>20492</v>
      </c>
      <c r="J911" s="2" t="s">
        <v>2222</v>
      </c>
      <c r="K911" s="2">
        <v>5</v>
      </c>
      <c r="L911" s="2" t="s">
        <v>2223</v>
      </c>
      <c r="Q911" s="4" t="str">
        <f ca="1">IFERROR(__xludf.DUMMYFUNCTION("TRIM(SUBSTITUTE(SUBSTITUTE(D911, index(SPLIT(D911, "" ""), COLUMNS(SPLIT(D911, "" ""))), """"), index(SPLIT(D911, "" ""), COLUMNS(SPLIT(D911, "" ""))-1), """"))"),"Карлівська")</f>
        <v>Карлівська</v>
      </c>
    </row>
    <row r="912" spans="1:17" ht="88">
      <c r="A912" s="2"/>
      <c r="B912" s="2" t="s">
        <v>2124</v>
      </c>
      <c r="C912" s="2" t="s">
        <v>2207</v>
      </c>
      <c r="D912" s="2" t="s">
        <v>2224</v>
      </c>
      <c r="E912" s="2"/>
      <c r="F912" s="2" t="s">
        <v>20</v>
      </c>
      <c r="G912" s="2">
        <v>63</v>
      </c>
      <c r="H912" s="2">
        <v>1218.9000000000001</v>
      </c>
      <c r="I912" s="2">
        <v>25978</v>
      </c>
      <c r="J912" s="2" t="s">
        <v>2225</v>
      </c>
      <c r="K912" s="2">
        <v>19</v>
      </c>
      <c r="L912" s="2" t="s">
        <v>2226</v>
      </c>
      <c r="Q912" s="4" t="str">
        <f ca="1">IFERROR(__xludf.DUMMYFUNCTION("TRIM(SUBSTITUTE(SUBSTITUTE(D912, index(SPLIT(D912, "" ""), COLUMNS(SPLIT(D912, "" ""))), """"), index(SPLIT(D912, "" ""), COLUMNS(SPLIT(D912, "" ""))-1), """"))"),"Кобеляцька")</f>
        <v>Кобеляцька</v>
      </c>
    </row>
    <row r="913" spans="1:17" ht="38">
      <c r="A913" s="2"/>
      <c r="B913" s="2" t="s">
        <v>2124</v>
      </c>
      <c r="C913" s="2" t="s">
        <v>2207</v>
      </c>
      <c r="D913" s="2" t="s">
        <v>2227</v>
      </c>
      <c r="E913" s="2"/>
      <c r="F913" s="2" t="s">
        <v>28</v>
      </c>
      <c r="G913" s="2">
        <v>11</v>
      </c>
      <c r="H913" s="2">
        <v>191.7</v>
      </c>
      <c r="I913" s="2">
        <v>4957</v>
      </c>
      <c r="J913" s="2" t="s">
        <v>93</v>
      </c>
      <c r="K913" s="2">
        <v>4</v>
      </c>
      <c r="L913" s="2" t="s">
        <v>2228</v>
      </c>
      <c r="Q913" s="4" t="str">
        <f ca="1">IFERROR(__xludf.DUMMYFUNCTION("TRIM(SUBSTITUTE(SUBSTITUTE(D913, index(SPLIT(D913, "" ""), COLUMNS(SPLIT(D913, "" ""))), """"), index(SPLIT(D913, "" ""), COLUMNS(SPLIT(D913, "" ""))-1), """"))"),"Коломацька")</f>
        <v>Коломацька</v>
      </c>
    </row>
    <row r="914" spans="1:17" ht="38">
      <c r="A914" s="2"/>
      <c r="B914" s="2" t="s">
        <v>2124</v>
      </c>
      <c r="C914" s="2" t="s">
        <v>2207</v>
      </c>
      <c r="D914" s="2" t="s">
        <v>2229</v>
      </c>
      <c r="E914" s="2"/>
      <c r="F914" s="2" t="s">
        <v>32</v>
      </c>
      <c r="G914" s="2">
        <v>10</v>
      </c>
      <c r="H914" s="2">
        <v>403.4</v>
      </c>
      <c r="I914" s="2">
        <v>14304</v>
      </c>
      <c r="J914" s="2" t="s">
        <v>2230</v>
      </c>
      <c r="K914" s="2">
        <v>4</v>
      </c>
      <c r="L914" s="2" t="s">
        <v>2231</v>
      </c>
      <c r="Q914" s="4" t="str">
        <f ca="1">IFERROR(__xludf.DUMMYFUNCTION("TRIM(SUBSTITUTE(SUBSTITUTE(D914, index(SPLIT(D914, "" ""), COLUMNS(SPLIT(D914, "" ""))), """"), index(SPLIT(D914, "" ""), COLUMNS(SPLIT(D914, "" ""))-1), """"))"),"Котелевська")</f>
        <v>Котелевська</v>
      </c>
    </row>
    <row r="915" spans="1:17" ht="38">
      <c r="A915" s="2"/>
      <c r="B915" s="2" t="s">
        <v>2124</v>
      </c>
      <c r="C915" s="2" t="s">
        <v>2207</v>
      </c>
      <c r="D915" s="2" t="s">
        <v>2232</v>
      </c>
      <c r="E915" s="2"/>
      <c r="F915" s="2" t="s">
        <v>28</v>
      </c>
      <c r="G915" s="2">
        <v>11</v>
      </c>
      <c r="H915" s="2">
        <v>269.8</v>
      </c>
      <c r="I915" s="2">
        <v>7137</v>
      </c>
      <c r="J915" s="2" t="s">
        <v>39</v>
      </c>
      <c r="K915" s="2">
        <v>5</v>
      </c>
      <c r="L915" s="2" t="s">
        <v>2233</v>
      </c>
      <c r="Q915" s="4" t="str">
        <f ca="1">IFERROR(__xludf.DUMMYFUNCTION("TRIM(SUBSTITUTE(SUBSTITUTE(D915, index(SPLIT(D915, "" ""), COLUMNS(SPLIT(D915, "" ""))), """"), index(SPLIT(D915, "" ""), COLUMNS(SPLIT(D915, "" ""))-1), """"))"),"Ланнівська")</f>
        <v>Ланнівська</v>
      </c>
    </row>
    <row r="916" spans="1:17" ht="38">
      <c r="A916" s="2"/>
      <c r="B916" s="2" t="s">
        <v>2124</v>
      </c>
      <c r="C916" s="2" t="s">
        <v>2207</v>
      </c>
      <c r="D916" s="2" t="s">
        <v>2234</v>
      </c>
      <c r="E916" s="2"/>
      <c r="F916" s="2" t="s">
        <v>28</v>
      </c>
      <c r="G916" s="2">
        <v>9</v>
      </c>
      <c r="H916" s="2">
        <v>253.4</v>
      </c>
      <c r="I916" s="2">
        <v>4610</v>
      </c>
      <c r="J916" s="2" t="s">
        <v>2235</v>
      </c>
      <c r="K916" s="2">
        <v>3</v>
      </c>
      <c r="L916" s="2" t="s">
        <v>2236</v>
      </c>
      <c r="Q916" s="4" t="str">
        <f ca="1">IFERROR(__xludf.DUMMYFUNCTION("TRIM(SUBSTITUTE(SUBSTITUTE(D916, index(SPLIT(D916, "" ""), COLUMNS(SPLIT(D916, "" ""))), """"), index(SPLIT(D916, "" ""), COLUMNS(SPLIT(D916, "" ""))-1), """"))"),"Мартинівська")</f>
        <v>Мартинівська</v>
      </c>
    </row>
    <row r="917" spans="1:17" ht="38">
      <c r="A917" s="2"/>
      <c r="B917" s="2" t="s">
        <v>2124</v>
      </c>
      <c r="C917" s="2" t="s">
        <v>2207</v>
      </c>
      <c r="D917" s="2" t="s">
        <v>2237</v>
      </c>
      <c r="E917" s="2"/>
      <c r="F917" s="2" t="s">
        <v>28</v>
      </c>
      <c r="G917" s="2">
        <v>27</v>
      </c>
      <c r="H917" s="2">
        <v>247.4</v>
      </c>
      <c r="I917" s="2">
        <v>7967</v>
      </c>
      <c r="J917" s="2" t="s">
        <v>178</v>
      </c>
      <c r="K917" s="2">
        <v>5</v>
      </c>
      <c r="L917" s="2" t="s">
        <v>2238</v>
      </c>
      <c r="Q917" s="4" t="str">
        <f ca="1">IFERROR(__xludf.DUMMYFUNCTION("TRIM(SUBSTITUTE(SUBSTITUTE(D917, index(SPLIT(D917, "" ""), COLUMNS(SPLIT(D917, "" ""))), """"), index(SPLIT(D917, "" ""), COLUMNS(SPLIT(D917, "" ""))-1), """"))"),"Мачухівська")</f>
        <v>Мачухівська</v>
      </c>
    </row>
    <row r="918" spans="1:17" ht="38">
      <c r="A918" s="2"/>
      <c r="B918" s="2" t="s">
        <v>2124</v>
      </c>
      <c r="C918" s="2" t="s">
        <v>2207</v>
      </c>
      <c r="D918" s="2" t="s">
        <v>2239</v>
      </c>
      <c r="E918" s="2"/>
      <c r="F918" s="2" t="s">
        <v>32</v>
      </c>
      <c r="G918" s="2">
        <v>21</v>
      </c>
      <c r="H918" s="2">
        <v>391</v>
      </c>
      <c r="I918" s="2">
        <v>11911</v>
      </c>
      <c r="J918" s="2" t="s">
        <v>178</v>
      </c>
      <c r="K918" s="2">
        <v>8</v>
      </c>
      <c r="L918" s="2" t="s">
        <v>2240</v>
      </c>
      <c r="Q918" s="4" t="str">
        <f ca="1">IFERROR(__xludf.DUMMYFUNCTION("TRIM(SUBSTITUTE(SUBSTITUTE(D918, index(SPLIT(D918, "" ""), COLUMNS(SPLIT(D918, "" ""))), """"), index(SPLIT(D918, "" ""), COLUMNS(SPLIT(D918, "" ""))-1), """"))"),"Машівська")</f>
        <v>Машівська</v>
      </c>
    </row>
    <row r="919" spans="1:17" ht="38">
      <c r="A919" s="2"/>
      <c r="B919" s="2" t="s">
        <v>2124</v>
      </c>
      <c r="C919" s="2" t="s">
        <v>2207</v>
      </c>
      <c r="D919" s="2" t="s">
        <v>956</v>
      </c>
      <c r="E919" s="2"/>
      <c r="F919" s="2" t="s">
        <v>28</v>
      </c>
      <c r="G919" s="2">
        <v>14</v>
      </c>
      <c r="H919" s="2">
        <v>445.6</v>
      </c>
      <c r="I919" s="2">
        <v>5827</v>
      </c>
      <c r="J919" s="2" t="s">
        <v>39</v>
      </c>
      <c r="K919" s="2">
        <v>7</v>
      </c>
      <c r="L919" s="2" t="s">
        <v>2241</v>
      </c>
      <c r="Q919" s="4" t="str">
        <f ca="1">IFERROR(__xludf.DUMMYFUNCTION("TRIM(SUBSTITUTE(SUBSTITUTE(D919, index(SPLIT(D919, "" ""), COLUMNS(SPLIT(D919, "" ""))), """"), index(SPLIT(D919, "" ""), COLUMNS(SPLIT(D919, "" ""))-1), """"))"),"Михайлівська")</f>
        <v>Михайлівська</v>
      </c>
    </row>
    <row r="920" spans="1:17" ht="50.5">
      <c r="A920" s="2"/>
      <c r="B920" s="2" t="s">
        <v>2124</v>
      </c>
      <c r="C920" s="2" t="s">
        <v>2207</v>
      </c>
      <c r="D920" s="2" t="s">
        <v>2242</v>
      </c>
      <c r="E920" s="2"/>
      <c r="F920" s="2" t="s">
        <v>28</v>
      </c>
      <c r="G920" s="2">
        <v>10</v>
      </c>
      <c r="H920" s="2">
        <v>288.5</v>
      </c>
      <c r="I920" s="2">
        <v>4996</v>
      </c>
      <c r="J920" s="2" t="s">
        <v>39</v>
      </c>
      <c r="K920" s="2">
        <v>5</v>
      </c>
      <c r="L920" s="2" t="s">
        <v>2243</v>
      </c>
      <c r="Q920" s="4" t="str">
        <f ca="1">IFERROR(__xludf.DUMMYFUNCTION("TRIM(SUBSTITUTE(SUBSTITUTE(D920, index(SPLIT(D920, "" ""), COLUMNS(SPLIT(D920, "" ""))), """"), index(SPLIT(D920, "" ""), COLUMNS(SPLIT(D920, "" ""))-1), """"))"),"Нехворощанська")</f>
        <v>Нехворощанська</v>
      </c>
    </row>
    <row r="921" spans="1:17" ht="75.5">
      <c r="A921" s="2"/>
      <c r="B921" s="2" t="s">
        <v>2124</v>
      </c>
      <c r="C921" s="2" t="s">
        <v>2207</v>
      </c>
      <c r="D921" s="2" t="s">
        <v>2244</v>
      </c>
      <c r="E921" s="2"/>
      <c r="F921" s="2" t="s">
        <v>32</v>
      </c>
      <c r="G921" s="2">
        <v>47</v>
      </c>
      <c r="H921" s="2">
        <v>662</v>
      </c>
      <c r="I921" s="2">
        <v>22145</v>
      </c>
      <c r="J921" s="2" t="s">
        <v>39</v>
      </c>
      <c r="K921" s="2">
        <v>16</v>
      </c>
      <c r="L921" s="2" t="s">
        <v>2245</v>
      </c>
      <c r="Q921" s="4" t="str">
        <f ca="1">IFERROR(__xludf.DUMMYFUNCTION("TRIM(SUBSTITUTE(SUBSTITUTE(D921, index(SPLIT(D921, "" ""), COLUMNS(SPLIT(D921, "" ""))), """"), index(SPLIT(D921, "" ""), COLUMNS(SPLIT(D921, "" ""))-1), """"))"),"Новосанжарська")</f>
        <v>Новосанжарська</v>
      </c>
    </row>
    <row r="922" spans="1:17" ht="50.5">
      <c r="A922" s="2"/>
      <c r="B922" s="2" t="s">
        <v>2124</v>
      </c>
      <c r="C922" s="2" t="s">
        <v>2207</v>
      </c>
      <c r="D922" s="2" t="s">
        <v>2246</v>
      </c>
      <c r="E922" s="2"/>
      <c r="F922" s="2" t="s">
        <v>28</v>
      </c>
      <c r="G922" s="2">
        <v>34</v>
      </c>
      <c r="H922" s="2">
        <v>254.5</v>
      </c>
      <c r="I922" s="2">
        <v>6363</v>
      </c>
      <c r="J922" s="2" t="s">
        <v>46</v>
      </c>
      <c r="K922" s="2">
        <v>5</v>
      </c>
      <c r="L922" s="2" t="s">
        <v>2247</v>
      </c>
      <c r="Q922" s="4" t="str">
        <f ca="1">IFERROR(__xludf.DUMMYFUNCTION("TRIM(SUBSTITUTE(SUBSTITUTE(D922, index(SPLIT(D922, "" ""), COLUMNS(SPLIT(D922, "" ""))), """"), index(SPLIT(D922, "" ""), COLUMNS(SPLIT(D922, "" ""))-1), """"))"),"Новоселівська")</f>
        <v>Новоселівська</v>
      </c>
    </row>
    <row r="923" spans="1:17" ht="38">
      <c r="A923" s="2"/>
      <c r="B923" s="2" t="s">
        <v>2124</v>
      </c>
      <c r="C923" s="2" t="s">
        <v>2207</v>
      </c>
      <c r="D923" s="2" t="s">
        <v>2248</v>
      </c>
      <c r="E923" s="2"/>
      <c r="F923" s="2" t="s">
        <v>32</v>
      </c>
      <c r="G923" s="2">
        <v>31</v>
      </c>
      <c r="H923" s="2">
        <v>309.3</v>
      </c>
      <c r="I923" s="2">
        <v>8247</v>
      </c>
      <c r="J923" s="2" t="s">
        <v>249</v>
      </c>
      <c r="K923" s="2">
        <v>5</v>
      </c>
      <c r="L923" s="2" t="s">
        <v>2249</v>
      </c>
      <c r="Q923" s="4" t="str">
        <f ca="1">IFERROR(__xludf.DUMMYFUNCTION("TRIM(SUBSTITUTE(SUBSTITUTE(D923, index(SPLIT(D923, "" ""), COLUMNS(SPLIT(D923, "" ""))), """"), index(SPLIT(D923, "" ""), COLUMNS(SPLIT(D923, "" ""))-1), """"))"),"Опішнянська")</f>
        <v>Опішнянська</v>
      </c>
    </row>
    <row r="924" spans="1:17" ht="63">
      <c r="A924" s="2"/>
      <c r="B924" s="2" t="s">
        <v>2124</v>
      </c>
      <c r="C924" s="2" t="s">
        <v>2207</v>
      </c>
      <c r="D924" s="2" t="s">
        <v>2250</v>
      </c>
      <c r="E924" s="2"/>
      <c r="F924" s="2" t="s">
        <v>20</v>
      </c>
      <c r="G924" s="2">
        <v>56</v>
      </c>
      <c r="H924" s="2">
        <v>550.29999999999995</v>
      </c>
      <c r="I924" s="2">
        <v>309647</v>
      </c>
      <c r="J924" s="2" t="s">
        <v>2251</v>
      </c>
      <c r="K924" s="2">
        <v>14</v>
      </c>
      <c r="L924" s="2" t="s">
        <v>2252</v>
      </c>
      <c r="Q924" s="4" t="str">
        <f ca="1">IFERROR(__xludf.DUMMYFUNCTION("TRIM(SUBSTITUTE(SUBSTITUTE(D924, index(SPLIT(D924, "" ""), COLUMNS(SPLIT(D924, "" ""))), """"), index(SPLIT(D924, "" ""), COLUMNS(SPLIT(D924, "" ""))-1), """"))"),"Полтавська")</f>
        <v>Полтавська</v>
      </c>
    </row>
    <row r="925" spans="1:17" ht="88">
      <c r="A925" s="2"/>
      <c r="B925" s="2" t="s">
        <v>2124</v>
      </c>
      <c r="C925" s="2" t="s">
        <v>2207</v>
      </c>
      <c r="D925" s="2" t="s">
        <v>2253</v>
      </c>
      <c r="E925" s="2"/>
      <c r="F925" s="2" t="s">
        <v>20</v>
      </c>
      <c r="G925" s="2">
        <v>85</v>
      </c>
      <c r="H925" s="2">
        <v>1106.3</v>
      </c>
      <c r="I925" s="2">
        <v>26080</v>
      </c>
      <c r="J925" s="2" t="s">
        <v>33</v>
      </c>
      <c r="K925" s="2">
        <v>19</v>
      </c>
      <c r="L925" s="2" t="s">
        <v>2254</v>
      </c>
      <c r="Q925" s="4" t="str">
        <f ca="1">IFERROR(__xludf.DUMMYFUNCTION("TRIM(SUBSTITUTE(SUBSTITUTE(D925, index(SPLIT(D925, "" ""), COLUMNS(SPLIT(D925, "" ""))), """"), index(SPLIT(D925, "" ""), COLUMNS(SPLIT(D925, "" ""))-1), """"))"),"Решетилівська")</f>
        <v>Решетилівська</v>
      </c>
    </row>
    <row r="926" spans="1:17" ht="50.5">
      <c r="A926" s="2"/>
      <c r="B926" s="2" t="s">
        <v>2124</v>
      </c>
      <c r="C926" s="2" t="s">
        <v>2207</v>
      </c>
      <c r="D926" s="2" t="s">
        <v>2255</v>
      </c>
      <c r="E926" s="2"/>
      <c r="F926" s="2" t="s">
        <v>32</v>
      </c>
      <c r="G926" s="2">
        <v>22</v>
      </c>
      <c r="H926" s="2">
        <v>326.2</v>
      </c>
      <c r="I926" s="2">
        <v>8808</v>
      </c>
      <c r="J926" s="2" t="s">
        <v>254</v>
      </c>
      <c r="K926" s="2">
        <v>7</v>
      </c>
      <c r="L926" s="2" t="s">
        <v>2256</v>
      </c>
      <c r="Q926" s="4" t="str">
        <f ca="1">IFERROR(__xludf.DUMMYFUNCTION("TRIM(SUBSTITUTE(SUBSTITUTE(D926, index(SPLIT(D926, "" ""), COLUMNS(SPLIT(D926, "" ""))), """"), index(SPLIT(D926, "" ""), COLUMNS(SPLIT(D926, "" ""))-1), """"))"),"Скороходівська")</f>
        <v>Скороходівська</v>
      </c>
    </row>
    <row r="927" spans="1:17" ht="50.5">
      <c r="A927" s="2"/>
      <c r="B927" s="2" t="s">
        <v>2124</v>
      </c>
      <c r="C927" s="2" t="s">
        <v>2207</v>
      </c>
      <c r="D927" s="2" t="s">
        <v>2257</v>
      </c>
      <c r="E927" s="2"/>
      <c r="F927" s="2" t="s">
        <v>28</v>
      </c>
      <c r="G927" s="2">
        <v>20</v>
      </c>
      <c r="H927" s="2">
        <v>208.4</v>
      </c>
      <c r="I927" s="2">
        <v>12126</v>
      </c>
      <c r="J927" s="2" t="s">
        <v>93</v>
      </c>
      <c r="K927" s="2">
        <v>4</v>
      </c>
      <c r="L927" s="2" t="s">
        <v>2258</v>
      </c>
      <c r="Q927" s="4" t="str">
        <f ca="1">IFERROR(__xludf.DUMMYFUNCTION("TRIM(SUBSTITUTE(SUBSTITUTE(D927, index(SPLIT(D927, "" ""), COLUMNS(SPLIT(D927, "" ""))), """"), index(SPLIT(D927, "" ""), COLUMNS(SPLIT(D927, "" ""))-1), """"))"),"Терешківська")</f>
        <v>Терешківська</v>
      </c>
    </row>
    <row r="928" spans="1:17" ht="38">
      <c r="A928" s="2"/>
      <c r="B928" s="2" t="s">
        <v>2124</v>
      </c>
      <c r="C928" s="2" t="s">
        <v>2207</v>
      </c>
      <c r="D928" s="2" t="s">
        <v>2259</v>
      </c>
      <c r="E928" s="2"/>
      <c r="F928" s="2" t="s">
        <v>32</v>
      </c>
      <c r="G928" s="2">
        <v>29</v>
      </c>
      <c r="H928" s="2">
        <v>536.4</v>
      </c>
      <c r="I928" s="2">
        <v>13122</v>
      </c>
      <c r="J928" s="2" t="s">
        <v>2260</v>
      </c>
      <c r="K928" s="2">
        <v>8</v>
      </c>
      <c r="L928" s="2" t="s">
        <v>2261</v>
      </c>
      <c r="Q928" s="4" t="str">
        <f ca="1">IFERROR(__xludf.DUMMYFUNCTION("TRIM(SUBSTITUTE(SUBSTITUTE(D928, index(SPLIT(D928, "" ""), COLUMNS(SPLIT(D928, "" ""))), """"), index(SPLIT(D928, "" ""), COLUMNS(SPLIT(D928, "" ""))-1), """"))"),"Чутівська")</f>
        <v>Чутівська</v>
      </c>
    </row>
    <row r="929" spans="1:17" ht="50.5">
      <c r="A929" s="2"/>
      <c r="B929" s="2" t="s">
        <v>2124</v>
      </c>
      <c r="C929" s="2" t="s">
        <v>2207</v>
      </c>
      <c r="D929" s="2" t="s">
        <v>2262</v>
      </c>
      <c r="E929" s="2"/>
      <c r="F929" s="2" t="s">
        <v>28</v>
      </c>
      <c r="G929" s="2">
        <v>15</v>
      </c>
      <c r="H929" s="2">
        <v>99.7</v>
      </c>
      <c r="I929" s="2">
        <v>13212</v>
      </c>
      <c r="J929" s="2" t="s">
        <v>178</v>
      </c>
      <c r="K929" s="2">
        <v>2</v>
      </c>
      <c r="L929" s="2" t="s">
        <v>2263</v>
      </c>
      <c r="Q929" s="4" t="str">
        <f ca="1">IFERROR(__xludf.DUMMYFUNCTION("TRIM(SUBSTITUTE(SUBSTITUTE(D929, index(SPLIT(D929, "" ""), COLUMNS(SPLIT(D929, "" ""))), """"), index(SPLIT(D929, "" ""), COLUMNS(SPLIT(D929, "" ""))-1), """"))"),"Щербанівська")</f>
        <v>Щербанівська</v>
      </c>
    </row>
    <row r="930" spans="1:17" ht="38">
      <c r="A930" s="2"/>
      <c r="B930" s="2" t="s">
        <v>2264</v>
      </c>
      <c r="C930" s="2" t="s">
        <v>2265</v>
      </c>
      <c r="D930" s="2" t="s">
        <v>2266</v>
      </c>
      <c r="E930" s="2"/>
      <c r="F930" s="2" t="s">
        <v>28</v>
      </c>
      <c r="G930" s="2">
        <v>4</v>
      </c>
      <c r="H930" s="2">
        <v>117</v>
      </c>
      <c r="I930" s="2">
        <v>5699</v>
      </c>
      <c r="J930" s="2" t="s">
        <v>163</v>
      </c>
      <c r="K930" s="2">
        <v>2</v>
      </c>
      <c r="L930" s="2" t="s">
        <v>2267</v>
      </c>
      <c r="Q930" s="4" t="str">
        <f ca="1">IFERROR(__xludf.DUMMYFUNCTION("TRIM(SUBSTITUTE(SUBSTITUTE(D930, index(SPLIT(D930, "" ""), COLUMNS(SPLIT(D930, "" ""))), """"), index(SPLIT(D930, "" ""), COLUMNS(SPLIT(D930, "" ""))-1), """"))"),"Антонівська")</f>
        <v>Антонівська</v>
      </c>
    </row>
    <row r="931" spans="1:17" ht="38">
      <c r="A931" s="2"/>
      <c r="B931" s="2" t="s">
        <v>2264</v>
      </c>
      <c r="C931" s="2" t="s">
        <v>2265</v>
      </c>
      <c r="D931" s="2" t="s">
        <v>2268</v>
      </c>
      <c r="E931" s="2"/>
      <c r="F931" s="2" t="s">
        <v>20</v>
      </c>
      <c r="G931" s="2">
        <v>18</v>
      </c>
      <c r="H931" s="2">
        <v>608.70000000000005</v>
      </c>
      <c r="I931" s="2">
        <v>52916</v>
      </c>
      <c r="J931" s="2" t="s">
        <v>2269</v>
      </c>
      <c r="K931" s="2">
        <v>8</v>
      </c>
      <c r="L931" s="2" t="s">
        <v>2270</v>
      </c>
      <c r="Q931" s="4" t="str">
        <f ca="1">IFERROR(__xludf.DUMMYFUNCTION("TRIM(SUBSTITUTE(SUBSTITUTE(D931, index(SPLIT(D931, "" ""), COLUMNS(SPLIT(D931, "" ""))), """"), index(SPLIT(D931, "" ""), COLUMNS(SPLIT(D931, "" ""))-1), """"))"),"Вараська")</f>
        <v>Вараська</v>
      </c>
    </row>
    <row r="932" spans="1:17" ht="63">
      <c r="A932" s="2"/>
      <c r="B932" s="2" t="s">
        <v>2264</v>
      </c>
      <c r="C932" s="2" t="s">
        <v>2265</v>
      </c>
      <c r="D932" s="2" t="s">
        <v>2271</v>
      </c>
      <c r="E932" s="2"/>
      <c r="F932" s="2" t="s">
        <v>32</v>
      </c>
      <c r="G932" s="2">
        <v>22</v>
      </c>
      <c r="H932" s="2">
        <v>702.2</v>
      </c>
      <c r="I932" s="2">
        <v>26380</v>
      </c>
      <c r="J932" s="2" t="s">
        <v>2272</v>
      </c>
      <c r="K932" s="2">
        <v>12</v>
      </c>
      <c r="L932" s="2" t="s">
        <v>2273</v>
      </c>
      <c r="Q932" s="4" t="str">
        <f ca="1">IFERROR(__xludf.DUMMYFUNCTION("TRIM(SUBSTITUTE(SUBSTITUTE(D932, index(SPLIT(D932, "" ""), COLUMNS(SPLIT(D932, "" ""))), """"), index(SPLIT(D932, "" ""), COLUMNS(SPLIT(D932, "" ""))-1), """"))"),"Володимирецька")</f>
        <v>Володимирецька</v>
      </c>
    </row>
    <row r="933" spans="1:17" ht="50.5">
      <c r="A933" s="2"/>
      <c r="B933" s="2" t="s">
        <v>2264</v>
      </c>
      <c r="C933" s="2" t="s">
        <v>2265</v>
      </c>
      <c r="D933" s="2" t="s">
        <v>2274</v>
      </c>
      <c r="E933" s="2"/>
      <c r="F933" s="2" t="s">
        <v>32</v>
      </c>
      <c r="G933" s="2">
        <v>31</v>
      </c>
      <c r="H933" s="2">
        <v>1086.8</v>
      </c>
      <c r="I933" s="2">
        <v>28604</v>
      </c>
      <c r="J933" s="2" t="s">
        <v>2275</v>
      </c>
      <c r="K933" s="2">
        <v>11</v>
      </c>
      <c r="L933" s="2" t="s">
        <v>2276</v>
      </c>
      <c r="Q933" s="4" t="str">
        <f ca="1">IFERROR(__xludf.DUMMYFUNCTION("TRIM(SUBSTITUTE(SUBSTITUTE(D933, index(SPLIT(D933, "" ""), COLUMNS(SPLIT(D933, "" ""))), """"), index(SPLIT(D933, "" ""), COLUMNS(SPLIT(D933, "" ""))-1), """"))"),"Зарічненська")</f>
        <v>Зарічненська</v>
      </c>
    </row>
    <row r="934" spans="1:17" ht="38">
      <c r="A934" s="2"/>
      <c r="B934" s="2" t="s">
        <v>2264</v>
      </c>
      <c r="C934" s="2" t="s">
        <v>2265</v>
      </c>
      <c r="D934" s="2" t="s">
        <v>2277</v>
      </c>
      <c r="E934" s="2"/>
      <c r="F934" s="2" t="s">
        <v>28</v>
      </c>
      <c r="G934" s="2">
        <v>5</v>
      </c>
      <c r="H934" s="2">
        <v>165.3</v>
      </c>
      <c r="I934" s="2">
        <v>6190</v>
      </c>
      <c r="J934" s="2" t="s">
        <v>163</v>
      </c>
      <c r="K934" s="2">
        <v>4</v>
      </c>
      <c r="L934" s="2" t="s">
        <v>2278</v>
      </c>
      <c r="Q934" s="4" t="str">
        <f ca="1">IFERROR(__xludf.DUMMYFUNCTION("TRIM(SUBSTITUTE(SUBSTITUTE(D934, index(SPLIT(D934, "" ""), COLUMNS(SPLIT(D934, "" ""))), """"), index(SPLIT(D934, "" ""), COLUMNS(SPLIT(D934, "" ""))-1), """"))"),"Каноницька")</f>
        <v>Каноницька</v>
      </c>
    </row>
    <row r="935" spans="1:17" ht="38">
      <c r="A935" s="2"/>
      <c r="B935" s="2" t="s">
        <v>2264</v>
      </c>
      <c r="C935" s="2" t="s">
        <v>2265</v>
      </c>
      <c r="D935" s="2" t="s">
        <v>2279</v>
      </c>
      <c r="E935" s="2"/>
      <c r="F935" s="2" t="s">
        <v>28</v>
      </c>
      <c r="G935" s="2">
        <v>20</v>
      </c>
      <c r="H935" s="2">
        <v>355.1</v>
      </c>
      <c r="I935" s="2">
        <v>5880</v>
      </c>
      <c r="J935" s="2" t="s">
        <v>21</v>
      </c>
      <c r="K935" s="2">
        <v>6</v>
      </c>
      <c r="L935" s="2" t="s">
        <v>2280</v>
      </c>
      <c r="Q935" s="4" t="str">
        <f ca="1">IFERROR(__xludf.DUMMYFUNCTION("TRIM(SUBSTITUTE(SUBSTITUTE(D935, index(SPLIT(D935, "" ""), COLUMNS(SPLIT(D935, "" ""))), """"), index(SPLIT(D935, "" ""), COLUMNS(SPLIT(D935, "" ""))-1), """"))"),"Локницька")</f>
        <v>Локницька</v>
      </c>
    </row>
    <row r="936" spans="1:17" ht="38">
      <c r="A936" s="2"/>
      <c r="B936" s="2" t="s">
        <v>2264</v>
      </c>
      <c r="C936" s="2" t="s">
        <v>2265</v>
      </c>
      <c r="D936" s="2" t="s">
        <v>2281</v>
      </c>
      <c r="E936" s="2"/>
      <c r="F936" s="2" t="s">
        <v>28</v>
      </c>
      <c r="G936" s="2">
        <v>8</v>
      </c>
      <c r="H936" s="2">
        <v>177</v>
      </c>
      <c r="I936" s="2">
        <v>5674</v>
      </c>
      <c r="J936" s="2" t="s">
        <v>163</v>
      </c>
      <c r="K936" s="2">
        <v>3</v>
      </c>
      <c r="L936" s="2" t="s">
        <v>2282</v>
      </c>
      <c r="Q936" s="4" t="str">
        <f ca="1">IFERROR(__xludf.DUMMYFUNCTION("TRIM(SUBSTITUTE(SUBSTITUTE(D936, index(SPLIT(D936, "" ""), COLUMNS(SPLIT(D936, "" ""))), """"), index(SPLIT(D936, "" ""), COLUMNS(SPLIT(D936, "" ""))-1), """"))"),"Полицька")</f>
        <v>Полицька</v>
      </c>
    </row>
    <row r="937" spans="1:17" ht="38">
      <c r="A937" s="2"/>
      <c r="B937" s="2" t="s">
        <v>2264</v>
      </c>
      <c r="C937" s="2" t="s">
        <v>2265</v>
      </c>
      <c r="D937" s="2" t="s">
        <v>2283</v>
      </c>
      <c r="E937" s="2"/>
      <c r="F937" s="2" t="s">
        <v>32</v>
      </c>
      <c r="G937" s="2">
        <v>8</v>
      </c>
      <c r="H937" s="2">
        <v>111.4</v>
      </c>
      <c r="I937" s="2">
        <v>7256</v>
      </c>
      <c r="J937" s="2" t="s">
        <v>163</v>
      </c>
      <c r="K937" s="2">
        <v>3</v>
      </c>
      <c r="L937" s="2" t="s">
        <v>2284</v>
      </c>
      <c r="Q937" s="4" t="str">
        <f ca="1">IFERROR(__xludf.DUMMYFUNCTION("TRIM(SUBSTITUTE(SUBSTITUTE(D937, index(SPLIT(D937, "" ""), COLUMNS(SPLIT(D937, "" ""))), """"), index(SPLIT(D937, "" ""), COLUMNS(SPLIT(D937, "" ""))-1), """"))"),"Рафалівська")</f>
        <v>Рафалівська</v>
      </c>
    </row>
    <row r="938" spans="1:17" ht="38">
      <c r="A938" s="2"/>
      <c r="B938" s="2" t="s">
        <v>2264</v>
      </c>
      <c r="C938" s="2" t="s">
        <v>2285</v>
      </c>
      <c r="D938" s="2" t="s">
        <v>2286</v>
      </c>
      <c r="E938" s="2"/>
      <c r="F938" s="2" t="s">
        <v>28</v>
      </c>
      <c r="G938" s="2">
        <v>14</v>
      </c>
      <c r="H938" s="2">
        <v>192</v>
      </c>
      <c r="I938" s="2">
        <v>5450</v>
      </c>
      <c r="J938" s="2" t="s">
        <v>63</v>
      </c>
      <c r="K938" s="2">
        <v>5</v>
      </c>
      <c r="L938" s="2" t="s">
        <v>2287</v>
      </c>
      <c r="Q938" s="4" t="str">
        <f ca="1">IFERROR(__xludf.DUMMYFUNCTION("TRIM(SUBSTITUTE(SUBSTITUTE(D938, index(SPLIT(D938, "" ""), COLUMNS(SPLIT(D938, "" ""))), """"), index(SPLIT(D938, "" ""), COLUMNS(SPLIT(D938, "" ""))-1), """"))"),"Бокіймівська")</f>
        <v>Бокіймівська</v>
      </c>
    </row>
    <row r="939" spans="1:17" ht="50.5">
      <c r="A939" s="2"/>
      <c r="B939" s="2" t="s">
        <v>2264</v>
      </c>
      <c r="C939" s="2" t="s">
        <v>2285</v>
      </c>
      <c r="D939" s="2" t="s">
        <v>2288</v>
      </c>
      <c r="E939" s="2"/>
      <c r="F939" s="2" t="s">
        <v>28</v>
      </c>
      <c r="G939" s="2">
        <v>11</v>
      </c>
      <c r="H939" s="2">
        <v>102.8</v>
      </c>
      <c r="I939" s="2">
        <v>3153</v>
      </c>
      <c r="J939" s="2" t="s">
        <v>72</v>
      </c>
      <c r="K939" s="2">
        <v>3</v>
      </c>
      <c r="L939" s="2" t="s">
        <v>2289</v>
      </c>
      <c r="Q939" s="4" t="str">
        <f ca="1">IFERROR(__xludf.DUMMYFUNCTION("TRIM(SUBSTITUTE(SUBSTITUTE(D939, index(SPLIT(D939, "" ""), COLUMNS(SPLIT(D939, "" ""))), """"), index(SPLIT(D939, "" ""), COLUMNS(SPLIT(D939, "" ""))-1), """"))"),"Боремельська")</f>
        <v>Боремельська</v>
      </c>
    </row>
    <row r="940" spans="1:17" ht="38">
      <c r="A940" s="2"/>
      <c r="B940" s="2" t="s">
        <v>2264</v>
      </c>
      <c r="C940" s="2" t="s">
        <v>2285</v>
      </c>
      <c r="D940" s="2" t="s">
        <v>2290</v>
      </c>
      <c r="E940" s="2"/>
      <c r="F940" s="2" t="s">
        <v>28</v>
      </c>
      <c r="G940" s="2">
        <v>12</v>
      </c>
      <c r="H940" s="2">
        <v>148.19999999999999</v>
      </c>
      <c r="I940" s="2">
        <v>5385</v>
      </c>
      <c r="J940" s="2" t="s">
        <v>2291</v>
      </c>
      <c r="K940" s="2">
        <v>3</v>
      </c>
      <c r="L940" s="2" t="s">
        <v>2292</v>
      </c>
      <c r="Q940" s="4" t="str">
        <f ca="1">IFERROR(__xludf.DUMMYFUNCTION("TRIM(SUBSTITUTE(SUBSTITUTE(D940, index(SPLIT(D940, "" ""), COLUMNS(SPLIT(D940, "" ""))), """"), index(SPLIT(D940, "" ""), COLUMNS(SPLIT(D940, "" ""))-1), """"))"),"Варковицька")</f>
        <v>Варковицька</v>
      </c>
    </row>
    <row r="941" spans="1:17" ht="38">
      <c r="A941" s="2"/>
      <c r="B941" s="2" t="s">
        <v>2264</v>
      </c>
      <c r="C941" s="2" t="s">
        <v>2285</v>
      </c>
      <c r="D941" s="2" t="s">
        <v>2293</v>
      </c>
      <c r="E941" s="2"/>
      <c r="F941" s="2" t="s">
        <v>28</v>
      </c>
      <c r="G941" s="2">
        <v>9</v>
      </c>
      <c r="H941" s="2">
        <v>112.6</v>
      </c>
      <c r="I941" s="2">
        <v>4534</v>
      </c>
      <c r="J941" s="2" t="s">
        <v>2294</v>
      </c>
      <c r="K941" s="2">
        <v>2</v>
      </c>
      <c r="L941" s="2" t="s">
        <v>2295</v>
      </c>
      <c r="Q941" s="4" t="str">
        <f ca="1">IFERROR(__xludf.DUMMYFUNCTION("TRIM(SUBSTITUTE(SUBSTITUTE(D941, index(SPLIT(D941, "" ""), COLUMNS(SPLIT(D941, "" ""))), """"), index(SPLIT(D941, "" ""), COLUMNS(SPLIT(D941, "" ""))-1), """"))"),"Вербська")</f>
        <v>Вербська</v>
      </c>
    </row>
    <row r="942" spans="1:17" ht="50.5">
      <c r="A942" s="2"/>
      <c r="B942" s="2" t="s">
        <v>2264</v>
      </c>
      <c r="C942" s="2" t="s">
        <v>2285</v>
      </c>
      <c r="D942" s="2" t="s">
        <v>2296</v>
      </c>
      <c r="E942" s="2"/>
      <c r="F942" s="2" t="s">
        <v>32</v>
      </c>
      <c r="G942" s="2">
        <v>23</v>
      </c>
      <c r="H942" s="2">
        <v>312.60000000000002</v>
      </c>
      <c r="I942" s="2">
        <v>11997</v>
      </c>
      <c r="J942" s="2" t="s">
        <v>39</v>
      </c>
      <c r="K942" s="2">
        <v>10</v>
      </c>
      <c r="L942" s="2" t="s">
        <v>2297</v>
      </c>
      <c r="Q942" s="4" t="str">
        <f ca="1">IFERROR(__xludf.DUMMYFUNCTION("TRIM(SUBSTITUTE(SUBSTITUTE(D942, index(SPLIT(D942, "" ""), COLUMNS(SPLIT(D942, "" ""))), """"), index(SPLIT(D942, "" ""), COLUMNS(SPLIT(D942, "" ""))-1), """"))"),"Демидівська")</f>
        <v>Демидівська</v>
      </c>
    </row>
    <row r="943" spans="1:17" ht="38">
      <c r="A943" s="2"/>
      <c r="B943" s="2" t="s">
        <v>2264</v>
      </c>
      <c r="C943" s="2" t="s">
        <v>2285</v>
      </c>
      <c r="D943" s="2" t="s">
        <v>2298</v>
      </c>
      <c r="E943" s="2"/>
      <c r="F943" s="2" t="s">
        <v>20</v>
      </c>
      <c r="G943" s="2">
        <v>1</v>
      </c>
      <c r="H943" s="2">
        <v>27.1</v>
      </c>
      <c r="I943" s="2">
        <v>37257</v>
      </c>
      <c r="J943" s="2" t="s">
        <v>2299</v>
      </c>
      <c r="K943" s="2">
        <v>1</v>
      </c>
      <c r="L943" s="2" t="s">
        <v>2300</v>
      </c>
      <c r="Q943" s="4" t="str">
        <f ca="1">IFERROR(__xludf.DUMMYFUNCTION("TRIM(SUBSTITUTE(SUBSTITUTE(D943, index(SPLIT(D943, "" ""), COLUMNS(SPLIT(D943, "" ""))), """"), index(SPLIT(D943, "" ""), COLUMNS(SPLIT(D943, "" ""))-1), """"))"),"Дубенська")</f>
        <v>Дубенська</v>
      </c>
    </row>
    <row r="944" spans="1:17" ht="38">
      <c r="A944" s="2"/>
      <c r="B944" s="2" t="s">
        <v>2264</v>
      </c>
      <c r="C944" s="2" t="s">
        <v>2285</v>
      </c>
      <c r="D944" s="2" t="s">
        <v>1371</v>
      </c>
      <c r="E944" s="2"/>
      <c r="F944" s="2" t="s">
        <v>28</v>
      </c>
      <c r="G944" s="2">
        <v>22</v>
      </c>
      <c r="H944" s="2">
        <v>181.1</v>
      </c>
      <c r="I944" s="2">
        <v>7255</v>
      </c>
      <c r="J944" s="2" t="s">
        <v>21</v>
      </c>
      <c r="K944" s="2">
        <v>6</v>
      </c>
      <c r="L944" s="2" t="s">
        <v>2301</v>
      </c>
      <c r="Q944" s="4" t="str">
        <f ca="1">IFERROR(__xludf.DUMMYFUNCTION("TRIM(SUBSTITUTE(SUBSTITUTE(D944, index(SPLIT(D944, "" ""), COLUMNS(SPLIT(D944, "" ""))), """"), index(SPLIT(D944, "" ""), COLUMNS(SPLIT(D944, "" ""))-1), """"))"),"Козинська")</f>
        <v>Козинська</v>
      </c>
    </row>
    <row r="945" spans="1:17" ht="38">
      <c r="A945" s="2"/>
      <c r="B945" s="2" t="s">
        <v>2264</v>
      </c>
      <c r="C945" s="2" t="s">
        <v>2285</v>
      </c>
      <c r="D945" s="2" t="s">
        <v>2302</v>
      </c>
      <c r="E945" s="2"/>
      <c r="F945" s="2" t="s">
        <v>28</v>
      </c>
      <c r="G945" s="2">
        <v>25</v>
      </c>
      <c r="H945" s="2">
        <v>297.89999999999998</v>
      </c>
      <c r="I945" s="2">
        <v>8967</v>
      </c>
      <c r="J945" s="2" t="s">
        <v>1304</v>
      </c>
      <c r="K945" s="2">
        <v>7</v>
      </c>
      <c r="L945" s="2" t="s">
        <v>2303</v>
      </c>
      <c r="Q945" s="4" t="str">
        <f ca="1">IFERROR(__xludf.DUMMYFUNCTION("TRIM(SUBSTITUTE(SUBSTITUTE(D945, index(SPLIT(D945, "" ""), COLUMNS(SPLIT(D945, "" ""))), """"), index(SPLIT(D945, "" ""), COLUMNS(SPLIT(D945, "" ""))-1), """"))"),"Крупецька")</f>
        <v>Крупецька</v>
      </c>
    </row>
    <row r="946" spans="1:17" ht="50.5">
      <c r="A946" s="2"/>
      <c r="B946" s="2" t="s">
        <v>2264</v>
      </c>
      <c r="C946" s="2" t="s">
        <v>2285</v>
      </c>
      <c r="D946" s="2" t="s">
        <v>2304</v>
      </c>
      <c r="E946" s="2"/>
      <c r="F946" s="2" t="s">
        <v>28</v>
      </c>
      <c r="G946" s="2">
        <v>14</v>
      </c>
      <c r="H946" s="2">
        <v>114.4</v>
      </c>
      <c r="I946" s="2">
        <v>6774</v>
      </c>
      <c r="J946" s="2" t="s">
        <v>2305</v>
      </c>
      <c r="K946" s="2">
        <v>2</v>
      </c>
      <c r="L946" s="2" t="s">
        <v>2306</v>
      </c>
      <c r="Q946" s="4" t="str">
        <f ca="1">IFERROR(__xludf.DUMMYFUNCTION("TRIM(SUBSTITUTE(SUBSTITUTE(D946, index(SPLIT(D946, "" ""), COLUMNS(SPLIT(D946, "" ""))), """"), index(SPLIT(D946, "" ""), COLUMNS(SPLIT(D946, "" ""))-1), """"))"),"Мирогощанська")</f>
        <v>Мирогощанська</v>
      </c>
    </row>
    <row r="947" spans="1:17" ht="63">
      <c r="A947" s="2"/>
      <c r="B947" s="2" t="s">
        <v>2264</v>
      </c>
      <c r="C947" s="2" t="s">
        <v>2285</v>
      </c>
      <c r="D947" s="2" t="s">
        <v>2307</v>
      </c>
      <c r="E947" s="2"/>
      <c r="F947" s="2" t="s">
        <v>32</v>
      </c>
      <c r="G947" s="2">
        <v>41</v>
      </c>
      <c r="H947" s="2">
        <v>401.2</v>
      </c>
      <c r="I947" s="2">
        <v>19714</v>
      </c>
      <c r="J947" s="2" t="s">
        <v>33</v>
      </c>
      <c r="K947" s="2">
        <v>14</v>
      </c>
      <c r="L947" s="2" t="s">
        <v>2308</v>
      </c>
      <c r="Q947" s="4" t="str">
        <f ca="1">IFERROR(__xludf.DUMMYFUNCTION("TRIM(SUBSTITUTE(SUBSTITUTE(D947, index(SPLIT(D947, "" ""), COLUMNS(SPLIT(D947, "" ""))), """"), index(SPLIT(D947, "" ""), COLUMNS(SPLIT(D947, "" ""))-1), """"))"),"Млинівська")</f>
        <v>Млинівська</v>
      </c>
    </row>
    <row r="948" spans="1:17" ht="38">
      <c r="A948" s="2"/>
      <c r="B948" s="2" t="s">
        <v>2264</v>
      </c>
      <c r="C948" s="2" t="s">
        <v>2285</v>
      </c>
      <c r="D948" s="2" t="s">
        <v>2309</v>
      </c>
      <c r="E948" s="2"/>
      <c r="F948" s="2" t="s">
        <v>28</v>
      </c>
      <c r="G948" s="2">
        <v>14</v>
      </c>
      <c r="H948" s="2">
        <v>139</v>
      </c>
      <c r="I948" s="2">
        <v>5810</v>
      </c>
      <c r="J948" s="2" t="s">
        <v>33</v>
      </c>
      <c r="K948" s="2">
        <v>6</v>
      </c>
      <c r="L948" s="2" t="s">
        <v>2310</v>
      </c>
      <c r="Q948" s="4" t="str">
        <f ca="1">IFERROR(__xludf.DUMMYFUNCTION("TRIM(SUBSTITUTE(SUBSTITUTE(D948, index(SPLIT(D948, "" ""), COLUMNS(SPLIT(D948, "" ""))), """"), index(SPLIT(D948, "" ""), COLUMNS(SPLIT(D948, "" ""))-1), """"))"),"Острожецька")</f>
        <v>Острожецька</v>
      </c>
    </row>
    <row r="949" spans="1:17" ht="38">
      <c r="A949" s="2"/>
      <c r="B949" s="2" t="s">
        <v>2264</v>
      </c>
      <c r="C949" s="2" t="s">
        <v>2285</v>
      </c>
      <c r="D949" s="2" t="s">
        <v>2311</v>
      </c>
      <c r="E949" s="2"/>
      <c r="F949" s="2" t="s">
        <v>28</v>
      </c>
      <c r="G949" s="2">
        <v>9</v>
      </c>
      <c r="H949" s="2">
        <v>94.1</v>
      </c>
      <c r="I949" s="2">
        <v>2853</v>
      </c>
      <c r="J949" s="2" t="s">
        <v>93</v>
      </c>
      <c r="K949" s="2">
        <v>3</v>
      </c>
      <c r="L949" s="2" t="s">
        <v>2312</v>
      </c>
      <c r="Q949" s="4" t="str">
        <f ca="1">IFERROR(__xludf.DUMMYFUNCTION("TRIM(SUBSTITUTE(SUBSTITUTE(D949, index(SPLIT(D949, "" ""), COLUMNS(SPLIT(D949, "" ""))), """"), index(SPLIT(D949, "" ""), COLUMNS(SPLIT(D949, "" ""))-1), """"))"),"Повчанська")</f>
        <v>Повчанська</v>
      </c>
    </row>
    <row r="950" spans="1:17" ht="50.5">
      <c r="A950" s="2"/>
      <c r="B950" s="2" t="s">
        <v>2264</v>
      </c>
      <c r="C950" s="2" t="s">
        <v>2285</v>
      </c>
      <c r="D950" s="2" t="s">
        <v>1806</v>
      </c>
      <c r="E950" s="2"/>
      <c r="F950" s="2" t="s">
        <v>28</v>
      </c>
      <c r="G950" s="2">
        <v>16</v>
      </c>
      <c r="H950" s="2">
        <v>147.19999999999999</v>
      </c>
      <c r="I950" s="2">
        <v>5528</v>
      </c>
      <c r="J950" s="2" t="s">
        <v>1304</v>
      </c>
      <c r="K950" s="2">
        <v>4</v>
      </c>
      <c r="L950" s="2" t="s">
        <v>2313</v>
      </c>
      <c r="Q950" s="4" t="str">
        <f ca="1">IFERROR(__xludf.DUMMYFUNCTION("TRIM(SUBSTITUTE(SUBSTITUTE(D950, index(SPLIT(D950, "" ""), COLUMNS(SPLIT(D950, "" ""))), """"), index(SPLIT(D950, "" ""), COLUMNS(SPLIT(D950, "" ""))-1), """"))"),"Привільненська")</f>
        <v>Привільненська</v>
      </c>
    </row>
    <row r="951" spans="1:17" ht="50.5">
      <c r="A951" s="2"/>
      <c r="B951" s="2" t="s">
        <v>2264</v>
      </c>
      <c r="C951" s="2" t="s">
        <v>2285</v>
      </c>
      <c r="D951" s="2" t="s">
        <v>2314</v>
      </c>
      <c r="E951" s="2"/>
      <c r="F951" s="2" t="s">
        <v>28</v>
      </c>
      <c r="G951" s="2">
        <v>9</v>
      </c>
      <c r="H951" s="2">
        <v>63.5</v>
      </c>
      <c r="I951" s="2">
        <v>1836</v>
      </c>
      <c r="J951" s="2" t="s">
        <v>143</v>
      </c>
      <c r="K951" s="2">
        <v>2</v>
      </c>
      <c r="L951" s="2" t="s">
        <v>2315</v>
      </c>
      <c r="Q951" s="4" t="str">
        <f ca="1">IFERROR(__xludf.DUMMYFUNCTION("TRIM(SUBSTITUTE(SUBSTITUTE(D951, index(SPLIT(D951, "" ""), COLUMNS(SPLIT(D951, "" ""))), """"), index(SPLIT(D951, "" ""), COLUMNS(SPLIT(D951, "" ""))-1), """"))"),"Підлозцівська")</f>
        <v>Підлозцівська</v>
      </c>
    </row>
    <row r="952" spans="1:17" ht="50.5">
      <c r="A952" s="2"/>
      <c r="B952" s="2" t="s">
        <v>2264</v>
      </c>
      <c r="C952" s="2" t="s">
        <v>2285</v>
      </c>
      <c r="D952" s="2" t="s">
        <v>2316</v>
      </c>
      <c r="E952" s="2"/>
      <c r="F952" s="2" t="s">
        <v>20</v>
      </c>
      <c r="G952" s="2">
        <v>24</v>
      </c>
      <c r="H952" s="2">
        <v>227.5</v>
      </c>
      <c r="I952" s="2">
        <v>18663</v>
      </c>
      <c r="J952" s="2" t="s">
        <v>254</v>
      </c>
      <c r="K952" s="2">
        <v>7</v>
      </c>
      <c r="L952" s="2" t="s">
        <v>2317</v>
      </c>
      <c r="Q952" s="4" t="str">
        <f ca="1">IFERROR(__xludf.DUMMYFUNCTION("TRIM(SUBSTITUTE(SUBSTITUTE(D952, index(SPLIT(D952, "" ""), COLUMNS(SPLIT(D952, "" ""))), """"), index(SPLIT(D952, "" ""), COLUMNS(SPLIT(D952, "" ""))-1), """"))"),"Радивилівська")</f>
        <v>Радивилівська</v>
      </c>
    </row>
    <row r="953" spans="1:17" ht="38">
      <c r="A953" s="2"/>
      <c r="B953" s="2" t="s">
        <v>2264</v>
      </c>
      <c r="C953" s="2" t="s">
        <v>2285</v>
      </c>
      <c r="D953" s="2" t="s">
        <v>2318</v>
      </c>
      <c r="E953" s="2"/>
      <c r="F953" s="2" t="s">
        <v>28</v>
      </c>
      <c r="G953" s="2">
        <v>17</v>
      </c>
      <c r="H953" s="2">
        <v>216</v>
      </c>
      <c r="I953" s="2">
        <v>4454</v>
      </c>
      <c r="J953" s="2" t="s">
        <v>163</v>
      </c>
      <c r="K953" s="2">
        <v>4</v>
      </c>
      <c r="L953" s="2" t="s">
        <v>2319</v>
      </c>
      <c r="Q953" s="4" t="str">
        <f ca="1">IFERROR(__xludf.DUMMYFUNCTION("TRIM(SUBSTITUTE(SUBSTITUTE(D953, index(SPLIT(D953, "" ""), COLUMNS(SPLIT(D953, "" ""))), """"), index(SPLIT(D953, "" ""), COLUMNS(SPLIT(D953, "" ""))-1), """"))"),"Семидубська")</f>
        <v>Семидубська</v>
      </c>
    </row>
    <row r="954" spans="1:17" ht="38">
      <c r="A954" s="2"/>
      <c r="B954" s="2" t="s">
        <v>2264</v>
      </c>
      <c r="C954" s="2" t="s">
        <v>2285</v>
      </c>
      <c r="D954" s="2" t="s">
        <v>2320</v>
      </c>
      <c r="E954" s="2"/>
      <c r="F954" s="2" t="s">
        <v>32</v>
      </c>
      <c r="G954" s="2">
        <v>14</v>
      </c>
      <c r="H954" s="2">
        <v>192.8</v>
      </c>
      <c r="I954" s="2">
        <v>7459</v>
      </c>
      <c r="J954" s="2" t="s">
        <v>2321</v>
      </c>
      <c r="K954" s="2">
        <v>3</v>
      </c>
      <c r="L954" s="2" t="s">
        <v>2322</v>
      </c>
      <c r="Q954" s="4" t="str">
        <f ca="1">IFERROR(__xludf.DUMMYFUNCTION("TRIM(SUBSTITUTE(SUBSTITUTE(D954, index(SPLIT(D954, "" ""), COLUMNS(SPLIT(D954, "" ""))), """"), index(SPLIT(D954, "" ""), COLUMNS(SPLIT(D954, "" ""))-1), """"))"),"Смизька")</f>
        <v>Смизька</v>
      </c>
    </row>
    <row r="955" spans="1:17" ht="50.5">
      <c r="A955" s="2"/>
      <c r="B955" s="2" t="s">
        <v>2264</v>
      </c>
      <c r="C955" s="2" t="s">
        <v>2285</v>
      </c>
      <c r="D955" s="2" t="s">
        <v>2323</v>
      </c>
      <c r="E955" s="2"/>
      <c r="F955" s="2" t="s">
        <v>28</v>
      </c>
      <c r="G955" s="2">
        <v>18</v>
      </c>
      <c r="H955" s="2">
        <v>217.4</v>
      </c>
      <c r="I955" s="2">
        <v>7937</v>
      </c>
      <c r="J955" s="2" t="s">
        <v>39</v>
      </c>
      <c r="K955" s="2">
        <v>4</v>
      </c>
      <c r="L955" s="2" t="s">
        <v>2324</v>
      </c>
      <c r="Q955" s="4" t="str">
        <f ca="1">IFERROR(__xludf.DUMMYFUNCTION("TRIM(SUBSTITUTE(SUBSTITUTE(D955, index(SPLIT(D955, "" ""), COLUMNS(SPLIT(D955, "" ""))), """"), index(SPLIT(D955, "" ""), COLUMNS(SPLIT(D955, "" ""))-1), """"))"),"Тараканівська")</f>
        <v>Тараканівська</v>
      </c>
    </row>
    <row r="956" spans="1:17" ht="50.5">
      <c r="A956" s="2"/>
      <c r="B956" s="2" t="s">
        <v>2264</v>
      </c>
      <c r="C956" s="2" t="s">
        <v>2285</v>
      </c>
      <c r="D956" s="2" t="s">
        <v>2325</v>
      </c>
      <c r="E956" s="2"/>
      <c r="F956" s="2" t="s">
        <v>28</v>
      </c>
      <c r="G956" s="2">
        <v>10</v>
      </c>
      <c r="H956" s="2">
        <v>106.8</v>
      </c>
      <c r="I956" s="2">
        <v>2702</v>
      </c>
      <c r="J956" s="2" t="s">
        <v>39</v>
      </c>
      <c r="K956" s="2">
        <v>2</v>
      </c>
      <c r="L956" s="2" t="s">
        <v>2326</v>
      </c>
      <c r="Q956" s="4" t="str">
        <f ca="1">IFERROR(__xludf.DUMMYFUNCTION("TRIM(SUBSTITUTE(SUBSTITUTE(D956, index(SPLIT(D956, "" ""), COLUMNS(SPLIT(D956, "" ""))), """"), index(SPLIT(D956, "" ""), COLUMNS(SPLIT(D956, "" ""))-1), """"))"),"Ярославицька")</f>
        <v>Ярославицька</v>
      </c>
    </row>
    <row r="957" spans="1:17" ht="38">
      <c r="A957" s="2"/>
      <c r="B957" s="2" t="s">
        <v>2264</v>
      </c>
      <c r="C957" s="2" t="s">
        <v>2327</v>
      </c>
      <c r="D957" s="2" t="s">
        <v>2328</v>
      </c>
      <c r="E957" s="2"/>
      <c r="F957" s="2" t="s">
        <v>28</v>
      </c>
      <c r="G957" s="2">
        <v>11</v>
      </c>
      <c r="H957" s="2">
        <v>121.1</v>
      </c>
      <c r="I957" s="2">
        <v>6930</v>
      </c>
      <c r="J957" s="2" t="s">
        <v>143</v>
      </c>
      <c r="K957" s="2">
        <v>3</v>
      </c>
      <c r="L957" s="2" t="s">
        <v>2329</v>
      </c>
      <c r="Q957" s="4" t="str">
        <f ca="1">IFERROR(__xludf.DUMMYFUNCTION("TRIM(SUBSTITUTE(SUBSTITUTE(D957, index(SPLIT(D957, "" ""), COLUMNS(SPLIT(D957, "" ""))), """"), index(SPLIT(D957, "" ""), COLUMNS(SPLIT(D957, "" ""))-1), """"))"),"Бабинська")</f>
        <v>Бабинська</v>
      </c>
    </row>
    <row r="958" spans="1:17" ht="75.5">
      <c r="A958" s="2"/>
      <c r="B958" s="2" t="s">
        <v>2264</v>
      </c>
      <c r="C958" s="2" t="s">
        <v>2327</v>
      </c>
      <c r="D958" s="2" t="s">
        <v>2330</v>
      </c>
      <c r="E958" s="2"/>
      <c r="F958" s="2" t="s">
        <v>20</v>
      </c>
      <c r="G958" s="2">
        <v>37</v>
      </c>
      <c r="H958" s="2">
        <v>1184.4000000000001</v>
      </c>
      <c r="I958" s="2">
        <v>51285</v>
      </c>
      <c r="J958" s="2" t="s">
        <v>2331</v>
      </c>
      <c r="K958" s="2">
        <v>17</v>
      </c>
      <c r="L958" s="2" t="s">
        <v>2332</v>
      </c>
      <c r="Q958" s="4" t="str">
        <f ca="1">IFERROR(__xludf.DUMMYFUNCTION("TRIM(SUBSTITUTE(SUBSTITUTE(D958, index(SPLIT(D958, "" ""), COLUMNS(SPLIT(D958, "" ""))), """"), index(SPLIT(D958, "" ""), COLUMNS(SPLIT(D958, "" ""))-1), """"))"),"Березнівська")</f>
        <v>Березнівська</v>
      </c>
    </row>
    <row r="959" spans="1:17" ht="38">
      <c r="A959" s="2"/>
      <c r="B959" s="2" t="s">
        <v>2264</v>
      </c>
      <c r="C959" s="2" t="s">
        <v>2327</v>
      </c>
      <c r="D959" s="2" t="s">
        <v>2333</v>
      </c>
      <c r="E959" s="2"/>
      <c r="F959" s="2" t="s">
        <v>28</v>
      </c>
      <c r="G959" s="2">
        <v>12</v>
      </c>
      <c r="H959" s="2">
        <v>90</v>
      </c>
      <c r="I959" s="2">
        <v>4118</v>
      </c>
      <c r="J959" s="2" t="s">
        <v>143</v>
      </c>
      <c r="K959" s="2">
        <v>2</v>
      </c>
      <c r="L959" s="2" t="s">
        <v>2334</v>
      </c>
      <c r="Q959" s="4" t="str">
        <f ca="1">IFERROR(__xludf.DUMMYFUNCTION("TRIM(SUBSTITUTE(SUBSTITUTE(D959, index(SPLIT(D959, "" ""), COLUMNS(SPLIT(D959, "" ""))), """"), index(SPLIT(D959, "" ""), COLUMNS(SPLIT(D959, "" ""))-1), """"))"),"Бугринська")</f>
        <v>Бугринська</v>
      </c>
    </row>
    <row r="960" spans="1:17" ht="50.5">
      <c r="A960" s="2"/>
      <c r="B960" s="2" t="s">
        <v>2264</v>
      </c>
      <c r="C960" s="2" t="s">
        <v>2327</v>
      </c>
      <c r="D960" s="2" t="s">
        <v>2335</v>
      </c>
      <c r="E960" s="2"/>
      <c r="F960" s="2" t="s">
        <v>28</v>
      </c>
      <c r="G960" s="2">
        <v>11</v>
      </c>
      <c r="H960" s="2">
        <v>122</v>
      </c>
      <c r="I960" s="2">
        <v>9830</v>
      </c>
      <c r="J960" s="2" t="s">
        <v>2336</v>
      </c>
      <c r="K960" s="2">
        <v>3</v>
      </c>
      <c r="L960" s="2" t="s">
        <v>2337</v>
      </c>
      <c r="Q960" s="4" t="str">
        <f ca="1">IFERROR(__xludf.DUMMYFUNCTION("TRIM(SUBSTITUTE(SUBSTITUTE(D960, index(SPLIT(D960, "" ""), COLUMNS(SPLIT(D960, "" ""))), """"), index(SPLIT(D960, "" ""), COLUMNS(SPLIT(D960, "" ""))-1), """"))"),"Білокриницька")</f>
        <v>Білокриницька</v>
      </c>
    </row>
    <row r="961" spans="1:17" ht="50.5">
      <c r="A961" s="2"/>
      <c r="B961" s="2" t="s">
        <v>2264</v>
      </c>
      <c r="C961" s="2" t="s">
        <v>2327</v>
      </c>
      <c r="D961" s="2" t="s">
        <v>2338</v>
      </c>
      <c r="E961" s="2"/>
      <c r="F961" s="2" t="s">
        <v>28</v>
      </c>
      <c r="G961" s="2">
        <v>16</v>
      </c>
      <c r="H961" s="2">
        <v>191.6</v>
      </c>
      <c r="I961" s="2">
        <v>7892</v>
      </c>
      <c r="J961" s="2" t="s">
        <v>2339</v>
      </c>
      <c r="K961" s="2">
        <v>7</v>
      </c>
      <c r="L961" s="2" t="s">
        <v>2340</v>
      </c>
      <c r="Q961" s="4" t="str">
        <f ca="1">IFERROR(__xludf.DUMMYFUNCTION("TRIM(SUBSTITUTE(SUBSTITUTE(D961, index(SPLIT(D961, "" ""), COLUMNS(SPLIT(D961, "" ""))), """"), index(SPLIT(D961, "" ""), COLUMNS(SPLIT(D961, "" ""))-1), """"))"),"Великомежиріцька")</f>
        <v>Великомежиріцька</v>
      </c>
    </row>
    <row r="962" spans="1:17" ht="50.5">
      <c r="A962" s="2"/>
      <c r="B962" s="2" t="s">
        <v>2264</v>
      </c>
      <c r="C962" s="2" t="s">
        <v>2327</v>
      </c>
      <c r="D962" s="2" t="s">
        <v>2341</v>
      </c>
      <c r="E962" s="2"/>
      <c r="F962" s="2" t="s">
        <v>28</v>
      </c>
      <c r="G962" s="2">
        <v>6</v>
      </c>
      <c r="H962" s="2">
        <v>103.2</v>
      </c>
      <c r="I962" s="2">
        <v>3736</v>
      </c>
      <c r="J962" s="2" t="s">
        <v>163</v>
      </c>
      <c r="K962" s="2">
        <v>2</v>
      </c>
      <c r="L962" s="2" t="s">
        <v>2342</v>
      </c>
      <c r="Q962" s="4" t="str">
        <f ca="1">IFERROR(__xludf.DUMMYFUNCTION("TRIM(SUBSTITUTE(SUBSTITUTE(D962, index(SPLIT(D962, "" ""), COLUMNS(SPLIT(D962, "" ""))), """"), index(SPLIT(D962, "" ""), COLUMNS(SPLIT(D962, "" ""))-1), """"))"),"Великоомелянська")</f>
        <v>Великоомелянська</v>
      </c>
    </row>
    <row r="963" spans="1:17" ht="38">
      <c r="A963" s="2"/>
      <c r="B963" s="2" t="s">
        <v>2264</v>
      </c>
      <c r="C963" s="2" t="s">
        <v>2327</v>
      </c>
      <c r="D963" s="2" t="s">
        <v>2343</v>
      </c>
      <c r="E963" s="2"/>
      <c r="F963" s="2" t="s">
        <v>28</v>
      </c>
      <c r="G963" s="2">
        <v>12</v>
      </c>
      <c r="H963" s="2">
        <v>201.9</v>
      </c>
      <c r="I963" s="2">
        <v>7114</v>
      </c>
      <c r="J963" s="2" t="s">
        <v>163</v>
      </c>
      <c r="K963" s="2">
        <v>3</v>
      </c>
      <c r="L963" s="2" t="s">
        <v>2344</v>
      </c>
      <c r="Q963" s="4" t="str">
        <f ca="1">IFERROR(__xludf.DUMMYFUNCTION("TRIM(SUBSTITUTE(SUBSTITUTE(D963, index(SPLIT(D963, "" ""), COLUMNS(SPLIT(D963, "" ""))), """"), index(SPLIT(D963, "" ""), COLUMNS(SPLIT(D963, "" ""))-1), """"))"),"Головинська")</f>
        <v>Головинська</v>
      </c>
    </row>
    <row r="964" spans="1:17" ht="38">
      <c r="A964" s="2"/>
      <c r="B964" s="2" t="s">
        <v>2264</v>
      </c>
      <c r="C964" s="2" t="s">
        <v>2327</v>
      </c>
      <c r="D964" s="2" t="s">
        <v>626</v>
      </c>
      <c r="E964" s="2"/>
      <c r="F964" s="2" t="s">
        <v>28</v>
      </c>
      <c r="G964" s="2">
        <v>12</v>
      </c>
      <c r="H964" s="2">
        <v>131.69999999999999</v>
      </c>
      <c r="I964" s="2">
        <v>10657</v>
      </c>
      <c r="J964" s="2" t="s">
        <v>627</v>
      </c>
      <c r="K964" s="2">
        <v>3</v>
      </c>
      <c r="L964" s="2" t="s">
        <v>2345</v>
      </c>
      <c r="Q964" s="4" t="str">
        <f ca="1">IFERROR(__xludf.DUMMYFUNCTION("TRIM(SUBSTITUTE(SUBSTITUTE(D964, index(SPLIT(D964, "" ""), COLUMNS(SPLIT(D964, "" ""))), """"), index(SPLIT(D964, "" ""), COLUMNS(SPLIT(D964, "" ""))-1), """"))"),"Городоцька")</f>
        <v>Городоцька</v>
      </c>
    </row>
    <row r="965" spans="1:17" ht="88">
      <c r="A965" s="2"/>
      <c r="B965" s="2" t="s">
        <v>2264</v>
      </c>
      <c r="C965" s="2" t="s">
        <v>2327</v>
      </c>
      <c r="D965" s="2" t="s">
        <v>2346</v>
      </c>
      <c r="E965" s="2"/>
      <c r="F965" s="2" t="s">
        <v>32</v>
      </c>
      <c r="G965" s="2">
        <v>40</v>
      </c>
      <c r="H965" s="2">
        <v>480.3</v>
      </c>
      <c r="I965" s="2">
        <v>22923</v>
      </c>
      <c r="J965" s="2" t="s">
        <v>2347</v>
      </c>
      <c r="K965" s="2">
        <v>19</v>
      </c>
      <c r="L965" s="2" t="s">
        <v>2348</v>
      </c>
      <c r="Q965" s="4" t="str">
        <f ca="1">IFERROR(__xludf.DUMMYFUNCTION("TRIM(SUBSTITUTE(SUBSTITUTE(D965, index(SPLIT(D965, "" ""), COLUMNS(SPLIT(D965, "" ""))), """"), index(SPLIT(D965, "" ""), COLUMNS(SPLIT(D965, "" ""))-1), """"))"),"Гощанська")</f>
        <v>Гощанська</v>
      </c>
    </row>
    <row r="966" spans="1:17" ht="50.5">
      <c r="A966" s="2"/>
      <c r="B966" s="2" t="s">
        <v>2264</v>
      </c>
      <c r="C966" s="2" t="s">
        <v>2327</v>
      </c>
      <c r="D966" s="2" t="s">
        <v>2349</v>
      </c>
      <c r="E966" s="2"/>
      <c r="F966" s="2" t="s">
        <v>28</v>
      </c>
      <c r="G966" s="2">
        <v>9</v>
      </c>
      <c r="H966" s="2">
        <v>225.5</v>
      </c>
      <c r="I966" s="2">
        <v>6242</v>
      </c>
      <c r="J966" s="2" t="s">
        <v>33</v>
      </c>
      <c r="K966" s="2">
        <v>3</v>
      </c>
      <c r="L966" s="2" t="s">
        <v>2350</v>
      </c>
      <c r="Q966" s="4" t="str">
        <f ca="1">IFERROR(__xludf.DUMMYFUNCTION("TRIM(SUBSTITUTE(SUBSTITUTE(D966, index(SPLIT(D966, "" ""), COLUMNS(SPLIT(D966, "" ""))), """"), index(SPLIT(D966, "" ""), COLUMNS(SPLIT(D966, "" ""))-1), """"))"),"Деражненська")</f>
        <v>Деражненська</v>
      </c>
    </row>
    <row r="967" spans="1:17" ht="50.5">
      <c r="A967" s="2"/>
      <c r="B967" s="2" t="s">
        <v>2264</v>
      </c>
      <c r="C967" s="2" t="s">
        <v>2327</v>
      </c>
      <c r="D967" s="2" t="s">
        <v>2351</v>
      </c>
      <c r="E967" s="2"/>
      <c r="F967" s="2" t="s">
        <v>28</v>
      </c>
      <c r="G967" s="2">
        <v>17</v>
      </c>
      <c r="H967" s="2">
        <v>157.1</v>
      </c>
      <c r="I967" s="2">
        <v>5802</v>
      </c>
      <c r="J967" s="2" t="s">
        <v>249</v>
      </c>
      <c r="K967" s="2">
        <v>3</v>
      </c>
      <c r="L967" s="2" t="s">
        <v>2352</v>
      </c>
      <c r="Q967" s="4" t="str">
        <f ca="1">IFERROR(__xludf.DUMMYFUNCTION("TRIM(SUBSTITUTE(SUBSTITUTE(D967, index(SPLIT(D967, "" ""), COLUMNS(SPLIT(D967, "" ""))), """"), index(SPLIT(D967, "" ""), COLUMNS(SPLIT(D967, "" ""))-1), """"))"),"Дядьковицька")</f>
        <v>Дядьковицька</v>
      </c>
    </row>
    <row r="968" spans="1:17" ht="38">
      <c r="A968" s="2"/>
      <c r="B968" s="2" t="s">
        <v>2264</v>
      </c>
      <c r="C968" s="2" t="s">
        <v>2327</v>
      </c>
      <c r="D968" s="2" t="s">
        <v>2353</v>
      </c>
      <c r="E968" s="2"/>
      <c r="F968" s="2" t="s">
        <v>28</v>
      </c>
      <c r="G968" s="2">
        <v>15</v>
      </c>
      <c r="H968" s="2">
        <v>149.30000000000001</v>
      </c>
      <c r="I968" s="2">
        <v>9940</v>
      </c>
      <c r="J968" s="2" t="s">
        <v>2354</v>
      </c>
      <c r="K968" s="2">
        <v>4</v>
      </c>
      <c r="L968" s="2" t="s">
        <v>2355</v>
      </c>
      <c r="Q968" s="4" t="str">
        <f ca="1">IFERROR(__xludf.DUMMYFUNCTION("TRIM(SUBSTITUTE(SUBSTITUTE(D968, index(SPLIT(D968, "" ""), COLUMNS(SPLIT(D968, "" ""))), """"), index(SPLIT(D968, "" ""), COLUMNS(SPLIT(D968, "" ""))-1), """"))"),"Здовбицька")</f>
        <v>Здовбицька</v>
      </c>
    </row>
    <row r="969" spans="1:17" ht="50.5">
      <c r="A969" s="2"/>
      <c r="B969" s="2" t="s">
        <v>2264</v>
      </c>
      <c r="C969" s="2" t="s">
        <v>2327</v>
      </c>
      <c r="D969" s="2" t="s">
        <v>2356</v>
      </c>
      <c r="E969" s="2"/>
      <c r="F969" s="2" t="s">
        <v>20</v>
      </c>
      <c r="G969" s="2">
        <v>14</v>
      </c>
      <c r="H969" s="2">
        <v>152.19999999999999</v>
      </c>
      <c r="I969" s="2">
        <v>31528</v>
      </c>
      <c r="J969" s="2" t="s">
        <v>2357</v>
      </c>
      <c r="K969" s="2">
        <v>6</v>
      </c>
      <c r="L969" s="2" t="s">
        <v>2358</v>
      </c>
      <c r="Q969" s="4" t="str">
        <f ca="1">IFERROR(__xludf.DUMMYFUNCTION("TRIM(SUBSTITUTE(SUBSTITUTE(D969, index(SPLIT(D969, "" ""), COLUMNS(SPLIT(D969, "" ""))), """"), index(SPLIT(D969, "" ""), COLUMNS(SPLIT(D969, "" ""))-1), """"))"),"Здолбунівська")</f>
        <v>Здолбунівська</v>
      </c>
    </row>
    <row r="970" spans="1:17" ht="38">
      <c r="A970" s="2"/>
      <c r="B970" s="2" t="s">
        <v>2264</v>
      </c>
      <c r="C970" s="2" t="s">
        <v>2327</v>
      </c>
      <c r="D970" s="2" t="s">
        <v>2359</v>
      </c>
      <c r="E970" s="2"/>
      <c r="F970" s="2" t="s">
        <v>28</v>
      </c>
      <c r="G970" s="2">
        <v>15</v>
      </c>
      <c r="H970" s="2">
        <v>192.5</v>
      </c>
      <c r="I970" s="2">
        <v>13394</v>
      </c>
      <c r="J970" s="2" t="s">
        <v>2360</v>
      </c>
      <c r="K970" s="2">
        <v>2</v>
      </c>
      <c r="L970" s="2" t="s">
        <v>2361</v>
      </c>
      <c r="Q970" s="4" t="str">
        <f ca="1">IFERROR(__xludf.DUMMYFUNCTION("TRIM(SUBSTITUTE(SUBSTITUTE(D970, index(SPLIT(D970, "" ""), COLUMNS(SPLIT(D970, "" ""))), """"), index(SPLIT(D970, "" ""), COLUMNS(SPLIT(D970, "" ""))-1), """"))"),"Зорянська")</f>
        <v>Зорянська</v>
      </c>
    </row>
    <row r="971" spans="1:17" ht="38">
      <c r="A971" s="2"/>
      <c r="B971" s="2" t="s">
        <v>2264</v>
      </c>
      <c r="C971" s="2" t="s">
        <v>2327</v>
      </c>
      <c r="D971" s="2" t="s">
        <v>2362</v>
      </c>
      <c r="E971" s="2"/>
      <c r="F971" s="2" t="s">
        <v>32</v>
      </c>
      <c r="G971" s="2">
        <v>6</v>
      </c>
      <c r="H971" s="2">
        <v>110.6</v>
      </c>
      <c r="I971" s="2">
        <v>13744</v>
      </c>
      <c r="J971" s="2" t="s">
        <v>39</v>
      </c>
      <c r="K971" s="2">
        <v>3</v>
      </c>
      <c r="L971" s="2" t="s">
        <v>2363</v>
      </c>
      <c r="Q971" s="4" t="str">
        <f ca="1">IFERROR(__xludf.DUMMYFUNCTION("TRIM(SUBSTITUTE(SUBSTITUTE(D971, index(SPLIT(D971, "" ""), COLUMNS(SPLIT(D971, "" ""))), """"), index(SPLIT(D971, "" ""), COLUMNS(SPLIT(D971, "" ""))-1), """"))"),"Клеванська")</f>
        <v>Клеванська</v>
      </c>
    </row>
    <row r="972" spans="1:17" ht="88">
      <c r="A972" s="2"/>
      <c r="B972" s="2" t="s">
        <v>2264</v>
      </c>
      <c r="C972" s="2" t="s">
        <v>2327</v>
      </c>
      <c r="D972" s="2" t="s">
        <v>2364</v>
      </c>
      <c r="E972" s="2"/>
      <c r="F972" s="2" t="s">
        <v>20</v>
      </c>
      <c r="G972" s="2">
        <v>34</v>
      </c>
      <c r="H972" s="2">
        <v>527.79999999999995</v>
      </c>
      <c r="I972" s="2">
        <v>24327</v>
      </c>
      <c r="J972" s="2" t="s">
        <v>2365</v>
      </c>
      <c r="K972" s="2">
        <v>19</v>
      </c>
      <c r="L972" s="2" t="s">
        <v>2366</v>
      </c>
      <c r="Q972" s="4" t="str">
        <f ca="1">IFERROR(__xludf.DUMMYFUNCTION("TRIM(SUBSTITUTE(SUBSTITUTE(D972, index(SPLIT(D972, "" ""), COLUMNS(SPLIT(D972, "" ""))), """"), index(SPLIT(D972, "" ""), COLUMNS(SPLIT(D972, "" ""))-1), """"))"),"Корецька")</f>
        <v>Корецька</v>
      </c>
    </row>
    <row r="973" spans="1:17" ht="38">
      <c r="A973" s="2"/>
      <c r="B973" s="2" t="s">
        <v>2264</v>
      </c>
      <c r="C973" s="2" t="s">
        <v>2327</v>
      </c>
      <c r="D973" s="2" t="s">
        <v>634</v>
      </c>
      <c r="E973" s="2"/>
      <c r="F973" s="2" t="s">
        <v>28</v>
      </c>
      <c r="G973" s="2">
        <v>5</v>
      </c>
      <c r="H973" s="2">
        <v>66</v>
      </c>
      <c r="I973" s="2">
        <v>7439</v>
      </c>
      <c r="J973" s="2" t="s">
        <v>249</v>
      </c>
      <c r="K973" s="2">
        <v>2</v>
      </c>
      <c r="L973" s="2" t="s">
        <v>2367</v>
      </c>
      <c r="Q973" s="4" t="str">
        <f ca="1">IFERROR(__xludf.DUMMYFUNCTION("TRIM(SUBSTITUTE(SUBSTITUTE(D973, index(SPLIT(D973, "" ""), COLUMNS(SPLIT(D973, "" ""))), """"), index(SPLIT(D973, "" ""), COLUMNS(SPLIT(D973, "" ""))-1), """"))"),"Корнинська")</f>
        <v>Корнинська</v>
      </c>
    </row>
    <row r="974" spans="1:17" ht="50.5">
      <c r="A974" s="2"/>
      <c r="B974" s="2" t="s">
        <v>2264</v>
      </c>
      <c r="C974" s="2" t="s">
        <v>2327</v>
      </c>
      <c r="D974" s="2" t="s">
        <v>2368</v>
      </c>
      <c r="E974" s="2"/>
      <c r="F974" s="2" t="s">
        <v>20</v>
      </c>
      <c r="G974" s="2">
        <v>30</v>
      </c>
      <c r="H974" s="2">
        <v>653.4</v>
      </c>
      <c r="I974" s="2">
        <v>44042</v>
      </c>
      <c r="J974" s="2" t="s">
        <v>2369</v>
      </c>
      <c r="K974" s="2">
        <v>11</v>
      </c>
      <c r="L974" s="2" t="s">
        <v>2370</v>
      </c>
      <c r="Q974" s="4" t="str">
        <f ca="1">IFERROR(__xludf.DUMMYFUNCTION("TRIM(SUBSTITUTE(SUBSTITUTE(D974, index(SPLIT(D974, "" ""), COLUMNS(SPLIT(D974, "" ""))), """"), index(SPLIT(D974, "" ""), COLUMNS(SPLIT(D974, "" ""))-1), """"))"),"Костопільська")</f>
        <v>Костопільська</v>
      </c>
    </row>
    <row r="975" spans="1:17" ht="38">
      <c r="A975" s="2"/>
      <c r="B975" s="2" t="s">
        <v>2264</v>
      </c>
      <c r="C975" s="2" t="s">
        <v>2327</v>
      </c>
      <c r="D975" s="2" t="s">
        <v>691</v>
      </c>
      <c r="E975" s="2"/>
      <c r="F975" s="2" t="s">
        <v>28</v>
      </c>
      <c r="G975" s="2">
        <v>6</v>
      </c>
      <c r="H975" s="2">
        <v>210.7</v>
      </c>
      <c r="I975" s="2">
        <v>5615</v>
      </c>
      <c r="J975" s="2" t="s">
        <v>46</v>
      </c>
      <c r="K975" s="2">
        <v>4</v>
      </c>
      <c r="L975" s="2" t="s">
        <v>2371</v>
      </c>
      <c r="Q975" s="4" t="str">
        <f ca="1">IFERROR(__xludf.DUMMYFUNCTION("TRIM(SUBSTITUTE(SUBSTITUTE(D975, index(SPLIT(D975, "" ""), COLUMNS(SPLIT(D975, "" ""))), """"), index(SPLIT(D975, "" ""), COLUMNS(SPLIT(D975, "" ""))-1), """"))"),"Малинська")</f>
        <v>Малинська</v>
      </c>
    </row>
    <row r="976" spans="1:17" ht="50.5">
      <c r="A976" s="2"/>
      <c r="B976" s="2" t="s">
        <v>2264</v>
      </c>
      <c r="C976" s="2" t="s">
        <v>2327</v>
      </c>
      <c r="D976" s="2" t="s">
        <v>2372</v>
      </c>
      <c r="E976" s="2"/>
      <c r="F976" s="2" t="s">
        <v>28</v>
      </c>
      <c r="G976" s="2">
        <v>11</v>
      </c>
      <c r="H976" s="2">
        <v>416.7</v>
      </c>
      <c r="I976" s="2">
        <v>5649</v>
      </c>
      <c r="J976" s="2" t="s">
        <v>178</v>
      </c>
      <c r="K976" s="2">
        <v>3</v>
      </c>
      <c r="L976" s="2" t="s">
        <v>2373</v>
      </c>
      <c r="Q976" s="4" t="str">
        <f ca="1">IFERROR(__xludf.DUMMYFUNCTION("TRIM(SUBSTITUTE(SUBSTITUTE(D976, index(SPLIT(D976, "" ""), COLUMNS(SPLIT(D976, "" ""))), """"), index(SPLIT(D976, "" ""), COLUMNS(SPLIT(D976, "" ""))-1), """"))"),"Малолюбашанська")</f>
        <v>Малолюбашанська</v>
      </c>
    </row>
    <row r="977" spans="1:17" ht="63">
      <c r="A977" s="2"/>
      <c r="B977" s="2" t="s">
        <v>2264</v>
      </c>
      <c r="C977" s="2" t="s">
        <v>2327</v>
      </c>
      <c r="D977" s="2" t="s">
        <v>2374</v>
      </c>
      <c r="E977" s="2"/>
      <c r="F977" s="2" t="s">
        <v>32</v>
      </c>
      <c r="G977" s="2">
        <v>26</v>
      </c>
      <c r="H977" s="2">
        <v>356.6</v>
      </c>
      <c r="I977" s="2">
        <v>14127</v>
      </c>
      <c r="J977" s="2" t="s">
        <v>2375</v>
      </c>
      <c r="K977" s="2">
        <v>12</v>
      </c>
      <c r="L977" s="2" t="s">
        <v>2376</v>
      </c>
      <c r="Q977" s="4" t="str">
        <f ca="1">IFERROR(__xludf.DUMMYFUNCTION("TRIM(SUBSTITUTE(SUBSTITUTE(D977, index(SPLIT(D977, "" ""), COLUMNS(SPLIT(D977, "" ""))), """"), index(SPLIT(D977, "" ""), COLUMNS(SPLIT(D977, "" ""))-1), """"))"),"Мізоцька")</f>
        <v>Мізоцька</v>
      </c>
    </row>
    <row r="978" spans="1:17" ht="50.5">
      <c r="A978" s="2"/>
      <c r="B978" s="2" t="s">
        <v>2264</v>
      </c>
      <c r="C978" s="2" t="s">
        <v>2327</v>
      </c>
      <c r="D978" s="2" t="s">
        <v>1515</v>
      </c>
      <c r="E978" s="2"/>
      <c r="F978" s="2" t="s">
        <v>28</v>
      </c>
      <c r="G978" s="2">
        <v>15</v>
      </c>
      <c r="H978" s="2">
        <v>207.8</v>
      </c>
      <c r="I978" s="2">
        <v>9799</v>
      </c>
      <c r="J978" s="2" t="s">
        <v>93</v>
      </c>
      <c r="K978" s="2">
        <v>4</v>
      </c>
      <c r="L978" s="2" t="s">
        <v>2377</v>
      </c>
      <c r="Q978" s="4" t="str">
        <f ca="1">IFERROR(__xludf.DUMMYFUNCTION("TRIM(SUBSTITUTE(SUBSTITUTE(D978, index(SPLIT(D978, "" ""), COLUMNS(SPLIT(D978, "" ""))), """"), index(SPLIT(D978, "" ""), COLUMNS(SPLIT(D978, "" ""))-1), """"))"),"Олександрійська")</f>
        <v>Олександрійська</v>
      </c>
    </row>
    <row r="979" spans="1:17" ht="100.5">
      <c r="A979" s="2"/>
      <c r="B979" s="2" t="s">
        <v>2264</v>
      </c>
      <c r="C979" s="2" t="s">
        <v>2327</v>
      </c>
      <c r="D979" s="2" t="s">
        <v>2378</v>
      </c>
      <c r="E979" s="2"/>
      <c r="F979" s="2" t="s">
        <v>20</v>
      </c>
      <c r="G979" s="2">
        <v>56</v>
      </c>
      <c r="H979" s="2">
        <v>704.7</v>
      </c>
      <c r="I979" s="2">
        <v>42678</v>
      </c>
      <c r="J979" s="2" t="s">
        <v>2379</v>
      </c>
      <c r="K979" s="2">
        <v>22</v>
      </c>
      <c r="L979" s="2" t="s">
        <v>2380</v>
      </c>
      <c r="Q979" s="4" t="str">
        <f ca="1">IFERROR(__xludf.DUMMYFUNCTION("TRIM(SUBSTITUTE(SUBSTITUTE(D979, index(SPLIT(D979, "" ""), COLUMNS(SPLIT(D979, "" ""))), """"), index(SPLIT(D979, "" ""), COLUMNS(SPLIT(D979, "" ""))-1), """"))"),"Острозька")</f>
        <v>Острозька</v>
      </c>
    </row>
    <row r="980" spans="1:17" ht="38">
      <c r="A980" s="2"/>
      <c r="B980" s="2" t="s">
        <v>2264</v>
      </c>
      <c r="C980" s="2" t="s">
        <v>2327</v>
      </c>
      <c r="D980" s="2" t="s">
        <v>240</v>
      </c>
      <c r="E980" s="2"/>
      <c r="F980" s="2" t="s">
        <v>20</v>
      </c>
      <c r="G980" s="2">
        <v>2</v>
      </c>
      <c r="H980" s="2">
        <v>62.7</v>
      </c>
      <c r="I980" s="2">
        <v>253406</v>
      </c>
      <c r="J980" s="2" t="s">
        <v>1504</v>
      </c>
      <c r="K980" s="2">
        <v>2</v>
      </c>
      <c r="L980" s="2" t="s">
        <v>2381</v>
      </c>
      <c r="Q980" s="4" t="str">
        <f ca="1">IFERROR(__xludf.DUMMYFUNCTION("TRIM(SUBSTITUTE(SUBSTITUTE(D980, index(SPLIT(D980, "" ""), COLUMNS(SPLIT(D980, "" ""))), """"), index(SPLIT(D980, "" ""), COLUMNS(SPLIT(D980, "" ""))-1), """"))"),"Рівненська")</f>
        <v>Рівненська</v>
      </c>
    </row>
    <row r="981" spans="1:17" ht="38">
      <c r="A981" s="2"/>
      <c r="B981" s="2" t="s">
        <v>2264</v>
      </c>
      <c r="C981" s="2" t="s">
        <v>2327</v>
      </c>
      <c r="D981" s="2" t="s">
        <v>2382</v>
      </c>
      <c r="E981" s="2"/>
      <c r="F981" s="2" t="s">
        <v>32</v>
      </c>
      <c r="G981" s="2">
        <v>12</v>
      </c>
      <c r="H981" s="2">
        <v>316.5</v>
      </c>
      <c r="I981" s="2">
        <v>6756</v>
      </c>
      <c r="J981" s="2" t="s">
        <v>2383</v>
      </c>
      <c r="K981" s="2">
        <v>4</v>
      </c>
      <c r="L981" s="2" t="s">
        <v>2384</v>
      </c>
      <c r="Q981" s="4" t="str">
        <f ca="1">IFERROR(__xludf.DUMMYFUNCTION("TRIM(SUBSTITUTE(SUBSTITUTE(D981, index(SPLIT(D981, "" ""), COLUMNS(SPLIT(D981, "" ""))), """"), index(SPLIT(D981, "" ""), COLUMNS(SPLIT(D981, "" ""))-1), """"))"),"Соснівська")</f>
        <v>Соснівська</v>
      </c>
    </row>
    <row r="982" spans="1:17" ht="38">
      <c r="A982" s="2"/>
      <c r="B982" s="2" t="s">
        <v>2264</v>
      </c>
      <c r="C982" s="2" t="s">
        <v>2327</v>
      </c>
      <c r="D982" s="2" t="s">
        <v>2385</v>
      </c>
      <c r="E982" s="2"/>
      <c r="F982" s="2" t="s">
        <v>28</v>
      </c>
      <c r="G982" s="2">
        <v>9</v>
      </c>
      <c r="H982" s="2">
        <v>80.3</v>
      </c>
      <c r="I982" s="2">
        <v>10558</v>
      </c>
      <c r="J982" s="2" t="s">
        <v>93</v>
      </c>
      <c r="K982" s="2">
        <v>2</v>
      </c>
      <c r="L982" s="2" t="s">
        <v>2386</v>
      </c>
      <c r="Q982" s="4" t="str">
        <f ca="1">IFERROR(__xludf.DUMMYFUNCTION("TRIM(SUBSTITUTE(SUBSTITUTE(D982, index(SPLIT(D982, "" ""), COLUMNS(SPLIT(D982, "" ""))), """"), index(SPLIT(D982, "" ""), COLUMNS(SPLIT(D982, "" ""))-1), """"))"),"Шпанівська")</f>
        <v>Шпанівська</v>
      </c>
    </row>
    <row r="983" spans="1:17" ht="38">
      <c r="A983" s="2"/>
      <c r="B983" s="2" t="s">
        <v>2264</v>
      </c>
      <c r="C983" s="2" t="s">
        <v>2387</v>
      </c>
      <c r="D983" s="2" t="s">
        <v>610</v>
      </c>
      <c r="E983" s="2"/>
      <c r="F983" s="2" t="s">
        <v>28</v>
      </c>
      <c r="G983" s="2">
        <v>10</v>
      </c>
      <c r="H983" s="2">
        <v>505.4</v>
      </c>
      <c r="I983" s="2">
        <v>12022</v>
      </c>
      <c r="J983" s="2" t="s">
        <v>2388</v>
      </c>
      <c r="K983" s="2">
        <v>3</v>
      </c>
      <c r="L983" s="2" t="s">
        <v>2389</v>
      </c>
      <c r="Q983" s="4" t="str">
        <f ca="1">IFERROR(__xludf.DUMMYFUNCTION("TRIM(SUBSTITUTE(SUBSTITUTE(D983, index(SPLIT(D983, "" ""), COLUMNS(SPLIT(D983, "" ""))), """"), index(SPLIT(D983, "" ""), COLUMNS(SPLIT(D983, "" ""))-1), """"))"),"Березівська")</f>
        <v>Березівська</v>
      </c>
    </row>
    <row r="984" spans="1:17" ht="38">
      <c r="A984" s="2"/>
      <c r="B984" s="2" t="s">
        <v>2264</v>
      </c>
      <c r="C984" s="2" t="s">
        <v>2387</v>
      </c>
      <c r="D984" s="2" t="s">
        <v>2390</v>
      </c>
      <c r="E984" s="2"/>
      <c r="F984" s="2" t="s">
        <v>28</v>
      </c>
      <c r="G984" s="2">
        <v>11</v>
      </c>
      <c r="H984" s="2">
        <v>390</v>
      </c>
      <c r="I984" s="2">
        <v>12857</v>
      </c>
      <c r="J984" s="2" t="s">
        <v>163</v>
      </c>
      <c r="K984" s="2">
        <v>4</v>
      </c>
      <c r="L984" s="2" t="s">
        <v>2391</v>
      </c>
      <c r="Q984" s="4" t="str">
        <f ca="1">IFERROR(__xludf.DUMMYFUNCTION("TRIM(SUBSTITUTE(SUBSTITUTE(D984, index(SPLIT(D984, "" ""), COLUMNS(SPLIT(D984, "" ""))), """"), index(SPLIT(D984, "" ""), COLUMNS(SPLIT(D984, "" ""))-1), """"))"),"Вирівська")</f>
        <v>Вирівська</v>
      </c>
    </row>
    <row r="985" spans="1:17" ht="38">
      <c r="A985" s="2"/>
      <c r="B985" s="2" t="s">
        <v>2264</v>
      </c>
      <c r="C985" s="2" t="s">
        <v>2387</v>
      </c>
      <c r="D985" s="2" t="s">
        <v>2392</v>
      </c>
      <c r="E985" s="2"/>
      <c r="F985" s="2" t="s">
        <v>28</v>
      </c>
      <c r="G985" s="2">
        <v>10</v>
      </c>
      <c r="H985" s="2">
        <v>299.60000000000002</v>
      </c>
      <c r="I985" s="2">
        <v>5694</v>
      </c>
      <c r="J985" s="2" t="s">
        <v>2321</v>
      </c>
      <c r="K985" s="2">
        <v>3</v>
      </c>
      <c r="L985" s="2" t="s">
        <v>2393</v>
      </c>
      <c r="Q985" s="4" t="str">
        <f ca="1">IFERROR(__xludf.DUMMYFUNCTION("TRIM(SUBSTITUTE(SUBSTITUTE(D985, index(SPLIT(D985, "" ""), COLUMNS(SPLIT(D985, "" ""))), """"), index(SPLIT(D985, "" ""), COLUMNS(SPLIT(D985, "" ""))-1), """"))"),"Висоцька")</f>
        <v>Висоцька</v>
      </c>
    </row>
    <row r="986" spans="1:17" ht="75.5">
      <c r="A986" s="2"/>
      <c r="B986" s="2" t="s">
        <v>2264</v>
      </c>
      <c r="C986" s="2" t="s">
        <v>2387</v>
      </c>
      <c r="D986" s="2" t="s">
        <v>2394</v>
      </c>
      <c r="E986" s="2"/>
      <c r="F986" s="2" t="s">
        <v>20</v>
      </c>
      <c r="G986" s="2">
        <v>40</v>
      </c>
      <c r="H986" s="2">
        <v>1094.2</v>
      </c>
      <c r="I986" s="2">
        <v>34625</v>
      </c>
      <c r="J986" s="2" t="s">
        <v>2395</v>
      </c>
      <c r="K986" s="2">
        <v>17</v>
      </c>
      <c r="L986" s="2" t="s">
        <v>2396</v>
      </c>
      <c r="Q986" s="4" t="str">
        <f ca="1">IFERROR(__xludf.DUMMYFUNCTION("TRIM(SUBSTITUTE(SUBSTITUTE(D986, index(SPLIT(D986, "" ""), COLUMNS(SPLIT(D986, "" ""))), """"), index(SPLIT(D986, "" ""), COLUMNS(SPLIT(D986, "" ""))-1), """"))"),"Дубровицька")</f>
        <v>Дубровицька</v>
      </c>
    </row>
    <row r="987" spans="1:17" ht="38">
      <c r="A987" s="2"/>
      <c r="B987" s="2" t="s">
        <v>2264</v>
      </c>
      <c r="C987" s="2" t="s">
        <v>2387</v>
      </c>
      <c r="D987" s="2" t="s">
        <v>2397</v>
      </c>
      <c r="E987" s="2"/>
      <c r="F987" s="2" t="s">
        <v>32</v>
      </c>
      <c r="G987" s="2">
        <v>7</v>
      </c>
      <c r="H987" s="2">
        <v>338.6</v>
      </c>
      <c r="I987" s="2">
        <v>10493</v>
      </c>
      <c r="J987" s="2" t="s">
        <v>143</v>
      </c>
      <c r="K987" s="2">
        <v>3</v>
      </c>
      <c r="L987" s="2" t="s">
        <v>2398</v>
      </c>
      <c r="Q987" s="4" t="str">
        <f ca="1">IFERROR(__xludf.DUMMYFUNCTION("TRIM(SUBSTITUTE(SUBSTITUTE(D987, index(SPLIT(D987, "" ""), COLUMNS(SPLIT(D987, "" ""))), """"), index(SPLIT(D987, "" ""), COLUMNS(SPLIT(D987, "" ""))-1), """"))"),"Клесівська")</f>
        <v>Клесівська</v>
      </c>
    </row>
    <row r="988" spans="1:17" ht="38">
      <c r="A988" s="2"/>
      <c r="B988" s="2" t="s">
        <v>2264</v>
      </c>
      <c r="C988" s="2" t="s">
        <v>2387</v>
      </c>
      <c r="D988" s="2" t="s">
        <v>2399</v>
      </c>
      <c r="E988" s="2"/>
      <c r="F988" s="2" t="s">
        <v>28</v>
      </c>
      <c r="G988" s="2">
        <v>9</v>
      </c>
      <c r="H988" s="2">
        <v>422.5</v>
      </c>
      <c r="I988" s="2">
        <v>6164</v>
      </c>
      <c r="J988" s="2" t="s">
        <v>143</v>
      </c>
      <c r="K988" s="2">
        <v>4</v>
      </c>
      <c r="L988" s="2" t="s">
        <v>2400</v>
      </c>
      <c r="Q988" s="4" t="str">
        <f ca="1">IFERROR(__xludf.DUMMYFUNCTION("TRIM(SUBSTITUTE(SUBSTITUTE(D988, index(SPLIT(D988, "" ""), COLUMNS(SPLIT(D988, "" ""))), """"), index(SPLIT(D988, "" ""), COLUMNS(SPLIT(D988, "" ""))-1), """"))"),"Миляцька")</f>
        <v>Миляцька</v>
      </c>
    </row>
    <row r="989" spans="1:17" ht="38">
      <c r="A989" s="2"/>
      <c r="B989" s="2" t="s">
        <v>2264</v>
      </c>
      <c r="C989" s="2" t="s">
        <v>2387</v>
      </c>
      <c r="D989" s="2" t="s">
        <v>2401</v>
      </c>
      <c r="E989" s="2"/>
      <c r="F989" s="2" t="s">
        <v>28</v>
      </c>
      <c r="G989" s="2">
        <v>6</v>
      </c>
      <c r="H989" s="2">
        <v>277.60000000000002</v>
      </c>
      <c r="I989" s="2">
        <v>11256</v>
      </c>
      <c r="J989" s="2" t="s">
        <v>39</v>
      </c>
      <c r="K989" s="2">
        <v>3</v>
      </c>
      <c r="L989" s="2" t="s">
        <v>2402</v>
      </c>
      <c r="Q989" s="4" t="str">
        <f ca="1">IFERROR(__xludf.DUMMYFUNCTION("TRIM(SUBSTITUTE(SUBSTITUTE(D989, index(SPLIT(D989, "" ""), COLUMNS(SPLIT(D989, "" ""))), """"), index(SPLIT(D989, "" ""), COLUMNS(SPLIT(D989, "" ""))-1), """"))"),"Немовицька")</f>
        <v>Немовицька</v>
      </c>
    </row>
    <row r="990" spans="1:17" ht="50.5">
      <c r="A990" s="2"/>
      <c r="B990" s="2" t="s">
        <v>2264</v>
      </c>
      <c r="C990" s="2" t="s">
        <v>2387</v>
      </c>
      <c r="D990" s="2" t="s">
        <v>2403</v>
      </c>
      <c r="E990" s="2"/>
      <c r="F990" s="2" t="s">
        <v>32</v>
      </c>
      <c r="G990" s="2">
        <v>25</v>
      </c>
      <c r="H990" s="2">
        <v>1572.1</v>
      </c>
      <c r="I990" s="2">
        <v>39468</v>
      </c>
      <c r="J990" s="2" t="s">
        <v>1324</v>
      </c>
      <c r="K990" s="2">
        <v>11</v>
      </c>
      <c r="L990" s="2" t="s">
        <v>2404</v>
      </c>
      <c r="Q990" s="4" t="str">
        <f ca="1">IFERROR(__xludf.DUMMYFUNCTION("TRIM(SUBSTITUTE(SUBSTITUTE(D990, index(SPLIT(D990, "" ""), COLUMNS(SPLIT(D990, "" ""))), """"), index(SPLIT(D990, "" ""), COLUMNS(SPLIT(D990, "" ""))-1), """"))"),"Рокитнівська")</f>
        <v>Рокитнівська</v>
      </c>
    </row>
    <row r="991" spans="1:17" ht="50.5">
      <c r="A991" s="2"/>
      <c r="B991" s="2" t="s">
        <v>2264</v>
      </c>
      <c r="C991" s="2" t="s">
        <v>2387</v>
      </c>
      <c r="D991" s="2" t="s">
        <v>2405</v>
      </c>
      <c r="E991" s="2"/>
      <c r="F991" s="2" t="s">
        <v>20</v>
      </c>
      <c r="G991" s="2">
        <v>36</v>
      </c>
      <c r="H991" s="2">
        <v>815.4</v>
      </c>
      <c r="I991" s="2">
        <v>65963</v>
      </c>
      <c r="J991" s="2" t="s">
        <v>2406</v>
      </c>
      <c r="K991" s="2">
        <v>11</v>
      </c>
      <c r="L991" s="2" t="s">
        <v>2407</v>
      </c>
      <c r="Q991" s="4" t="str">
        <f ca="1">IFERROR(__xludf.DUMMYFUNCTION("TRIM(SUBSTITUTE(SUBSTITUTE(D991, index(SPLIT(D991, "" ""), COLUMNS(SPLIT(D991, "" ""))), """"), index(SPLIT(D991, "" ""), COLUMNS(SPLIT(D991, "" ""))-1), """"))"),"Сарненська")</f>
        <v>Сарненська</v>
      </c>
    </row>
    <row r="992" spans="1:17" ht="50.5">
      <c r="A992" s="2"/>
      <c r="B992" s="2" t="s">
        <v>2264</v>
      </c>
      <c r="C992" s="2" t="s">
        <v>2387</v>
      </c>
      <c r="D992" s="2" t="s">
        <v>2408</v>
      </c>
      <c r="E992" s="2"/>
      <c r="F992" s="2" t="s">
        <v>28</v>
      </c>
      <c r="G992" s="2">
        <v>4</v>
      </c>
      <c r="H992" s="2">
        <v>274.5</v>
      </c>
      <c r="I992" s="2">
        <v>6952</v>
      </c>
      <c r="J992" s="2" t="s">
        <v>249</v>
      </c>
      <c r="K992" s="2">
        <v>2</v>
      </c>
      <c r="L992" s="2" t="s">
        <v>2409</v>
      </c>
      <c r="Q992" s="4" t="str">
        <f ca="1">IFERROR(__xludf.DUMMYFUNCTION("TRIM(SUBSTITUTE(SUBSTITUTE(D992, index(SPLIT(D992, "" ""), COLUMNS(SPLIT(D992, "" ""))), """"), index(SPLIT(D992, "" ""), COLUMNS(SPLIT(D992, "" ""))-1), """"))"),"Старосільська")</f>
        <v>Старосільська</v>
      </c>
    </row>
    <row r="993" spans="1:17" ht="38">
      <c r="A993" s="2"/>
      <c r="B993" s="2" t="s">
        <v>2264</v>
      </c>
      <c r="C993" s="2" t="s">
        <v>2387</v>
      </c>
      <c r="D993" s="2" t="s">
        <v>2410</v>
      </c>
      <c r="E993" s="2"/>
      <c r="F993" s="2" t="s">
        <v>32</v>
      </c>
      <c r="G993" s="2">
        <v>10</v>
      </c>
      <c r="H993" s="2">
        <v>222.8</v>
      </c>
      <c r="I993" s="2">
        <v>7104</v>
      </c>
      <c r="J993" s="2" t="s">
        <v>46</v>
      </c>
      <c r="K993" s="2">
        <v>2</v>
      </c>
      <c r="L993" s="2" t="s">
        <v>2411</v>
      </c>
      <c r="Q993" s="4" t="str">
        <f ca="1">IFERROR(__xludf.DUMMYFUNCTION("TRIM(SUBSTITUTE(SUBSTITUTE(D993, index(SPLIT(D993, "" ""), COLUMNS(SPLIT(D993, "" ""))), """"), index(SPLIT(D993, "" ""), COLUMNS(SPLIT(D993, "" ""))-1), """"))"),"Степанська")</f>
        <v>Степанська</v>
      </c>
    </row>
    <row r="994" spans="1:17" ht="38">
      <c r="A994" s="2"/>
      <c r="B994" s="2" t="s">
        <v>2412</v>
      </c>
      <c r="C994" s="2" t="s">
        <v>2413</v>
      </c>
      <c r="D994" s="2" t="s">
        <v>2414</v>
      </c>
      <c r="E994" s="2"/>
      <c r="F994" s="2" t="s">
        <v>28</v>
      </c>
      <c r="G994" s="2">
        <v>13</v>
      </c>
      <c r="H994" s="2">
        <v>380.1</v>
      </c>
      <c r="I994" s="2">
        <v>4411</v>
      </c>
      <c r="J994" s="2" t="s">
        <v>63</v>
      </c>
      <c r="K994" s="2">
        <v>5</v>
      </c>
      <c r="L994" s="2" t="s">
        <v>2415</v>
      </c>
      <c r="Q994" s="4" t="str">
        <f ca="1">IFERROR(__xludf.DUMMYFUNCTION("TRIM(SUBSTITUTE(SUBSTITUTE(D994, index(SPLIT(D994, "" ""), COLUMNS(SPLIT(D994, "" ""))), """"), index(SPLIT(D994, "" ""), COLUMNS(SPLIT(D994, "" ""))-1), """"))"),"Бочечківська")</f>
        <v>Бочечківська</v>
      </c>
    </row>
    <row r="995" spans="1:17" ht="88">
      <c r="A995" s="2"/>
      <c r="B995" s="2" t="s">
        <v>2412</v>
      </c>
      <c r="C995" s="2" t="s">
        <v>2413</v>
      </c>
      <c r="D995" s="2" t="s">
        <v>2416</v>
      </c>
      <c r="E995" s="2"/>
      <c r="F995" s="2" t="s">
        <v>20</v>
      </c>
      <c r="G995" s="2">
        <v>50</v>
      </c>
      <c r="H995" s="2">
        <v>897.6</v>
      </c>
      <c r="I995" s="2">
        <v>20172</v>
      </c>
      <c r="J995" s="2" t="s">
        <v>39</v>
      </c>
      <c r="K995" s="2">
        <v>19</v>
      </c>
      <c r="L995" s="2" t="s">
        <v>2417</v>
      </c>
      <c r="Q995" s="4" t="str">
        <f ca="1">IFERROR(__xludf.DUMMYFUNCTION("TRIM(SUBSTITUTE(SUBSTITUTE(D995, index(SPLIT(D995, "" ""), COLUMNS(SPLIT(D995, "" ""))), """"), index(SPLIT(D995, "" ""), COLUMNS(SPLIT(D995, "" ""))-1), """"))"),"Буринська")</f>
        <v>Буринська</v>
      </c>
    </row>
    <row r="996" spans="1:17" ht="50.5">
      <c r="A996" s="2"/>
      <c r="B996" s="2" t="s">
        <v>2412</v>
      </c>
      <c r="C996" s="2" t="s">
        <v>2413</v>
      </c>
      <c r="D996" s="2" t="s">
        <v>2418</v>
      </c>
      <c r="E996" s="2"/>
      <c r="F996" s="2" t="s">
        <v>32</v>
      </c>
      <c r="G996" s="2">
        <v>33</v>
      </c>
      <c r="H996" s="2">
        <v>525.9</v>
      </c>
      <c r="I996" s="2">
        <v>10001</v>
      </c>
      <c r="J996" s="2" t="s">
        <v>39</v>
      </c>
      <c r="K996" s="2">
        <v>12</v>
      </c>
      <c r="L996" s="2" t="s">
        <v>2419</v>
      </c>
      <c r="Q996" s="4" t="str">
        <f ca="1">IFERROR(__xludf.DUMMYFUNCTION("TRIM(SUBSTITUTE(SUBSTITUTE(D996, index(SPLIT(D996, "" ""), COLUMNS(SPLIT(D996, "" ""))), """"), index(SPLIT(D996, "" ""), COLUMNS(SPLIT(D996, "" ""))-1), """"))"),"Дубов’язівська")</f>
        <v>Дубов’язівська</v>
      </c>
    </row>
    <row r="997" spans="1:17" ht="38">
      <c r="A997" s="2"/>
      <c r="B997" s="2" t="s">
        <v>2412</v>
      </c>
      <c r="C997" s="2" t="s">
        <v>2413</v>
      </c>
      <c r="D997" s="2" t="s">
        <v>2420</v>
      </c>
      <c r="E997" s="2"/>
      <c r="F997" s="2" t="s">
        <v>20</v>
      </c>
      <c r="G997" s="2">
        <v>4</v>
      </c>
      <c r="H997" s="2">
        <v>100.8</v>
      </c>
      <c r="I997" s="2">
        <v>88758</v>
      </c>
      <c r="J997" s="2" t="s">
        <v>2421</v>
      </c>
      <c r="K997" s="2">
        <v>2</v>
      </c>
      <c r="L997" s="2" t="s">
        <v>2422</v>
      </c>
      <c r="Q997" s="4" t="str">
        <f ca="1">IFERROR(__xludf.DUMMYFUNCTION("TRIM(SUBSTITUTE(SUBSTITUTE(D997, index(SPLIT(D997, "" ""), COLUMNS(SPLIT(D997, "" ""))), """"), index(SPLIT(D997, "" ""), COLUMNS(SPLIT(D997, "" ""))-1), """"))"),"Конотопська")</f>
        <v>Конотопська</v>
      </c>
    </row>
    <row r="998" spans="1:17" ht="100.5">
      <c r="A998" s="2"/>
      <c r="B998" s="2" t="s">
        <v>2412</v>
      </c>
      <c r="C998" s="2" t="s">
        <v>2413</v>
      </c>
      <c r="D998" s="2" t="s">
        <v>2423</v>
      </c>
      <c r="E998" s="2"/>
      <c r="F998" s="2" t="s">
        <v>20</v>
      </c>
      <c r="G998" s="2">
        <v>74</v>
      </c>
      <c r="H998" s="2">
        <v>1283</v>
      </c>
      <c r="I998" s="2">
        <v>35733</v>
      </c>
      <c r="J998" s="2" t="s">
        <v>63</v>
      </c>
      <c r="K998" s="2">
        <v>22</v>
      </c>
      <c r="L998" s="2" t="s">
        <v>2424</v>
      </c>
      <c r="Q998" s="4" t="str">
        <f ca="1">IFERROR(__xludf.DUMMYFUNCTION("TRIM(SUBSTITUTE(SUBSTITUTE(D998, index(SPLIT(D998, "" ""), COLUMNS(SPLIT(D998, "" ""))), """"), index(SPLIT(D998, "" ""), COLUMNS(SPLIT(D998, "" ""))-1), """"))"),"Кролевецька")</f>
        <v>Кролевецька</v>
      </c>
    </row>
    <row r="999" spans="1:17" ht="50.5">
      <c r="A999" s="2"/>
      <c r="B999" s="2" t="s">
        <v>2412</v>
      </c>
      <c r="C999" s="2" t="s">
        <v>2413</v>
      </c>
      <c r="D999" s="2" t="s">
        <v>2425</v>
      </c>
      <c r="E999" s="2"/>
      <c r="F999" s="2" t="s">
        <v>28</v>
      </c>
      <c r="G999" s="2">
        <v>37</v>
      </c>
      <c r="H999" s="2">
        <v>517.4</v>
      </c>
      <c r="I999" s="2">
        <v>5031</v>
      </c>
      <c r="J999" s="2" t="s">
        <v>39</v>
      </c>
      <c r="K999" s="2">
        <v>10</v>
      </c>
      <c r="L999" s="2" t="s">
        <v>2426</v>
      </c>
      <c r="Q999" s="4" t="str">
        <f ca="1">IFERROR(__xludf.DUMMYFUNCTION("TRIM(SUBSTITUTE(SUBSTITUTE(D999, index(SPLIT(D999, "" ""), COLUMNS(SPLIT(D999, "" ""))), """"), index(SPLIT(D999, "" ""), COLUMNS(SPLIT(D999, "" ""))-1), """"))"),"Новослобідська")</f>
        <v>Новослобідська</v>
      </c>
    </row>
    <row r="1000" spans="1:17" ht="75.5">
      <c r="A1000" s="2"/>
      <c r="B1000" s="2" t="s">
        <v>2412</v>
      </c>
      <c r="C1000" s="2" t="s">
        <v>2413</v>
      </c>
      <c r="D1000" s="2" t="s">
        <v>2427</v>
      </c>
      <c r="E1000" s="2"/>
      <c r="F1000" s="2" t="s">
        <v>28</v>
      </c>
      <c r="G1000" s="2">
        <v>44</v>
      </c>
      <c r="H1000" s="2">
        <v>893.2</v>
      </c>
      <c r="I1000" s="2">
        <v>13402</v>
      </c>
      <c r="J1000" s="2" t="s">
        <v>2428</v>
      </c>
      <c r="K1000" s="2">
        <v>16</v>
      </c>
      <c r="L1000" s="2" t="s">
        <v>2429</v>
      </c>
      <c r="Q1000" s="4" t="str">
        <f ca="1">IFERROR(__xludf.DUMMYFUNCTION("TRIM(SUBSTITUTE(SUBSTITUTE(D1000, index(SPLIT(D1000, "" ""), COLUMNS(SPLIT(D1000, "" ""))), """"), index(SPLIT(D1000, "" ""), COLUMNS(SPLIT(D1000, "" ""))-1), """"))"),"Попівська")</f>
        <v>Попівська</v>
      </c>
    </row>
    <row r="1001" spans="1:17" ht="63">
      <c r="A1001" s="2"/>
      <c r="B1001" s="2" t="s">
        <v>2412</v>
      </c>
      <c r="C1001" s="2" t="s">
        <v>2413</v>
      </c>
      <c r="D1001" s="2" t="s">
        <v>2430</v>
      </c>
      <c r="E1001" s="2"/>
      <c r="F1001" s="2" t="s">
        <v>20</v>
      </c>
      <c r="G1001" s="2">
        <v>56</v>
      </c>
      <c r="H1001" s="2">
        <v>588.5</v>
      </c>
      <c r="I1001" s="2">
        <v>20730</v>
      </c>
      <c r="J1001" s="2" t="s">
        <v>310</v>
      </c>
      <c r="K1001" s="2">
        <v>14</v>
      </c>
      <c r="L1001" s="2" t="s">
        <v>2431</v>
      </c>
      <c r="Q1001" s="4" t="str">
        <f ca="1">IFERROR(__xludf.DUMMYFUNCTION("TRIM(SUBSTITUTE(SUBSTITUTE(D1001, index(SPLIT(D1001, "" ""), COLUMNS(SPLIT(D1001, "" ""))), """"), index(SPLIT(D1001, "" ""), COLUMNS(SPLIT(D1001, "" ""))-1), """"))"),"Путивльська")</f>
        <v>Путивльська</v>
      </c>
    </row>
    <row r="1002" spans="1:17" ht="50.5">
      <c r="A1002" s="2"/>
      <c r="B1002" s="2" t="s">
        <v>2412</v>
      </c>
      <c r="C1002" s="2" t="s">
        <v>2432</v>
      </c>
      <c r="D1002" s="2" t="s">
        <v>2433</v>
      </c>
      <c r="E1002" s="2"/>
      <c r="F1002" s="2" t="s">
        <v>28</v>
      </c>
      <c r="G1002" s="2">
        <v>12</v>
      </c>
      <c r="H1002" s="2">
        <v>305.7</v>
      </c>
      <c r="I1002" s="2">
        <v>5038</v>
      </c>
      <c r="J1002" s="2" t="s">
        <v>33</v>
      </c>
      <c r="K1002" s="2">
        <v>3</v>
      </c>
      <c r="L1002" s="2" t="s">
        <v>2434</v>
      </c>
      <c r="Q1002" s="4" t="str">
        <f ca="1">IFERROR(__xludf.DUMMYFUNCTION("TRIM(SUBSTITUTE(SUBSTITUTE(D1002, index(SPLIT(D1002, "" ""), COLUMNS(SPLIT(D1002, "" ""))), """"), index(SPLIT(D1002, "" ""), COLUMNS(SPLIT(D1002, "" ""))-1), """"))"),"Боромлянська")</f>
        <v>Боромлянська</v>
      </c>
    </row>
    <row r="1003" spans="1:17" ht="50.5">
      <c r="A1003" s="2"/>
      <c r="B1003" s="2" t="s">
        <v>2412</v>
      </c>
      <c r="C1003" s="2" t="s">
        <v>2432</v>
      </c>
      <c r="D1003" s="2" t="s">
        <v>2435</v>
      </c>
      <c r="E1003" s="2"/>
      <c r="F1003" s="2" t="s">
        <v>32</v>
      </c>
      <c r="G1003" s="2">
        <v>24</v>
      </c>
      <c r="H1003" s="2">
        <v>513.6</v>
      </c>
      <c r="I1003" s="2">
        <v>10230</v>
      </c>
      <c r="J1003" s="2" t="s">
        <v>2436</v>
      </c>
      <c r="K1003" s="2">
        <v>9</v>
      </c>
      <c r="L1003" s="2" t="s">
        <v>2437</v>
      </c>
      <c r="Q1003" s="4" t="str">
        <f ca="1">IFERROR(__xludf.DUMMYFUNCTION("TRIM(SUBSTITUTE(SUBSTITUTE(D1003, index(SPLIT(D1003, "" ""), COLUMNS(SPLIT(D1003, "" ""))), """"), index(SPLIT(D1003, "" ""), COLUMNS(SPLIT(D1003, "" ""))-1), """"))"),"Великописарівська")</f>
        <v>Великописарівська</v>
      </c>
    </row>
    <row r="1004" spans="1:17" ht="38">
      <c r="A1004" s="2"/>
      <c r="B1004" s="2" t="s">
        <v>2412</v>
      </c>
      <c r="C1004" s="2" t="s">
        <v>2432</v>
      </c>
      <c r="D1004" s="2" t="s">
        <v>2438</v>
      </c>
      <c r="E1004" s="2"/>
      <c r="F1004" s="2" t="s">
        <v>28</v>
      </c>
      <c r="G1004" s="2">
        <v>17</v>
      </c>
      <c r="H1004" s="2">
        <v>243</v>
      </c>
      <c r="I1004" s="2">
        <v>5397</v>
      </c>
      <c r="J1004" s="2" t="s">
        <v>33</v>
      </c>
      <c r="K1004" s="2">
        <v>5</v>
      </c>
      <c r="L1004" s="2" t="s">
        <v>2439</v>
      </c>
      <c r="Q1004" s="4" t="str">
        <f ca="1">IFERROR(__xludf.DUMMYFUNCTION("TRIM(SUBSTITUTE(SUBSTITUTE(D1004, index(SPLIT(D1004, "" ""), COLUMNS(SPLIT(D1004, "" ""))), """"), index(SPLIT(D1004, "" ""), COLUMNS(SPLIT(D1004, "" ""))-1), """"))"),"Грунська")</f>
        <v>Грунська</v>
      </c>
    </row>
    <row r="1005" spans="1:17" ht="38">
      <c r="A1005" s="2"/>
      <c r="B1005" s="2" t="s">
        <v>2412</v>
      </c>
      <c r="C1005" s="2" t="s">
        <v>2432</v>
      </c>
      <c r="D1005" s="2" t="s">
        <v>2440</v>
      </c>
      <c r="E1005" s="2"/>
      <c r="F1005" s="2" t="s">
        <v>32</v>
      </c>
      <c r="G1005" s="2">
        <v>14</v>
      </c>
      <c r="H1005" s="2">
        <v>270.89999999999998</v>
      </c>
      <c r="I1005" s="2">
        <v>6205</v>
      </c>
      <c r="J1005" s="2" t="s">
        <v>33</v>
      </c>
      <c r="K1005" s="2">
        <v>6</v>
      </c>
      <c r="L1005" s="2" t="s">
        <v>2441</v>
      </c>
      <c r="Q1005" s="4" t="str">
        <f ca="1">IFERROR(__xludf.DUMMYFUNCTION("TRIM(SUBSTITUTE(SUBSTITUTE(D1005, index(SPLIT(D1005, "" ""), COLUMNS(SPLIT(D1005, "" ""))), """"), index(SPLIT(D1005, "" ""), COLUMNS(SPLIT(D1005, "" ""))-1), """"))"),"Кириківська")</f>
        <v>Кириківська</v>
      </c>
    </row>
    <row r="1006" spans="1:17" ht="38">
      <c r="A1006" s="2"/>
      <c r="B1006" s="2" t="s">
        <v>2412</v>
      </c>
      <c r="C1006" s="2" t="s">
        <v>2432</v>
      </c>
      <c r="D1006" s="2" t="s">
        <v>2442</v>
      </c>
      <c r="E1006" s="2"/>
      <c r="F1006" s="2" t="s">
        <v>28</v>
      </c>
      <c r="G1006" s="2">
        <v>15</v>
      </c>
      <c r="H1006" s="2">
        <v>131</v>
      </c>
      <c r="I1006" s="2">
        <v>3060</v>
      </c>
      <c r="J1006" s="2" t="s">
        <v>39</v>
      </c>
      <c r="K1006" s="2">
        <v>3</v>
      </c>
      <c r="L1006" s="2" t="s">
        <v>2443</v>
      </c>
      <c r="Q1006" s="4" t="str">
        <f ca="1">IFERROR(__xludf.DUMMYFUNCTION("TRIM(SUBSTITUTE(SUBSTITUTE(D1006, index(SPLIT(D1006, "" ""), COLUMNS(SPLIT(D1006, "" ""))), """"), index(SPLIT(D1006, "" ""), COLUMNS(SPLIT(D1006, "" ""))-1), """"))"),"Комишанська")</f>
        <v>Комишанська</v>
      </c>
    </row>
    <row r="1007" spans="1:17" ht="38">
      <c r="A1007" s="2"/>
      <c r="B1007" s="2" t="s">
        <v>2412</v>
      </c>
      <c r="C1007" s="2" t="s">
        <v>2432</v>
      </c>
      <c r="D1007" s="2" t="s">
        <v>2444</v>
      </c>
      <c r="E1007" s="2"/>
      <c r="F1007" s="2" t="s">
        <v>20</v>
      </c>
      <c r="G1007" s="2">
        <v>11</v>
      </c>
      <c r="H1007" s="2">
        <v>82.8</v>
      </c>
      <c r="I1007" s="2">
        <v>48221</v>
      </c>
      <c r="J1007" s="2" t="s">
        <v>2445</v>
      </c>
      <c r="K1007" s="2">
        <v>2</v>
      </c>
      <c r="L1007" s="2" t="s">
        <v>2446</v>
      </c>
      <c r="Q1007" s="4" t="str">
        <f ca="1">IFERROR(__xludf.DUMMYFUNCTION("TRIM(SUBSTITUTE(SUBSTITUTE(D1007, index(SPLIT(D1007, "" ""), COLUMNS(SPLIT(D1007, "" ""))), """"), index(SPLIT(D1007, "" ""), COLUMNS(SPLIT(D1007, "" ""))-1), """"))"),"Охтирська")</f>
        <v>Охтирська</v>
      </c>
    </row>
    <row r="1008" spans="1:17" ht="63">
      <c r="A1008" s="2"/>
      <c r="B1008" s="2" t="s">
        <v>2412</v>
      </c>
      <c r="C1008" s="2" t="s">
        <v>2432</v>
      </c>
      <c r="D1008" s="2" t="s">
        <v>92</v>
      </c>
      <c r="E1008" s="2"/>
      <c r="F1008" s="2" t="s">
        <v>20</v>
      </c>
      <c r="G1008" s="2">
        <v>38</v>
      </c>
      <c r="H1008" s="2">
        <v>788.1</v>
      </c>
      <c r="I1008" s="2">
        <v>28565</v>
      </c>
      <c r="J1008" s="2" t="s">
        <v>39</v>
      </c>
      <c r="K1008" s="2">
        <v>15</v>
      </c>
      <c r="L1008" s="2" t="s">
        <v>2447</v>
      </c>
      <c r="Q1008" s="4" t="str">
        <f ca="1">IFERROR(__xludf.DUMMYFUNCTION("TRIM(SUBSTITUTE(SUBSTITUTE(D1008, index(SPLIT(D1008, "" ""), COLUMNS(SPLIT(D1008, "" ""))), """"), index(SPLIT(D1008, "" ""), COLUMNS(SPLIT(D1008, "" ""))-1), """"))"),"Тростянецька")</f>
        <v>Тростянецька</v>
      </c>
    </row>
    <row r="1009" spans="1:17" ht="50.5">
      <c r="A1009" s="2"/>
      <c r="B1009" s="2" t="s">
        <v>2412</v>
      </c>
      <c r="C1009" s="2" t="s">
        <v>2432</v>
      </c>
      <c r="D1009" s="2" t="s">
        <v>394</v>
      </c>
      <c r="E1009" s="2"/>
      <c r="F1009" s="2" t="s">
        <v>28</v>
      </c>
      <c r="G1009" s="2">
        <v>32</v>
      </c>
      <c r="H1009" s="2">
        <v>586.79999999999995</v>
      </c>
      <c r="I1009" s="2">
        <v>9806</v>
      </c>
      <c r="J1009" s="2" t="s">
        <v>39</v>
      </c>
      <c r="K1009" s="2">
        <v>9</v>
      </c>
      <c r="L1009" s="2" t="s">
        <v>2448</v>
      </c>
      <c r="Q1009" s="4" t="str">
        <f ca="1">IFERROR(__xludf.DUMMYFUNCTION("TRIM(SUBSTITUTE(SUBSTITUTE(D1009, index(SPLIT(D1009, "" ""), COLUMNS(SPLIT(D1009, "" ""))), """"), index(SPLIT(D1009, "" ""), COLUMNS(SPLIT(D1009, "" ""))-1), """"))"),"Чернеччинська")</f>
        <v>Чернеччинська</v>
      </c>
    </row>
    <row r="1010" spans="1:17" ht="38">
      <c r="A1010" s="2"/>
      <c r="B1010" s="2" t="s">
        <v>2412</v>
      </c>
      <c r="C1010" s="2" t="s">
        <v>2432</v>
      </c>
      <c r="D1010" s="2" t="s">
        <v>2449</v>
      </c>
      <c r="E1010" s="2"/>
      <c r="F1010" s="2" t="s">
        <v>32</v>
      </c>
      <c r="G1010" s="2">
        <v>22</v>
      </c>
      <c r="H1010" s="2">
        <v>273.7</v>
      </c>
      <c r="I1010" s="2">
        <v>5624</v>
      </c>
      <c r="J1010" s="2" t="s">
        <v>178</v>
      </c>
      <c r="K1010" s="2">
        <v>5</v>
      </c>
      <c r="L1010" s="2" t="s">
        <v>2450</v>
      </c>
      <c r="Q1010" s="4" t="str">
        <f ca="1">IFERROR(__xludf.DUMMYFUNCTION("TRIM(SUBSTITUTE(SUBSTITUTE(D1010, index(SPLIT(D1010, "" ""), COLUMNS(SPLIT(D1010, "" ""))), """"), index(SPLIT(D1010, "" ""), COLUMNS(SPLIT(D1010, "" ""))-1), """"))"),"Чупахівська")</f>
        <v>Чупахівська</v>
      </c>
    </row>
    <row r="1011" spans="1:17" ht="50.5">
      <c r="A1011" s="2"/>
      <c r="B1011" s="2" t="s">
        <v>2412</v>
      </c>
      <c r="C1011" s="2" t="s">
        <v>2451</v>
      </c>
      <c r="D1011" s="2" t="s">
        <v>2452</v>
      </c>
      <c r="E1011" s="2"/>
      <c r="F1011" s="2" t="s">
        <v>28</v>
      </c>
      <c r="G1011" s="2">
        <v>34</v>
      </c>
      <c r="H1011" s="2">
        <v>605.5</v>
      </c>
      <c r="I1011" s="2">
        <v>8582</v>
      </c>
      <c r="J1011" s="2" t="s">
        <v>93</v>
      </c>
      <c r="K1011" s="2">
        <v>11</v>
      </c>
      <c r="L1011" s="2" t="s">
        <v>2453</v>
      </c>
      <c r="Q1011" s="4" t="str">
        <f ca="1">IFERROR(__xludf.DUMMYFUNCTION("TRIM(SUBSTITUTE(SUBSTITUTE(D1011, index(SPLIT(D1011, "" ""), COLUMNS(SPLIT(D1011, "" ""))), """"), index(SPLIT(D1011, "" ""), COLUMNS(SPLIT(D1011, "" ""))-1), """"))"),"Андріяшівська")</f>
        <v>Андріяшівська</v>
      </c>
    </row>
    <row r="1012" spans="1:17" ht="38">
      <c r="A1012" s="2"/>
      <c r="B1012" s="2" t="s">
        <v>2412</v>
      </c>
      <c r="C1012" s="2" t="s">
        <v>2451</v>
      </c>
      <c r="D1012" s="2" t="s">
        <v>622</v>
      </c>
      <c r="E1012" s="2"/>
      <c r="F1012" s="2" t="s">
        <v>28</v>
      </c>
      <c r="G1012" s="2">
        <v>22</v>
      </c>
      <c r="H1012" s="2">
        <v>260.60000000000002</v>
      </c>
      <c r="I1012" s="2">
        <v>4636</v>
      </c>
      <c r="J1012" s="2" t="s">
        <v>63</v>
      </c>
      <c r="K1012" s="2">
        <v>5</v>
      </c>
      <c r="L1012" s="2" t="s">
        <v>2454</v>
      </c>
      <c r="Q1012" s="4" t="str">
        <f ca="1">IFERROR(__xludf.DUMMYFUNCTION("TRIM(SUBSTITUTE(SUBSTITUTE(D1012, index(SPLIT(D1012, "" ""), COLUMNS(SPLIT(D1012, "" ""))), """"), index(SPLIT(D1012, "" ""), COLUMNS(SPLIT(D1012, "" ""))-1), """"))"),"Вільшанська")</f>
        <v>Вільшанська</v>
      </c>
    </row>
    <row r="1013" spans="1:17" ht="38">
      <c r="A1013" s="2"/>
      <c r="B1013" s="2" t="s">
        <v>2412</v>
      </c>
      <c r="C1013" s="2" t="s">
        <v>2451</v>
      </c>
      <c r="D1013" s="2" t="s">
        <v>2455</v>
      </c>
      <c r="E1013" s="2"/>
      <c r="F1013" s="2" t="s">
        <v>28</v>
      </c>
      <c r="G1013" s="2">
        <v>20</v>
      </c>
      <c r="H1013" s="2">
        <v>192.5</v>
      </c>
      <c r="I1013" s="2">
        <v>3724</v>
      </c>
      <c r="J1013" s="2" t="s">
        <v>39</v>
      </c>
      <c r="K1013" s="2">
        <v>3</v>
      </c>
      <c r="L1013" s="2" t="s">
        <v>2456</v>
      </c>
      <c r="Q1013" s="4" t="str">
        <f ca="1">IFERROR(__xludf.DUMMYFUNCTION("TRIM(SUBSTITUTE(SUBSTITUTE(D1013, index(SPLIT(D1013, "" ""), COLUMNS(SPLIT(D1013, "" ""))), """"), index(SPLIT(D1013, "" ""), COLUMNS(SPLIT(D1013, "" ""))-1), """"))"),"Коровинська")</f>
        <v>Коровинська</v>
      </c>
    </row>
    <row r="1014" spans="1:17" ht="63">
      <c r="A1014" s="2"/>
      <c r="B1014" s="2" t="s">
        <v>2412</v>
      </c>
      <c r="C1014" s="2" t="s">
        <v>2451</v>
      </c>
      <c r="D1014" s="2" t="s">
        <v>2457</v>
      </c>
      <c r="E1014" s="2"/>
      <c r="F1014" s="2" t="s">
        <v>32</v>
      </c>
      <c r="G1014" s="2">
        <v>40</v>
      </c>
      <c r="H1014" s="2">
        <v>587.70000000000005</v>
      </c>
      <c r="I1014" s="2">
        <v>12734</v>
      </c>
      <c r="J1014" s="2" t="s">
        <v>46</v>
      </c>
      <c r="K1014" s="2">
        <v>13</v>
      </c>
      <c r="L1014" s="2" t="s">
        <v>2458</v>
      </c>
      <c r="Q1014" s="4" t="str">
        <f ca="1">IFERROR(__xludf.DUMMYFUNCTION("TRIM(SUBSTITUTE(SUBSTITUTE(D1014, index(SPLIT(D1014, "" ""), COLUMNS(SPLIT(D1014, "" ""))), """"), index(SPLIT(D1014, "" ""), COLUMNS(SPLIT(D1014, "" ""))-1), """"))"),"Липоводолинська")</f>
        <v>Липоводолинська</v>
      </c>
    </row>
    <row r="1015" spans="1:17" ht="50.5">
      <c r="A1015" s="2"/>
      <c r="B1015" s="2" t="s">
        <v>2412</v>
      </c>
      <c r="C1015" s="2" t="s">
        <v>2451</v>
      </c>
      <c r="D1015" s="2" t="s">
        <v>2459</v>
      </c>
      <c r="E1015" s="2"/>
      <c r="F1015" s="2" t="s">
        <v>32</v>
      </c>
      <c r="G1015" s="2">
        <v>53</v>
      </c>
      <c r="H1015" s="2">
        <v>583.79999999999995</v>
      </c>
      <c r="I1015" s="2">
        <v>14215</v>
      </c>
      <c r="J1015" s="2" t="s">
        <v>33</v>
      </c>
      <c r="K1015" s="2">
        <v>11</v>
      </c>
      <c r="L1015" s="2" t="s">
        <v>2460</v>
      </c>
      <c r="Q1015" s="4" t="str">
        <f ca="1">IFERROR(__xludf.DUMMYFUNCTION("TRIM(SUBSTITUTE(SUBSTITUTE(D1015, index(SPLIT(D1015, "" ""), COLUMNS(SPLIT(D1015, "" ""))), """"), index(SPLIT(D1015, "" ""), COLUMNS(SPLIT(D1015, "" ""))-1), """"))"),"Недригайлівська")</f>
        <v>Недригайлівська</v>
      </c>
    </row>
    <row r="1016" spans="1:17" ht="75.5">
      <c r="A1016" s="2"/>
      <c r="B1016" s="2" t="s">
        <v>2412</v>
      </c>
      <c r="C1016" s="2" t="s">
        <v>2451</v>
      </c>
      <c r="D1016" s="2" t="s">
        <v>2461</v>
      </c>
      <c r="E1016" s="2"/>
      <c r="F1016" s="2" t="s">
        <v>20</v>
      </c>
      <c r="G1016" s="2">
        <v>75</v>
      </c>
      <c r="H1016" s="2">
        <v>969.1</v>
      </c>
      <c r="I1016" s="2">
        <v>55225</v>
      </c>
      <c r="J1016" s="2" t="s">
        <v>2462</v>
      </c>
      <c r="K1016" s="2">
        <v>17</v>
      </c>
      <c r="L1016" s="2" t="s">
        <v>2463</v>
      </c>
      <c r="Q1016" s="4" t="str">
        <f ca="1">IFERROR(__xludf.DUMMYFUNCTION("TRIM(SUBSTITUTE(SUBSTITUTE(D1016, index(SPLIT(D1016, "" ""), COLUMNS(SPLIT(D1016, "" ""))), """"), index(SPLIT(D1016, "" ""), COLUMNS(SPLIT(D1016, "" ""))-1), """"))"),"Роменська")</f>
        <v>Роменська</v>
      </c>
    </row>
    <row r="1017" spans="1:17" ht="38">
      <c r="A1017" s="2"/>
      <c r="B1017" s="2" t="s">
        <v>2412</v>
      </c>
      <c r="C1017" s="2" t="s">
        <v>2451</v>
      </c>
      <c r="D1017" s="2" t="s">
        <v>2464</v>
      </c>
      <c r="E1017" s="2"/>
      <c r="F1017" s="2" t="s">
        <v>28</v>
      </c>
      <c r="G1017" s="2">
        <v>28</v>
      </c>
      <c r="H1017" s="2">
        <v>295.39999999999998</v>
      </c>
      <c r="I1017" s="2">
        <v>4692</v>
      </c>
      <c r="J1017" s="2" t="s">
        <v>2465</v>
      </c>
      <c r="K1017" s="2">
        <v>6</v>
      </c>
      <c r="L1017" s="2" t="s">
        <v>2466</v>
      </c>
      <c r="Q1017" s="4" t="str">
        <f ca="1">IFERROR(__xludf.DUMMYFUNCTION("TRIM(SUBSTITUTE(SUBSTITUTE(D1017, index(SPLIT(D1017, "" ""), COLUMNS(SPLIT(D1017, "" ""))), """"), index(SPLIT(D1017, "" ""), COLUMNS(SPLIT(D1017, "" ""))-1), """"))"),"Синівська")</f>
        <v>Синівська</v>
      </c>
    </row>
    <row r="1018" spans="1:17" ht="38">
      <c r="A1018" s="2"/>
      <c r="B1018" s="2" t="s">
        <v>2412</v>
      </c>
      <c r="C1018" s="2" t="s">
        <v>2451</v>
      </c>
      <c r="D1018" s="2" t="s">
        <v>2467</v>
      </c>
      <c r="E1018" s="2"/>
      <c r="F1018" s="2" t="s">
        <v>28</v>
      </c>
      <c r="G1018" s="2">
        <v>25</v>
      </c>
      <c r="H1018" s="2">
        <v>387.5</v>
      </c>
      <c r="I1018" s="2">
        <v>5850</v>
      </c>
      <c r="J1018" s="2" t="s">
        <v>2468</v>
      </c>
      <c r="K1018" s="2">
        <v>6</v>
      </c>
      <c r="L1018" s="2" t="s">
        <v>2469</v>
      </c>
      <c r="Q1018" s="4" t="str">
        <f ca="1">IFERROR(__xludf.DUMMYFUNCTION("TRIM(SUBSTITUTE(SUBSTITUTE(D1018, index(SPLIT(D1018, "" ""), COLUMNS(SPLIT(D1018, "" ""))), """"), index(SPLIT(D1018, "" ""), COLUMNS(SPLIT(D1018, "" ""))-1), """"))"),"Хмелівська")</f>
        <v>Хмелівська</v>
      </c>
    </row>
    <row r="1019" spans="1:17" ht="38">
      <c r="A1019" s="2"/>
      <c r="B1019" s="2" t="s">
        <v>2412</v>
      </c>
      <c r="C1019" s="2" t="s">
        <v>2470</v>
      </c>
      <c r="D1019" s="2" t="s">
        <v>2471</v>
      </c>
      <c r="E1019" s="2"/>
      <c r="F1019" s="2" t="s">
        <v>28</v>
      </c>
      <c r="G1019" s="2">
        <v>4</v>
      </c>
      <c r="H1019" s="2">
        <v>77.900000000000006</v>
      </c>
      <c r="I1019" s="2">
        <v>3493</v>
      </c>
      <c r="J1019" s="2" t="s">
        <v>33</v>
      </c>
      <c r="K1019" s="2">
        <v>2</v>
      </c>
      <c r="L1019" s="2" t="s">
        <v>2472</v>
      </c>
      <c r="Q1019" s="4" t="str">
        <f ca="1">IFERROR(__xludf.DUMMYFUNCTION("TRIM(SUBSTITUTE(SUBSTITUTE(D1019, index(SPLIT(D1019, "" ""), COLUMNS(SPLIT(D1019, "" ""))), """"), index(SPLIT(D1019, "" ""), COLUMNS(SPLIT(D1019, "" ""))-1), """"))"),"Бездрицька")</f>
        <v>Бездрицька</v>
      </c>
    </row>
    <row r="1020" spans="1:17" ht="50.5">
      <c r="A1020" s="2"/>
      <c r="B1020" s="2" t="s">
        <v>2412</v>
      </c>
      <c r="C1020" s="2" t="s">
        <v>2470</v>
      </c>
      <c r="D1020" s="2" t="s">
        <v>2473</v>
      </c>
      <c r="E1020" s="2"/>
      <c r="F1020" s="2" t="s">
        <v>20</v>
      </c>
      <c r="G1020" s="2">
        <v>54</v>
      </c>
      <c r="H1020" s="2">
        <v>543.20000000000005</v>
      </c>
      <c r="I1020" s="2">
        <v>22966</v>
      </c>
      <c r="J1020" s="2" t="s">
        <v>46</v>
      </c>
      <c r="K1020" s="2">
        <v>11</v>
      </c>
      <c r="L1020" s="2" t="s">
        <v>2474</v>
      </c>
      <c r="Q1020" s="4" t="str">
        <f ca="1">IFERROR(__xludf.DUMMYFUNCTION("TRIM(SUBSTITUTE(SUBSTITUTE(D1020, index(SPLIT(D1020, "" ""), COLUMNS(SPLIT(D1020, "" ""))), """"), index(SPLIT(D1020, "" ""), COLUMNS(SPLIT(D1020, "" ""))-1), """"))"),"Білопільська")</f>
        <v>Білопільська</v>
      </c>
    </row>
    <row r="1021" spans="1:17" ht="50.5">
      <c r="A1021" s="2"/>
      <c r="B1021" s="2" t="s">
        <v>2412</v>
      </c>
      <c r="C1021" s="2" t="s">
        <v>2470</v>
      </c>
      <c r="D1021" s="2" t="s">
        <v>2475</v>
      </c>
      <c r="E1021" s="2"/>
      <c r="F1021" s="2" t="s">
        <v>28</v>
      </c>
      <c r="G1021" s="2">
        <v>10</v>
      </c>
      <c r="H1021" s="2">
        <v>176.7</v>
      </c>
      <c r="I1021" s="2">
        <v>6136</v>
      </c>
      <c r="J1021" s="2" t="s">
        <v>39</v>
      </c>
      <c r="K1021" s="2">
        <v>2</v>
      </c>
      <c r="L1021" s="2" t="s">
        <v>2476</v>
      </c>
      <c r="Q1021" s="4" t="str">
        <f ca="1">IFERROR(__xludf.DUMMYFUNCTION("TRIM(SUBSTITUTE(SUBSTITUTE(D1021, index(SPLIT(D1021, "" ""), COLUMNS(SPLIT(D1021, "" ""))), """"), index(SPLIT(D1021, "" ""), COLUMNS(SPLIT(D1021, "" ""))-1), """"))"),"Верхньосироватська")</f>
        <v>Верхньосироватська</v>
      </c>
    </row>
    <row r="1022" spans="1:17" ht="50.5">
      <c r="A1022" s="2"/>
      <c r="B1022" s="2" t="s">
        <v>2412</v>
      </c>
      <c r="C1022" s="2" t="s">
        <v>2470</v>
      </c>
      <c r="D1022" s="2" t="s">
        <v>2477</v>
      </c>
      <c r="E1022" s="2"/>
      <c r="F1022" s="2" t="s">
        <v>20</v>
      </c>
      <c r="G1022" s="2">
        <v>13</v>
      </c>
      <c r="H1022" s="2">
        <v>147.9</v>
      </c>
      <c r="I1022" s="2">
        <v>8278</v>
      </c>
      <c r="J1022" s="2" t="s">
        <v>2478</v>
      </c>
      <c r="K1022" s="2">
        <v>4</v>
      </c>
      <c r="L1022" s="2" t="s">
        <v>2479</v>
      </c>
      <c r="Q1022" s="4" t="str">
        <f ca="1">IFERROR(__xludf.DUMMYFUNCTION("TRIM(SUBSTITUTE(SUBSTITUTE(D1022, index(SPLIT(D1022, "" ""), COLUMNS(SPLIT(D1022, "" ""))), """"), index(SPLIT(D1022, "" ""), COLUMNS(SPLIT(D1022, "" ""))-1), """"))"),"Ворожбянська")</f>
        <v>Ворожбянська</v>
      </c>
    </row>
    <row r="1023" spans="1:17" ht="63">
      <c r="A1023" s="2"/>
      <c r="B1023" s="2" t="s">
        <v>2412</v>
      </c>
      <c r="C1023" s="2" t="s">
        <v>2470</v>
      </c>
      <c r="D1023" s="2" t="s">
        <v>76</v>
      </c>
      <c r="E1023" s="2"/>
      <c r="F1023" s="2" t="s">
        <v>32</v>
      </c>
      <c r="G1023" s="2">
        <v>43</v>
      </c>
      <c r="H1023" s="2">
        <v>972.1</v>
      </c>
      <c r="I1023" s="2">
        <v>20760</v>
      </c>
      <c r="J1023" s="2" t="s">
        <v>63</v>
      </c>
      <c r="K1023" s="2">
        <v>13</v>
      </c>
      <c r="L1023" s="2" t="s">
        <v>2480</v>
      </c>
      <c r="Q1023" s="4" t="str">
        <f ca="1">IFERROR(__xludf.DUMMYFUNCTION("TRIM(SUBSTITUTE(SUBSTITUTE(D1023, index(SPLIT(D1023, "" ""), COLUMNS(SPLIT(D1023, "" ""))), """"), index(SPLIT(D1023, "" ""), COLUMNS(SPLIT(D1023, "" ""))-1), """"))"),"Краснопільська")</f>
        <v>Краснопільська</v>
      </c>
    </row>
    <row r="1024" spans="1:17" ht="100.5">
      <c r="A1024" s="2"/>
      <c r="B1024" s="2" t="s">
        <v>2412</v>
      </c>
      <c r="C1024" s="2" t="s">
        <v>2470</v>
      </c>
      <c r="D1024" s="2" t="s">
        <v>2481</v>
      </c>
      <c r="E1024" s="2"/>
      <c r="F1024" s="2" t="s">
        <v>20</v>
      </c>
      <c r="G1024" s="2">
        <v>125</v>
      </c>
      <c r="H1024" s="2">
        <v>1646.5</v>
      </c>
      <c r="I1024" s="2">
        <v>42111</v>
      </c>
      <c r="J1024" s="2" t="s">
        <v>2482</v>
      </c>
      <c r="K1024" s="2">
        <v>23</v>
      </c>
      <c r="L1024" s="2" t="s">
        <v>2483</v>
      </c>
      <c r="Q1024" s="4" t="str">
        <f ca="1">IFERROR(__xludf.DUMMYFUNCTION("TRIM(SUBSTITUTE(SUBSTITUTE(D1024, index(SPLIT(D1024, "" ""), COLUMNS(SPLIT(D1024, "" ""))), """"), index(SPLIT(D1024, "" ""), COLUMNS(SPLIT(D1024, "" ""))-1), """"))"),"Лебединська")</f>
        <v>Лебединська</v>
      </c>
    </row>
    <row r="1025" spans="1:17" ht="50.5">
      <c r="A1025" s="2"/>
      <c r="B1025" s="2" t="s">
        <v>2412</v>
      </c>
      <c r="C1025" s="2" t="s">
        <v>2470</v>
      </c>
      <c r="D1025" s="2" t="s">
        <v>297</v>
      </c>
      <c r="E1025" s="2"/>
      <c r="F1025" s="2" t="s">
        <v>28</v>
      </c>
      <c r="G1025" s="2">
        <v>26</v>
      </c>
      <c r="H1025" s="2">
        <v>270.7</v>
      </c>
      <c r="I1025" s="2">
        <v>6817</v>
      </c>
      <c r="J1025" s="2" t="s">
        <v>33</v>
      </c>
      <c r="K1025" s="2">
        <v>9</v>
      </c>
      <c r="L1025" s="2" t="s">
        <v>2484</v>
      </c>
      <c r="Q1025" s="4" t="str">
        <f ca="1">IFERROR(__xludf.DUMMYFUNCTION("TRIM(SUBSTITUTE(SUBSTITUTE(D1025, index(SPLIT(D1025, "" ""), COLUMNS(SPLIT(D1025, "" ""))), """"), index(SPLIT(D1025, "" ""), COLUMNS(SPLIT(D1025, "" ""))-1), """"))"),"Миколаївська")</f>
        <v>Миколаївська</v>
      </c>
    </row>
    <row r="1026" spans="1:17" ht="50.5">
      <c r="A1026" s="2"/>
      <c r="B1026" s="2" t="s">
        <v>2412</v>
      </c>
      <c r="C1026" s="2" t="s">
        <v>2470</v>
      </c>
      <c r="D1026" s="2" t="s">
        <v>297</v>
      </c>
      <c r="E1026" s="2"/>
      <c r="F1026" s="2" t="s">
        <v>32</v>
      </c>
      <c r="G1026" s="2">
        <v>42</v>
      </c>
      <c r="H1026" s="2">
        <v>521.20000000000005</v>
      </c>
      <c r="I1026" s="2">
        <v>12132</v>
      </c>
      <c r="J1026" s="2" t="s">
        <v>33</v>
      </c>
      <c r="K1026" s="2">
        <v>9</v>
      </c>
      <c r="L1026" s="2" t="s">
        <v>2484</v>
      </c>
      <c r="Q1026" s="4" t="str">
        <f ca="1">IFERROR(__xludf.DUMMYFUNCTION("TRIM(SUBSTITUTE(SUBSTITUTE(D1026, index(SPLIT(D1026, "" ""), COLUMNS(SPLIT(D1026, "" ""))), """"), index(SPLIT(D1026, "" ""), COLUMNS(SPLIT(D1026, "" ""))-1), """"))"),"Миколаївська")</f>
        <v>Миколаївська</v>
      </c>
    </row>
    <row r="1027" spans="1:17" ht="50.5">
      <c r="A1027" s="2"/>
      <c r="B1027" s="2" t="s">
        <v>2412</v>
      </c>
      <c r="C1027" s="2" t="s">
        <v>2470</v>
      </c>
      <c r="D1027" s="2" t="s">
        <v>642</v>
      </c>
      <c r="E1027" s="2"/>
      <c r="F1027" s="2" t="s">
        <v>28</v>
      </c>
      <c r="G1027" s="2">
        <v>10</v>
      </c>
      <c r="H1027" s="2">
        <v>301.10000000000002</v>
      </c>
      <c r="I1027" s="2">
        <v>4254</v>
      </c>
      <c r="J1027" s="2" t="s">
        <v>33</v>
      </c>
      <c r="K1027" s="2">
        <v>4</v>
      </c>
      <c r="L1027" s="2" t="s">
        <v>2485</v>
      </c>
      <c r="Q1027" s="4" t="str">
        <f ca="1">IFERROR(__xludf.DUMMYFUNCTION("TRIM(SUBSTITUTE(SUBSTITUTE(D1027, index(SPLIT(D1027, "" ""), COLUMNS(SPLIT(D1027, "" ""))), """"), index(SPLIT(D1027, "" ""), COLUMNS(SPLIT(D1027, "" ""))-1), """"))"),"Миропільська")</f>
        <v>Миропільська</v>
      </c>
    </row>
    <row r="1028" spans="1:17" ht="50.5">
      <c r="A1028" s="2"/>
      <c r="B1028" s="2" t="s">
        <v>2412</v>
      </c>
      <c r="C1028" s="2" t="s">
        <v>2470</v>
      </c>
      <c r="D1028" s="2" t="s">
        <v>2486</v>
      </c>
      <c r="E1028" s="2"/>
      <c r="F1028" s="2" t="s">
        <v>28</v>
      </c>
      <c r="G1028" s="2">
        <v>5</v>
      </c>
      <c r="H1028" s="2">
        <v>165</v>
      </c>
      <c r="I1028" s="2">
        <v>5895</v>
      </c>
      <c r="J1028" s="2" t="s">
        <v>33</v>
      </c>
      <c r="K1028" s="2">
        <v>2</v>
      </c>
      <c r="L1028" s="2" t="s">
        <v>2487</v>
      </c>
      <c r="Q1028" s="4" t="str">
        <f ca="1">IFERROR(__xludf.DUMMYFUNCTION("TRIM(SUBSTITUTE(SUBSTITUTE(D1028, index(SPLIT(D1028, "" ""), COLUMNS(SPLIT(D1028, "" ""))), """"), index(SPLIT(D1028, "" ""), COLUMNS(SPLIT(D1028, "" ""))-1), """"))"),"Нижньосироватська")</f>
        <v>Нижньосироватська</v>
      </c>
    </row>
    <row r="1029" spans="1:17" ht="38">
      <c r="A1029" s="2"/>
      <c r="B1029" s="2" t="s">
        <v>2412</v>
      </c>
      <c r="C1029" s="2" t="s">
        <v>2470</v>
      </c>
      <c r="D1029" s="2" t="s">
        <v>2488</v>
      </c>
      <c r="E1029" s="2"/>
      <c r="F1029" s="2" t="s">
        <v>28</v>
      </c>
      <c r="G1029" s="2">
        <v>17</v>
      </c>
      <c r="H1029" s="2">
        <v>230.2</v>
      </c>
      <c r="I1029" s="2">
        <v>4145</v>
      </c>
      <c r="J1029" s="2" t="s">
        <v>46</v>
      </c>
      <c r="K1029" s="2">
        <v>4</v>
      </c>
      <c r="L1029" s="2" t="s">
        <v>2489</v>
      </c>
      <c r="Q1029" s="4" t="str">
        <f ca="1">IFERROR(__xludf.DUMMYFUNCTION("TRIM(SUBSTITUTE(SUBSTITUTE(D1029, index(SPLIT(D1029, "" ""), COLUMNS(SPLIT(D1029, "" ""))), """"), index(SPLIT(D1029, "" ""), COLUMNS(SPLIT(D1029, "" ""))-1), """"))"),"Річківська")</f>
        <v>Річківська</v>
      </c>
    </row>
    <row r="1030" spans="1:17" ht="38">
      <c r="A1030" s="2"/>
      <c r="B1030" s="2" t="s">
        <v>2412</v>
      </c>
      <c r="C1030" s="2" t="s">
        <v>2470</v>
      </c>
      <c r="D1030" s="2" t="s">
        <v>2490</v>
      </c>
      <c r="E1030" s="2"/>
      <c r="F1030" s="2" t="s">
        <v>28</v>
      </c>
      <c r="G1030" s="2">
        <v>33</v>
      </c>
      <c r="H1030" s="2">
        <v>324.7</v>
      </c>
      <c r="I1030" s="2">
        <v>10189</v>
      </c>
      <c r="J1030" s="2" t="s">
        <v>2491</v>
      </c>
      <c r="K1030" s="2">
        <v>7</v>
      </c>
      <c r="L1030" s="2" t="s">
        <v>2492</v>
      </c>
      <c r="Q1030" s="4" t="str">
        <f ca="1">IFERROR(__xludf.DUMMYFUNCTION("TRIM(SUBSTITUTE(SUBSTITUTE(D1030, index(SPLIT(D1030, "" ""), COLUMNS(SPLIT(D1030, "" ""))), """"), index(SPLIT(D1030, "" ""), COLUMNS(SPLIT(D1030, "" ""))-1), """"))"),"Садівська")</f>
        <v>Садівська</v>
      </c>
    </row>
    <row r="1031" spans="1:17" ht="38">
      <c r="A1031" s="2"/>
      <c r="B1031" s="2" t="s">
        <v>2412</v>
      </c>
      <c r="C1031" s="2" t="s">
        <v>2470</v>
      </c>
      <c r="D1031" s="2" t="s">
        <v>2119</v>
      </c>
      <c r="E1031" s="2"/>
      <c r="F1031" s="2" t="s">
        <v>32</v>
      </c>
      <c r="G1031" s="2">
        <v>18</v>
      </c>
      <c r="H1031" s="2">
        <v>192.7</v>
      </c>
      <c r="I1031" s="2">
        <v>10939</v>
      </c>
      <c r="J1031" s="2" t="s">
        <v>39</v>
      </c>
      <c r="K1031" s="2">
        <v>4</v>
      </c>
      <c r="L1031" s="2" t="s">
        <v>2493</v>
      </c>
      <c r="Q1031" s="4" t="str">
        <f ca="1">IFERROR(__xludf.DUMMYFUNCTION("TRIM(SUBSTITUTE(SUBSTITUTE(D1031, index(SPLIT(D1031, "" ""), COLUMNS(SPLIT(D1031, "" ""))), """"), index(SPLIT(D1031, "" ""), COLUMNS(SPLIT(D1031, "" ""))-1), """"))"),"Степанівська")</f>
        <v>Степанівська</v>
      </c>
    </row>
    <row r="1032" spans="1:17" ht="38">
      <c r="A1032" s="2"/>
      <c r="B1032" s="2" t="s">
        <v>2412</v>
      </c>
      <c r="C1032" s="2" t="s">
        <v>2470</v>
      </c>
      <c r="D1032" s="2" t="s">
        <v>2494</v>
      </c>
      <c r="E1032" s="2"/>
      <c r="F1032" s="2" t="s">
        <v>20</v>
      </c>
      <c r="G1032" s="2">
        <v>21</v>
      </c>
      <c r="H1032" s="2">
        <v>349</v>
      </c>
      <c r="I1032" s="2">
        <v>270439</v>
      </c>
      <c r="J1032" s="2" t="s">
        <v>2495</v>
      </c>
      <c r="K1032" s="2">
        <v>5</v>
      </c>
      <c r="L1032" s="2" t="s">
        <v>2496</v>
      </c>
      <c r="Q1032" s="4" t="str">
        <f ca="1">IFERROR(__xludf.DUMMYFUNCTION("TRIM(SUBSTITUTE(SUBSTITUTE(D1032, index(SPLIT(D1032, "" ""), COLUMNS(SPLIT(D1032, "" ""))), """"), index(SPLIT(D1032, "" ""), COLUMNS(SPLIT(D1032, "" ""))-1), """"))"),"Сумська")</f>
        <v>Сумська</v>
      </c>
    </row>
    <row r="1033" spans="1:17" ht="38">
      <c r="A1033" s="2"/>
      <c r="B1033" s="2" t="s">
        <v>2412</v>
      </c>
      <c r="C1033" s="2" t="s">
        <v>2470</v>
      </c>
      <c r="D1033" s="2" t="s">
        <v>2497</v>
      </c>
      <c r="E1033" s="2"/>
      <c r="F1033" s="2" t="s">
        <v>32</v>
      </c>
      <c r="G1033" s="2">
        <v>14</v>
      </c>
      <c r="H1033" s="2">
        <v>241.5</v>
      </c>
      <c r="I1033" s="2">
        <v>6216</v>
      </c>
      <c r="J1033" s="2" t="s">
        <v>33</v>
      </c>
      <c r="K1033" s="2">
        <v>4</v>
      </c>
      <c r="L1033" s="2" t="s">
        <v>2498</v>
      </c>
      <c r="Q1033" s="4" t="str">
        <f ca="1">IFERROR(__xludf.DUMMYFUNCTION("TRIM(SUBSTITUTE(SUBSTITUTE(D1033, index(SPLIT(D1033, "" ""), COLUMNS(SPLIT(D1033, "" ""))), """"), index(SPLIT(D1033, "" ""), COLUMNS(SPLIT(D1033, "" ""))-1), """"))"),"Хотінська")</f>
        <v>Хотінська</v>
      </c>
    </row>
    <row r="1034" spans="1:17" ht="38">
      <c r="A1034" s="2"/>
      <c r="B1034" s="2" t="s">
        <v>2412</v>
      </c>
      <c r="C1034" s="2" t="s">
        <v>2470</v>
      </c>
      <c r="D1034" s="2" t="s">
        <v>2499</v>
      </c>
      <c r="E1034" s="2"/>
      <c r="F1034" s="2" t="s">
        <v>28</v>
      </c>
      <c r="G1034" s="2">
        <v>15</v>
      </c>
      <c r="H1034" s="2">
        <v>343.3</v>
      </c>
      <c r="I1034" s="2">
        <v>5848</v>
      </c>
      <c r="J1034" s="2" t="s">
        <v>2500</v>
      </c>
      <c r="K1034" s="2">
        <v>4</v>
      </c>
      <c r="L1034" s="2" t="s">
        <v>2501</v>
      </c>
      <c r="Q1034" s="4" t="str">
        <f ca="1">IFERROR(__xludf.DUMMYFUNCTION("TRIM(SUBSTITUTE(SUBSTITUTE(D1034, index(SPLIT(D1034, "" ""), COLUMNS(SPLIT(D1034, "" ""))), """"), index(SPLIT(D1034, "" ""), COLUMNS(SPLIT(D1034, "" ""))-1), """"))"),"Юнаківська")</f>
        <v>Юнаківська</v>
      </c>
    </row>
    <row r="1035" spans="1:17" ht="38">
      <c r="A1035" s="2"/>
      <c r="B1035" s="2" t="s">
        <v>2412</v>
      </c>
      <c r="C1035" s="2" t="s">
        <v>2502</v>
      </c>
      <c r="D1035" s="2" t="s">
        <v>610</v>
      </c>
      <c r="E1035" s="2"/>
      <c r="F1035" s="2" t="s">
        <v>28</v>
      </c>
      <c r="G1035" s="2">
        <v>21</v>
      </c>
      <c r="H1035" s="2">
        <v>463.1</v>
      </c>
      <c r="I1035" s="2">
        <v>4890</v>
      </c>
      <c r="J1035" s="2" t="s">
        <v>143</v>
      </c>
      <c r="K1035" s="2">
        <v>8</v>
      </c>
      <c r="L1035" s="2" t="s">
        <v>2503</v>
      </c>
      <c r="Q1035" s="4" t="str">
        <f ca="1">IFERROR(__xludf.DUMMYFUNCTION("TRIM(SUBSTITUTE(SUBSTITUTE(D1035, index(SPLIT(D1035, "" ""), COLUMNS(SPLIT(D1035, "" ""))), """"), index(SPLIT(D1035, "" ""), COLUMNS(SPLIT(D1035, "" ""))-1), """"))"),"Березівська")</f>
        <v>Березівська</v>
      </c>
    </row>
    <row r="1036" spans="1:17" ht="38">
      <c r="A1036" s="2"/>
      <c r="B1036" s="2" t="s">
        <v>2412</v>
      </c>
      <c r="C1036" s="2" t="s">
        <v>2502</v>
      </c>
      <c r="D1036" s="2" t="s">
        <v>2504</v>
      </c>
      <c r="E1036" s="2"/>
      <c r="F1036" s="2" t="s">
        <v>20</v>
      </c>
      <c r="G1036" s="2">
        <v>25</v>
      </c>
      <c r="H1036" s="2">
        <v>453.6</v>
      </c>
      <c r="I1036" s="2">
        <v>38553</v>
      </c>
      <c r="J1036" s="2" t="s">
        <v>2505</v>
      </c>
      <c r="K1036" s="2">
        <v>9</v>
      </c>
      <c r="L1036" s="2" t="s">
        <v>2506</v>
      </c>
      <c r="Q1036" s="4" t="str">
        <f ca="1">IFERROR(__xludf.DUMMYFUNCTION("TRIM(SUBSTITUTE(SUBSTITUTE(D1036, index(SPLIT(D1036, "" ""), COLUMNS(SPLIT(D1036, "" ""))), """"), index(SPLIT(D1036, "" ""), COLUMNS(SPLIT(D1036, "" ""))-1), """"))"),"Глухівська")</f>
        <v>Глухівська</v>
      </c>
    </row>
    <row r="1037" spans="1:17" ht="38">
      <c r="A1037" s="2"/>
      <c r="B1037" s="2" t="s">
        <v>2412</v>
      </c>
      <c r="C1037" s="2" t="s">
        <v>2502</v>
      </c>
      <c r="D1037" s="2" t="s">
        <v>2507</v>
      </c>
      <c r="E1037" s="2"/>
      <c r="F1037" s="2" t="s">
        <v>20</v>
      </c>
      <c r="G1037" s="2">
        <v>12</v>
      </c>
      <c r="H1037" s="2">
        <v>126.6</v>
      </c>
      <c r="I1037" s="2">
        <v>5406</v>
      </c>
      <c r="J1037" s="2" t="s">
        <v>33</v>
      </c>
      <c r="K1037" s="2">
        <v>1</v>
      </c>
      <c r="L1037" s="2" t="s">
        <v>2508</v>
      </c>
      <c r="Q1037" s="4" t="str">
        <f ca="1">IFERROR(__xludf.DUMMYFUNCTION("TRIM(SUBSTITUTE(SUBSTITUTE(D1037, index(SPLIT(D1037, "" ""), COLUMNS(SPLIT(D1037, "" ""))), """"), index(SPLIT(D1037, "" ""), COLUMNS(SPLIT(D1037, "" ""))-1), """"))"),"Дружбівська")</f>
        <v>Дружбівська</v>
      </c>
    </row>
    <row r="1038" spans="1:17" ht="50.5">
      <c r="A1038" s="2"/>
      <c r="B1038" s="2" t="s">
        <v>2412</v>
      </c>
      <c r="C1038" s="2" t="s">
        <v>2502</v>
      </c>
      <c r="D1038" s="2" t="s">
        <v>2509</v>
      </c>
      <c r="E1038" s="2"/>
      <c r="F1038" s="2" t="s">
        <v>32</v>
      </c>
      <c r="G1038" s="2">
        <v>29</v>
      </c>
      <c r="H1038" s="2">
        <v>551</v>
      </c>
      <c r="I1038" s="2">
        <v>5574</v>
      </c>
      <c r="J1038" s="2" t="s">
        <v>2510</v>
      </c>
      <c r="K1038" s="2">
        <v>11</v>
      </c>
      <c r="L1038" s="2" t="s">
        <v>2511</v>
      </c>
      <c r="Q1038" s="4" t="str">
        <f ca="1">IFERROR(__xludf.DUMMYFUNCTION("TRIM(SUBSTITUTE(SUBSTITUTE(D1038, index(SPLIT(D1038, "" ""), COLUMNS(SPLIT(D1038, "" ""))), """"), index(SPLIT(D1038, "" ""), COLUMNS(SPLIT(D1038, "" ""))-1), """"))"),"Есманьська")</f>
        <v>Есманьська</v>
      </c>
    </row>
    <row r="1039" spans="1:17" ht="63">
      <c r="A1039" s="2"/>
      <c r="B1039" s="2" t="s">
        <v>2412</v>
      </c>
      <c r="C1039" s="2" t="s">
        <v>2502</v>
      </c>
      <c r="D1039" s="2" t="s">
        <v>2512</v>
      </c>
      <c r="E1039" s="2"/>
      <c r="F1039" s="2" t="s">
        <v>32</v>
      </c>
      <c r="G1039" s="2">
        <v>29</v>
      </c>
      <c r="H1039" s="2">
        <v>529.9</v>
      </c>
      <c r="I1039" s="2">
        <v>4828</v>
      </c>
      <c r="J1039" s="2" t="s">
        <v>33</v>
      </c>
      <c r="K1039" s="2">
        <v>9</v>
      </c>
      <c r="L1039" s="2" t="s">
        <v>2513</v>
      </c>
      <c r="Q1039" s="4" t="str">
        <f ca="1">IFERROR(__xludf.DUMMYFUNCTION("TRIM(SUBSTITUTE(SUBSTITUTE(D1039, index(SPLIT(D1039, "" ""), COLUMNS(SPLIT(D1039, "" ""))), """"), index(SPLIT(D1039, "" ""), COLUMNS(SPLIT(D1039, "" ""))-1), """"))"),"Зноб-Новгородська")</f>
        <v>Зноб-Новгородська</v>
      </c>
    </row>
    <row r="1040" spans="1:17" ht="38">
      <c r="A1040" s="2"/>
      <c r="B1040" s="2" t="s">
        <v>2412</v>
      </c>
      <c r="C1040" s="2" t="s">
        <v>2502</v>
      </c>
      <c r="D1040" s="2" t="s">
        <v>2514</v>
      </c>
      <c r="E1040" s="2"/>
      <c r="F1040" s="2" t="s">
        <v>32</v>
      </c>
      <c r="G1040" s="2">
        <v>17</v>
      </c>
      <c r="H1040" s="2">
        <v>296.5</v>
      </c>
      <c r="I1040" s="2">
        <v>8462</v>
      </c>
      <c r="J1040" s="2" t="s">
        <v>2515</v>
      </c>
      <c r="K1040" s="2">
        <v>5</v>
      </c>
      <c r="L1040" s="2" t="s">
        <v>2516</v>
      </c>
      <c r="Q1040" s="4" t="str">
        <f ca="1">IFERROR(__xludf.DUMMYFUNCTION("TRIM(SUBSTITUTE(SUBSTITUTE(D1040, index(SPLIT(D1040, "" ""), COLUMNS(SPLIT(D1040, "" ""))), """"), index(SPLIT(D1040, "" ""), COLUMNS(SPLIT(D1040, "" ""))-1), """"))"),"Свеська")</f>
        <v>Свеська</v>
      </c>
    </row>
    <row r="1041" spans="1:17" ht="50.5">
      <c r="A1041" s="2"/>
      <c r="B1041" s="2" t="s">
        <v>2412</v>
      </c>
      <c r="C1041" s="2" t="s">
        <v>2502</v>
      </c>
      <c r="D1041" s="2" t="s">
        <v>2517</v>
      </c>
      <c r="E1041" s="2"/>
      <c r="F1041" s="2" t="s">
        <v>20</v>
      </c>
      <c r="G1041" s="2">
        <v>34</v>
      </c>
      <c r="H1041" s="2">
        <v>592.9</v>
      </c>
      <c r="I1041" s="2">
        <v>10474</v>
      </c>
      <c r="J1041" s="2" t="s">
        <v>2518</v>
      </c>
      <c r="K1041" s="2">
        <v>9</v>
      </c>
      <c r="L1041" s="2" t="s">
        <v>2519</v>
      </c>
      <c r="Q1041" s="4" t="str">
        <f ca="1">IFERROR(__xludf.DUMMYFUNCTION("TRIM(SUBSTITUTE(SUBSTITUTE(D1041, index(SPLIT(D1041, "" ""), COLUMNS(SPLIT(D1041, "" ""))), """"), index(SPLIT(D1041, "" ""), COLUMNS(SPLIT(D1041, "" ""))-1), """"))"),"Середино-Будська")</f>
        <v>Середино-Будська</v>
      </c>
    </row>
    <row r="1042" spans="1:17" ht="38">
      <c r="A1042" s="2"/>
      <c r="B1042" s="2" t="s">
        <v>2412</v>
      </c>
      <c r="C1042" s="2" t="s">
        <v>2502</v>
      </c>
      <c r="D1042" s="2" t="s">
        <v>2520</v>
      </c>
      <c r="E1042" s="2"/>
      <c r="F1042" s="2" t="s">
        <v>32</v>
      </c>
      <c r="G1042" s="2">
        <v>10</v>
      </c>
      <c r="H1042" s="2">
        <v>275.60000000000002</v>
      </c>
      <c r="I1042" s="2">
        <v>4200</v>
      </c>
      <c r="J1042" s="2" t="s">
        <v>33</v>
      </c>
      <c r="K1042" s="2">
        <v>6</v>
      </c>
      <c r="L1042" s="2" t="s">
        <v>2521</v>
      </c>
      <c r="Q1042" s="4" t="str">
        <f ca="1">IFERROR(__xludf.DUMMYFUNCTION("TRIM(SUBSTITUTE(SUBSTITUTE(D1042, index(SPLIT(D1042, "" ""), COLUMNS(SPLIT(D1042, "" ""))), """"), index(SPLIT(D1042, "" ""), COLUMNS(SPLIT(D1042, "" ""))-1), """"))"),"Шалигинська")</f>
        <v>Шалигинська</v>
      </c>
    </row>
    <row r="1043" spans="1:17" ht="75.5">
      <c r="A1043" s="2"/>
      <c r="B1043" s="2" t="s">
        <v>2412</v>
      </c>
      <c r="C1043" s="2" t="s">
        <v>2502</v>
      </c>
      <c r="D1043" s="2" t="s">
        <v>2522</v>
      </c>
      <c r="E1043" s="2"/>
      <c r="F1043" s="2" t="s">
        <v>20</v>
      </c>
      <c r="G1043" s="2">
        <v>38</v>
      </c>
      <c r="H1043" s="2">
        <v>1255.8</v>
      </c>
      <c r="I1043" s="2">
        <v>92252</v>
      </c>
      <c r="J1043" s="2" t="s">
        <v>2523</v>
      </c>
      <c r="K1043" s="2">
        <v>18</v>
      </c>
      <c r="L1043" s="2" t="s">
        <v>2524</v>
      </c>
      <c r="Q1043" s="4" t="str">
        <f ca="1">IFERROR(__xludf.DUMMYFUNCTION("TRIM(SUBSTITUTE(SUBSTITUTE(D1043, index(SPLIT(D1043, "" ""), COLUMNS(SPLIT(D1043, "" ""))), """"), index(SPLIT(D1043, "" ""), COLUMNS(SPLIT(D1043, "" ""))-1), """"))"),"Шосткинська")</f>
        <v>Шосткинська</v>
      </c>
    </row>
    <row r="1044" spans="1:17" ht="38">
      <c r="A1044" s="2"/>
      <c r="B1044" s="2" t="s">
        <v>2412</v>
      </c>
      <c r="C1044" s="2" t="s">
        <v>2502</v>
      </c>
      <c r="D1044" s="2" t="s">
        <v>127</v>
      </c>
      <c r="E1044" s="2"/>
      <c r="F1044" s="2" t="s">
        <v>32</v>
      </c>
      <c r="G1044" s="2">
        <v>32</v>
      </c>
      <c r="H1044" s="2">
        <v>521.1</v>
      </c>
      <c r="I1044" s="2">
        <v>8153</v>
      </c>
      <c r="J1044" s="2" t="s">
        <v>2525</v>
      </c>
      <c r="K1044" s="2">
        <v>8</v>
      </c>
      <c r="L1044" s="2" t="s">
        <v>2526</v>
      </c>
      <c r="Q1044" s="4" t="str">
        <f ca="1">IFERROR(__xludf.DUMMYFUNCTION("TRIM(SUBSTITUTE(SUBSTITUTE(D1044, index(SPLIT(D1044, "" ""), COLUMNS(SPLIT(D1044, "" ""))), """"), index(SPLIT(D1044, "" ""), COLUMNS(SPLIT(D1044, "" ""))-1), """"))"),"Ямпільська")</f>
        <v>Ямпільська</v>
      </c>
    </row>
    <row r="1045" spans="1:17" ht="38">
      <c r="A1045" s="2"/>
      <c r="B1045" s="2" t="s">
        <v>2527</v>
      </c>
      <c r="C1045" s="2" t="s">
        <v>2528</v>
      </c>
      <c r="D1045" s="2" t="s">
        <v>2529</v>
      </c>
      <c r="E1045" s="2"/>
      <c r="F1045" s="2" t="s">
        <v>28</v>
      </c>
      <c r="G1045" s="2">
        <v>11</v>
      </c>
      <c r="H1045" s="2">
        <v>152.1</v>
      </c>
      <c r="I1045" s="2">
        <v>6310</v>
      </c>
      <c r="J1045" s="2" t="s">
        <v>33</v>
      </c>
      <c r="K1045" s="2">
        <v>7</v>
      </c>
      <c r="L1045" s="2" t="s">
        <v>2530</v>
      </c>
      <c r="Q1045" s="4" t="str">
        <f ca="1">IFERROR(__xludf.DUMMYFUNCTION("TRIM(SUBSTITUTE(SUBSTITUTE(D1045, index(SPLIT(D1045, "" ""), COLUMNS(SPLIT(D1045, "" ""))), """"), index(SPLIT(D1045, "" ""), COLUMNS(SPLIT(D1045, "" ""))-1), """"))"),"Борсуківська")</f>
        <v>Борсуківська</v>
      </c>
    </row>
    <row r="1046" spans="1:17" ht="50.5">
      <c r="A1046" s="2"/>
      <c r="B1046" s="2" t="s">
        <v>2527</v>
      </c>
      <c r="C1046" s="2" t="s">
        <v>2528</v>
      </c>
      <c r="D1046" s="2" t="s">
        <v>2531</v>
      </c>
      <c r="E1046" s="2"/>
      <c r="F1046" s="2" t="s">
        <v>28</v>
      </c>
      <c r="G1046" s="2">
        <v>13</v>
      </c>
      <c r="H1046" s="2">
        <v>164.6</v>
      </c>
      <c r="I1046" s="2">
        <v>6304</v>
      </c>
      <c r="J1046" s="2" t="s">
        <v>33</v>
      </c>
      <c r="K1046" s="2">
        <v>8</v>
      </c>
      <c r="L1046" s="2" t="s">
        <v>2532</v>
      </c>
      <c r="Q1046" s="4" t="str">
        <f ca="1">IFERROR(__xludf.DUMMYFUNCTION("TRIM(SUBSTITUTE(SUBSTITUTE(D1046, index(SPLIT(D1046, "" ""), COLUMNS(SPLIT(D1046, "" ""))), """"), index(SPLIT(D1046, "" ""), COLUMNS(SPLIT(D1046, "" ""))-1), """"))"),"Великодедеркальська")</f>
        <v>Великодедеркальська</v>
      </c>
    </row>
    <row r="1047" spans="1:17" ht="63">
      <c r="A1047" s="2"/>
      <c r="B1047" s="2" t="s">
        <v>2527</v>
      </c>
      <c r="C1047" s="2" t="s">
        <v>2528</v>
      </c>
      <c r="D1047" s="2" t="s">
        <v>2533</v>
      </c>
      <c r="E1047" s="2"/>
      <c r="F1047" s="2" t="s">
        <v>32</v>
      </c>
      <c r="G1047" s="2">
        <v>28</v>
      </c>
      <c r="H1047" s="2">
        <v>322.39999999999998</v>
      </c>
      <c r="I1047" s="2">
        <v>17469</v>
      </c>
      <c r="J1047" s="2" t="s">
        <v>33</v>
      </c>
      <c r="K1047" s="2">
        <v>13</v>
      </c>
      <c r="L1047" s="2" t="s">
        <v>2534</v>
      </c>
      <c r="Q1047" s="4" t="str">
        <f ca="1">IFERROR(__xludf.DUMMYFUNCTION("TRIM(SUBSTITUTE(SUBSTITUTE(D1047, index(SPLIT(D1047, "" ""), COLUMNS(SPLIT(D1047, "" ""))), """"), index(SPLIT(D1047, "" ""), COLUMNS(SPLIT(D1047, "" ""))-1), """"))"),"Вишнівецька")</f>
        <v>Вишнівецька</v>
      </c>
    </row>
    <row r="1048" spans="1:17" ht="75.5">
      <c r="A1048" s="2"/>
      <c r="B1048" s="2" t="s">
        <v>2527</v>
      </c>
      <c r="C1048" s="2" t="s">
        <v>2528</v>
      </c>
      <c r="D1048" s="2" t="s">
        <v>2535</v>
      </c>
      <c r="E1048" s="2"/>
      <c r="F1048" s="2" t="s">
        <v>20</v>
      </c>
      <c r="G1048" s="2">
        <v>44</v>
      </c>
      <c r="H1048" s="2">
        <v>522.9</v>
      </c>
      <c r="I1048" s="2">
        <v>42064</v>
      </c>
      <c r="J1048" s="2" t="s">
        <v>2536</v>
      </c>
      <c r="K1048" s="2">
        <v>17</v>
      </c>
      <c r="L1048" s="2" t="s">
        <v>2537</v>
      </c>
      <c r="Q1048" s="4" t="str">
        <f ca="1">IFERROR(__xludf.DUMMYFUNCTION("TRIM(SUBSTITUTE(SUBSTITUTE(D1048, index(SPLIT(D1048, "" ""), COLUMNS(SPLIT(D1048, "" ""))), """"), index(SPLIT(D1048, "" ""), COLUMNS(SPLIT(D1048, "" ""))-1), """"))"),"Кременецька")</f>
        <v>Кременецька</v>
      </c>
    </row>
    <row r="1049" spans="1:17" ht="88">
      <c r="A1049" s="2"/>
      <c r="B1049" s="2" t="s">
        <v>2527</v>
      </c>
      <c r="C1049" s="2" t="s">
        <v>2528</v>
      </c>
      <c r="D1049" s="2" t="s">
        <v>2538</v>
      </c>
      <c r="E1049" s="2"/>
      <c r="F1049" s="2" t="s">
        <v>20</v>
      </c>
      <c r="G1049" s="2">
        <v>41</v>
      </c>
      <c r="H1049" s="2">
        <v>479</v>
      </c>
      <c r="I1049" s="2">
        <v>21710</v>
      </c>
      <c r="J1049" s="2" t="s">
        <v>39</v>
      </c>
      <c r="K1049" s="2">
        <v>20</v>
      </c>
      <c r="L1049" s="2" t="s">
        <v>2539</v>
      </c>
      <c r="Q1049" s="4" t="str">
        <f ca="1">IFERROR(__xludf.DUMMYFUNCTION("TRIM(SUBSTITUTE(SUBSTITUTE(D1049, index(SPLIT(D1049, "" ""), COLUMNS(SPLIT(D1049, "" ""))), """"), index(SPLIT(D1049, "" ""), COLUMNS(SPLIT(D1049, "" ""))-1), """"))"),"Лановецька")</f>
        <v>Лановецька</v>
      </c>
    </row>
    <row r="1050" spans="1:17" ht="50.5">
      <c r="A1050" s="2"/>
      <c r="B1050" s="2" t="s">
        <v>2527</v>
      </c>
      <c r="C1050" s="2" t="s">
        <v>2528</v>
      </c>
      <c r="D1050" s="2" t="s">
        <v>2540</v>
      </c>
      <c r="E1050" s="2"/>
      <c r="F1050" s="2" t="s">
        <v>28</v>
      </c>
      <c r="G1050" s="2">
        <v>11</v>
      </c>
      <c r="H1050" s="2">
        <v>143.69999999999999</v>
      </c>
      <c r="I1050" s="2">
        <v>5172</v>
      </c>
      <c r="J1050" s="2" t="s">
        <v>143</v>
      </c>
      <c r="K1050" s="2">
        <v>5</v>
      </c>
      <c r="L1050" s="2" t="s">
        <v>2541</v>
      </c>
      <c r="Q1050" s="4" t="str">
        <f ca="1">IFERROR(__xludf.DUMMYFUNCTION("TRIM(SUBSTITUTE(SUBSTITUTE(D1050, index(SPLIT(D1050, "" ""), COLUMNS(SPLIT(D1050, "" ""))), """"), index(SPLIT(D1050, "" ""), COLUMNS(SPLIT(D1050, "" ""))-1), """"))"),"Лопушненська")</f>
        <v>Лопушненська</v>
      </c>
    </row>
    <row r="1051" spans="1:17" ht="38">
      <c r="A1051" s="2"/>
      <c r="B1051" s="2" t="s">
        <v>2527</v>
      </c>
      <c r="C1051" s="2" t="s">
        <v>2528</v>
      </c>
      <c r="D1051" s="2" t="s">
        <v>2542</v>
      </c>
      <c r="E1051" s="2"/>
      <c r="F1051" s="2" t="s">
        <v>20</v>
      </c>
      <c r="G1051" s="2">
        <v>12</v>
      </c>
      <c r="H1051" s="2">
        <v>217.2</v>
      </c>
      <c r="I1051" s="2">
        <v>17883</v>
      </c>
      <c r="J1051" s="2" t="s">
        <v>143</v>
      </c>
      <c r="K1051" s="2">
        <v>7</v>
      </c>
      <c r="L1051" s="2" t="s">
        <v>2543</v>
      </c>
      <c r="Q1051" s="4" t="str">
        <f ca="1">IFERROR(__xludf.DUMMYFUNCTION("TRIM(SUBSTITUTE(SUBSTITUTE(D1051, index(SPLIT(D1051, "" ""), COLUMNS(SPLIT(D1051, "" ""))), """"), index(SPLIT(D1051, "" ""), COLUMNS(SPLIT(D1051, "" ""))-1), """"))"),"Почаївська")</f>
        <v>Почаївська</v>
      </c>
    </row>
    <row r="1052" spans="1:17" ht="100.5">
      <c r="A1052" s="2"/>
      <c r="B1052" s="2" t="s">
        <v>2527</v>
      </c>
      <c r="C1052" s="2" t="s">
        <v>2528</v>
      </c>
      <c r="D1052" s="2" t="s">
        <v>2544</v>
      </c>
      <c r="E1052" s="2"/>
      <c r="F1052" s="2" t="s">
        <v>20</v>
      </c>
      <c r="G1052" s="2">
        <v>44</v>
      </c>
      <c r="H1052" s="2">
        <v>632</v>
      </c>
      <c r="I1052" s="2">
        <v>24763</v>
      </c>
      <c r="J1052" s="2" t="s">
        <v>143</v>
      </c>
      <c r="K1052" s="2">
        <v>23</v>
      </c>
      <c r="L1052" s="2" t="s">
        <v>2545</v>
      </c>
      <c r="Q1052" s="4" t="str">
        <f ca="1">IFERROR(__xludf.DUMMYFUNCTION("TRIM(SUBSTITUTE(SUBSTITUTE(D1052, index(SPLIT(D1052, "" ""), COLUMNS(SPLIT(D1052, "" ""))), """"), index(SPLIT(D1052, "" ""), COLUMNS(SPLIT(D1052, "" ""))-1), """"))"),"Шумська")</f>
        <v>Шумська</v>
      </c>
    </row>
    <row r="1053" spans="1:17" ht="38">
      <c r="A1053" s="2"/>
      <c r="B1053" s="2" t="s">
        <v>2527</v>
      </c>
      <c r="C1053" s="2" t="s">
        <v>2546</v>
      </c>
      <c r="D1053" s="2" t="s">
        <v>152</v>
      </c>
      <c r="E1053" s="2"/>
      <c r="F1053" s="2" t="s">
        <v>28</v>
      </c>
      <c r="G1053" s="2">
        <v>5</v>
      </c>
      <c r="H1053" s="2">
        <v>109.5</v>
      </c>
      <c r="I1053" s="2">
        <v>4078</v>
      </c>
      <c r="J1053" s="2" t="s">
        <v>143</v>
      </c>
      <c r="K1053" s="2">
        <v>4</v>
      </c>
      <c r="L1053" s="2" t="s">
        <v>2547</v>
      </c>
      <c r="Q1053" s="4" t="str">
        <f ca="1">IFERROR(__xludf.DUMMYFUNCTION("TRIM(SUBSTITUTE(SUBSTITUTE(D1053, index(SPLIT(D1053, "" ""), COLUMNS(SPLIT(D1053, "" ""))), """"), index(SPLIT(D1053, "" ""), COLUMNS(SPLIT(D1053, "" ""))-1), """"))"),"Іванівська")</f>
        <v>Іванівська</v>
      </c>
    </row>
    <row r="1054" spans="1:17" ht="50.5">
      <c r="A1054" s="2"/>
      <c r="B1054" s="2" t="s">
        <v>2527</v>
      </c>
      <c r="C1054" s="2" t="s">
        <v>2546</v>
      </c>
      <c r="D1054" s="2" t="s">
        <v>2548</v>
      </c>
      <c r="E1054" s="2"/>
      <c r="F1054" s="2" t="s">
        <v>28</v>
      </c>
      <c r="G1054" s="2">
        <v>15</v>
      </c>
      <c r="H1054" s="2">
        <v>161.19999999999999</v>
      </c>
      <c r="I1054" s="2">
        <v>12030</v>
      </c>
      <c r="J1054" s="2" t="s">
        <v>143</v>
      </c>
      <c r="K1054" s="2">
        <v>11</v>
      </c>
      <c r="L1054" s="2" t="s">
        <v>2549</v>
      </c>
      <c r="Q1054" s="4" t="str">
        <f ca="1">IFERROR(__xludf.DUMMYFUNCTION("TRIM(SUBSTITUTE(SUBSTITUTE(D1054, index(SPLIT(D1054, "" ""), COLUMNS(SPLIT(D1054, "" ""))), """"), index(SPLIT(D1054, "" ""), COLUMNS(SPLIT(D1054, "" ""))-1), """"))"),"Байковецька")</f>
        <v>Байковецька</v>
      </c>
    </row>
    <row r="1055" spans="1:17" ht="38">
      <c r="A1055" s="2"/>
      <c r="B1055" s="2" t="s">
        <v>2527</v>
      </c>
      <c r="C1055" s="2" t="s">
        <v>2546</v>
      </c>
      <c r="D1055" s="2" t="s">
        <v>2550</v>
      </c>
      <c r="E1055" s="2"/>
      <c r="F1055" s="2" t="s">
        <v>20</v>
      </c>
      <c r="G1055" s="2">
        <v>21</v>
      </c>
      <c r="H1055" s="2">
        <v>242.5</v>
      </c>
      <c r="I1055" s="2">
        <v>26592</v>
      </c>
      <c r="J1055" s="2" t="s">
        <v>2551</v>
      </c>
      <c r="K1055" s="2">
        <v>9</v>
      </c>
      <c r="L1055" s="2" t="s">
        <v>2552</v>
      </c>
      <c r="Q1055" s="4" t="str">
        <f ca="1">IFERROR(__xludf.DUMMYFUNCTION("TRIM(SUBSTITUTE(SUBSTITUTE(D1055, index(SPLIT(D1055, "" ""), COLUMNS(SPLIT(D1055, "" ""))), """"), index(SPLIT(D1055, "" ""), COLUMNS(SPLIT(D1055, "" ""))-1), """"))"),"Бережанська")</f>
        <v>Бережанська</v>
      </c>
    </row>
    <row r="1056" spans="1:17" ht="38">
      <c r="A1056" s="2"/>
      <c r="B1056" s="2" t="s">
        <v>2527</v>
      </c>
      <c r="C1056" s="2" t="s">
        <v>2546</v>
      </c>
      <c r="D1056" s="2" t="s">
        <v>2553</v>
      </c>
      <c r="E1056" s="2"/>
      <c r="F1056" s="2" t="s">
        <v>28</v>
      </c>
      <c r="G1056" s="2">
        <v>10</v>
      </c>
      <c r="H1056" s="2">
        <v>137.6</v>
      </c>
      <c r="I1056" s="2">
        <v>10875</v>
      </c>
      <c r="J1056" s="2" t="s">
        <v>249</v>
      </c>
      <c r="K1056" s="2">
        <v>7</v>
      </c>
      <c r="L1056" s="2" t="s">
        <v>2554</v>
      </c>
      <c r="Q1056" s="4" t="str">
        <f ca="1">IFERROR(__xludf.DUMMYFUNCTION("TRIM(SUBSTITUTE(SUBSTITUTE(D1056, index(SPLIT(D1056, "" ""), COLUMNS(SPLIT(D1056, "" ""))), """"), index(SPLIT(D1056, "" ""), COLUMNS(SPLIT(D1056, "" ""))-1), """"))"),"Білецька")</f>
        <v>Білецька</v>
      </c>
    </row>
    <row r="1057" spans="1:17" ht="50.5">
      <c r="A1057" s="2"/>
      <c r="B1057" s="2" t="s">
        <v>2527</v>
      </c>
      <c r="C1057" s="2" t="s">
        <v>2546</v>
      </c>
      <c r="D1057" s="2" t="s">
        <v>2555</v>
      </c>
      <c r="E1057" s="2"/>
      <c r="F1057" s="2" t="s">
        <v>32</v>
      </c>
      <c r="G1057" s="2">
        <v>13</v>
      </c>
      <c r="H1057" s="2">
        <v>202</v>
      </c>
      <c r="I1057" s="2">
        <v>23174</v>
      </c>
      <c r="J1057" s="2" t="s">
        <v>2556</v>
      </c>
      <c r="K1057" s="2">
        <v>10</v>
      </c>
      <c r="L1057" s="2" t="s">
        <v>2557</v>
      </c>
      <c r="Q1057" s="4" t="str">
        <f ca="1">IFERROR(__xludf.DUMMYFUNCTION("TRIM(SUBSTITUTE(SUBSTITUTE(D1057, index(SPLIT(D1057, "" ""), COLUMNS(SPLIT(D1057, "" ""))), """"), index(SPLIT(D1057, "" ""), COLUMNS(SPLIT(D1057, "" ""))-1), """"))"),"Великоберезовицька")</f>
        <v>Великоберезовицька</v>
      </c>
    </row>
    <row r="1058" spans="1:17" ht="50.5">
      <c r="A1058" s="2"/>
      <c r="B1058" s="2" t="s">
        <v>2527</v>
      </c>
      <c r="C1058" s="2" t="s">
        <v>2546</v>
      </c>
      <c r="D1058" s="2" t="s">
        <v>2558</v>
      </c>
      <c r="E1058" s="2"/>
      <c r="F1058" s="2" t="s">
        <v>32</v>
      </c>
      <c r="G1058" s="2">
        <v>4</v>
      </c>
      <c r="H1058" s="2">
        <v>65.400000000000006</v>
      </c>
      <c r="I1058" s="2">
        <v>5985</v>
      </c>
      <c r="J1058" s="2" t="s">
        <v>163</v>
      </c>
      <c r="K1058" s="2">
        <v>3</v>
      </c>
      <c r="L1058" s="2" t="s">
        <v>2559</v>
      </c>
      <c r="Q1058" s="4" t="str">
        <f ca="1">IFERROR(__xludf.DUMMYFUNCTION("TRIM(SUBSTITUTE(SUBSTITUTE(D1058, index(SPLIT(D1058, "" ""), COLUMNS(SPLIT(D1058, "" ""))), """"), index(SPLIT(D1058, "" ""), COLUMNS(SPLIT(D1058, "" ""))-1), """"))"),"Великобірківська")</f>
        <v>Великобірківська</v>
      </c>
    </row>
    <row r="1059" spans="1:17" ht="50.5">
      <c r="A1059" s="2"/>
      <c r="B1059" s="2" t="s">
        <v>2527</v>
      </c>
      <c r="C1059" s="2" t="s">
        <v>2546</v>
      </c>
      <c r="D1059" s="2" t="s">
        <v>2560</v>
      </c>
      <c r="E1059" s="2"/>
      <c r="F1059" s="2" t="s">
        <v>28</v>
      </c>
      <c r="G1059" s="2">
        <v>15</v>
      </c>
      <c r="H1059" s="2">
        <v>142.5</v>
      </c>
      <c r="I1059" s="2">
        <v>11286</v>
      </c>
      <c r="J1059" s="2" t="s">
        <v>143</v>
      </c>
      <c r="K1059" s="2">
        <v>7</v>
      </c>
      <c r="L1059" s="2" t="s">
        <v>2561</v>
      </c>
      <c r="Q1059" s="4" t="str">
        <f ca="1">IFERROR(__xludf.DUMMYFUNCTION("TRIM(SUBSTITUTE(SUBSTITUTE(D1059, index(SPLIT(D1059, "" ""), COLUMNS(SPLIT(D1059, "" ""))), """"), index(SPLIT(D1059, "" ""), COLUMNS(SPLIT(D1059, "" ""))-1), """"))"),"Великогаївська")</f>
        <v>Великогаївська</v>
      </c>
    </row>
    <row r="1060" spans="1:17" ht="50.5">
      <c r="A1060" s="2"/>
      <c r="B1060" s="2" t="s">
        <v>2527</v>
      </c>
      <c r="C1060" s="2" t="s">
        <v>2546</v>
      </c>
      <c r="D1060" s="2" t="s">
        <v>2562</v>
      </c>
      <c r="E1060" s="2"/>
      <c r="F1060" s="2" t="s">
        <v>32</v>
      </c>
      <c r="G1060" s="2">
        <v>18</v>
      </c>
      <c r="H1060" s="2">
        <v>247</v>
      </c>
      <c r="I1060" s="2">
        <v>10573</v>
      </c>
      <c r="J1060" s="2" t="s">
        <v>33</v>
      </c>
      <c r="K1060" s="2">
        <v>12</v>
      </c>
      <c r="L1060" s="2" t="s">
        <v>2563</v>
      </c>
      <c r="Q1060" s="4" t="str">
        <f ca="1">IFERROR(__xludf.DUMMYFUNCTION("TRIM(SUBSTITUTE(SUBSTITUTE(D1060, index(SPLIT(D1060, "" ""), COLUMNS(SPLIT(D1060, "" ""))), """"), index(SPLIT(D1060, "" ""), COLUMNS(SPLIT(D1060, "" ""))-1), """"))"),"Залозецька")</f>
        <v>Залозецька</v>
      </c>
    </row>
    <row r="1061" spans="1:17" ht="113">
      <c r="A1061" s="2"/>
      <c r="B1061" s="2" t="s">
        <v>2527</v>
      </c>
      <c r="C1061" s="2" t="s">
        <v>2546</v>
      </c>
      <c r="D1061" s="2" t="s">
        <v>2564</v>
      </c>
      <c r="E1061" s="2"/>
      <c r="F1061" s="2" t="s">
        <v>20</v>
      </c>
      <c r="G1061" s="2">
        <v>54</v>
      </c>
      <c r="H1061" s="2">
        <v>590.79999999999995</v>
      </c>
      <c r="I1061" s="2">
        <v>38915</v>
      </c>
      <c r="J1061" s="2" t="s">
        <v>2565</v>
      </c>
      <c r="K1061" s="2">
        <v>26</v>
      </c>
      <c r="L1061" s="2" t="s">
        <v>2566</v>
      </c>
      <c r="Q1061" s="4" t="str">
        <f ca="1">IFERROR(__xludf.DUMMYFUNCTION("TRIM(SUBSTITUTE(SUBSTITUTE(D1061, index(SPLIT(D1061, "" ""), COLUMNS(SPLIT(D1061, "" ""))), """"), index(SPLIT(D1061, "" ""), COLUMNS(SPLIT(D1061, "" ""))-1), """"))"),"Збаразька")</f>
        <v>Збаразька</v>
      </c>
    </row>
    <row r="1062" spans="1:17" ht="100.5">
      <c r="A1062" s="2"/>
      <c r="B1062" s="2" t="s">
        <v>2527</v>
      </c>
      <c r="C1062" s="2" t="s">
        <v>2546</v>
      </c>
      <c r="D1062" s="2" t="s">
        <v>2567</v>
      </c>
      <c r="E1062" s="2"/>
      <c r="F1062" s="2" t="s">
        <v>20</v>
      </c>
      <c r="G1062" s="2">
        <v>53</v>
      </c>
      <c r="H1062" s="2">
        <v>466.9</v>
      </c>
      <c r="I1062" s="2">
        <v>19262</v>
      </c>
      <c r="J1062" s="2" t="s">
        <v>39</v>
      </c>
      <c r="K1062" s="2">
        <v>22</v>
      </c>
      <c r="L1062" s="2" t="s">
        <v>2568</v>
      </c>
      <c r="Q1062" s="4" t="str">
        <f ca="1">IFERROR(__xludf.DUMMYFUNCTION("TRIM(SUBSTITUTE(SUBSTITUTE(D1062, index(SPLIT(D1062, "" ""), COLUMNS(SPLIT(D1062, "" ""))), """"), index(SPLIT(D1062, "" ""), COLUMNS(SPLIT(D1062, "" ""))-1), """"))"),"Зборівська")</f>
        <v>Зборівська</v>
      </c>
    </row>
    <row r="1063" spans="1:17" ht="63">
      <c r="A1063" s="2"/>
      <c r="B1063" s="2" t="s">
        <v>2527</v>
      </c>
      <c r="C1063" s="2" t="s">
        <v>2546</v>
      </c>
      <c r="D1063" s="2" t="s">
        <v>2569</v>
      </c>
      <c r="E1063" s="2"/>
      <c r="F1063" s="2" t="s">
        <v>28</v>
      </c>
      <c r="G1063" s="2">
        <v>21</v>
      </c>
      <c r="H1063" s="2">
        <v>284.2</v>
      </c>
      <c r="I1063" s="2">
        <v>7601</v>
      </c>
      <c r="J1063" s="2" t="s">
        <v>143</v>
      </c>
      <c r="K1063" s="2">
        <v>14</v>
      </c>
      <c r="L1063" s="2" t="s">
        <v>2570</v>
      </c>
      <c r="Q1063" s="4" t="str">
        <f ca="1">IFERROR(__xludf.DUMMYFUNCTION("TRIM(SUBSTITUTE(SUBSTITUTE(D1063, index(SPLIT(D1063, "" ""), COLUMNS(SPLIT(D1063, "" ""))), """"), index(SPLIT(D1063, "" ""), COLUMNS(SPLIT(D1063, "" ""))-1), """"))"),"Золотниківська")</f>
        <v>Золотниківська</v>
      </c>
    </row>
    <row r="1064" spans="1:17" ht="38">
      <c r="A1064" s="2"/>
      <c r="B1064" s="2" t="s">
        <v>2527</v>
      </c>
      <c r="C1064" s="2" t="s">
        <v>2546</v>
      </c>
      <c r="D1064" s="2" t="s">
        <v>2571</v>
      </c>
      <c r="E1064" s="2"/>
      <c r="F1064" s="2" t="s">
        <v>32</v>
      </c>
      <c r="G1064" s="2">
        <v>5</v>
      </c>
      <c r="H1064" s="2">
        <v>95.4</v>
      </c>
      <c r="I1064" s="2">
        <v>4404</v>
      </c>
      <c r="J1064" s="2" t="s">
        <v>143</v>
      </c>
      <c r="K1064" s="2">
        <v>4</v>
      </c>
      <c r="L1064" s="2" t="s">
        <v>2572</v>
      </c>
      <c r="Q1064" s="4" t="str">
        <f ca="1">IFERROR(__xludf.DUMMYFUNCTION("TRIM(SUBSTITUTE(SUBSTITUTE(D1064, index(SPLIT(D1064, "" ""), COLUMNS(SPLIT(D1064, "" ""))), """"), index(SPLIT(D1064, "" ""), COLUMNS(SPLIT(D1064, "" ""))-1), """"))"),"Козлівська")</f>
        <v>Козлівська</v>
      </c>
    </row>
    <row r="1065" spans="1:17" ht="100.5">
      <c r="A1065" s="2"/>
      <c r="B1065" s="2" t="s">
        <v>2527</v>
      </c>
      <c r="C1065" s="2" t="s">
        <v>2546</v>
      </c>
      <c r="D1065" s="2" t="s">
        <v>1732</v>
      </c>
      <c r="E1065" s="2"/>
      <c r="F1065" s="2" t="s">
        <v>32</v>
      </c>
      <c r="G1065" s="2">
        <v>36</v>
      </c>
      <c r="H1065" s="2">
        <v>428</v>
      </c>
      <c r="I1065" s="2">
        <v>25053</v>
      </c>
      <c r="J1065" s="2" t="s">
        <v>2573</v>
      </c>
      <c r="K1065" s="2">
        <v>22</v>
      </c>
      <c r="L1065" s="2" t="s">
        <v>2574</v>
      </c>
      <c r="Q1065" s="4" t="str">
        <f ca="1">IFERROR(__xludf.DUMMYFUNCTION("TRIM(SUBSTITUTE(SUBSTITUTE(D1065, index(SPLIT(D1065, "" ""), COLUMNS(SPLIT(D1065, "" ""))), """"), index(SPLIT(D1065, "" ""), COLUMNS(SPLIT(D1065, "" ""))-1), """"))"),"Козівська")</f>
        <v>Козівська</v>
      </c>
    </row>
    <row r="1066" spans="1:17" ht="38">
      <c r="A1066" s="2"/>
      <c r="B1066" s="2" t="s">
        <v>2527</v>
      </c>
      <c r="C1066" s="2" t="s">
        <v>2546</v>
      </c>
      <c r="D1066" s="2" t="s">
        <v>2575</v>
      </c>
      <c r="E1066" s="2"/>
      <c r="F1066" s="2" t="s">
        <v>28</v>
      </c>
      <c r="G1066" s="2">
        <v>8</v>
      </c>
      <c r="H1066" s="2">
        <v>97.6</v>
      </c>
      <c r="I1066" s="2">
        <v>3809</v>
      </c>
      <c r="J1066" s="2" t="s">
        <v>249</v>
      </c>
      <c r="K1066" s="2">
        <v>4</v>
      </c>
      <c r="L1066" s="2" t="s">
        <v>2576</v>
      </c>
      <c r="Q1066" s="4" t="str">
        <f ca="1">IFERROR(__xludf.DUMMYFUNCTION("TRIM(SUBSTITUTE(SUBSTITUTE(D1066, index(SPLIT(D1066, "" ""), COLUMNS(SPLIT(D1066, "" ""))), """"), index(SPLIT(D1066, "" ""), COLUMNS(SPLIT(D1066, "" ""))-1), """"))"),"Купчинецька")</f>
        <v>Купчинецька</v>
      </c>
    </row>
    <row r="1067" spans="1:17" ht="50.5">
      <c r="A1067" s="2"/>
      <c r="B1067" s="2" t="s">
        <v>2527</v>
      </c>
      <c r="C1067" s="2" t="s">
        <v>2546</v>
      </c>
      <c r="D1067" s="2" t="s">
        <v>2577</v>
      </c>
      <c r="E1067" s="2"/>
      <c r="F1067" s="2" t="s">
        <v>32</v>
      </c>
      <c r="G1067" s="2">
        <v>20</v>
      </c>
      <c r="H1067" s="2">
        <v>239.4</v>
      </c>
      <c r="I1067" s="2">
        <v>17170</v>
      </c>
      <c r="J1067" s="2" t="s">
        <v>143</v>
      </c>
      <c r="K1067" s="2">
        <v>9</v>
      </c>
      <c r="L1067" s="2" t="s">
        <v>2578</v>
      </c>
      <c r="Q1067" s="4" t="str">
        <f ca="1">IFERROR(__xludf.DUMMYFUNCTION("TRIM(SUBSTITUTE(SUBSTITUTE(D1067, index(SPLIT(D1067, "" ""), COLUMNS(SPLIT(D1067, "" ""))), """"), index(SPLIT(D1067, "" ""), COLUMNS(SPLIT(D1067, "" ""))-1), """"))"),"Микулинецька")</f>
        <v>Микулинецька</v>
      </c>
    </row>
    <row r="1068" spans="1:17" ht="38">
      <c r="A1068" s="2"/>
      <c r="B1068" s="2" t="s">
        <v>2527</v>
      </c>
      <c r="C1068" s="2" t="s">
        <v>2546</v>
      </c>
      <c r="D1068" s="2" t="s">
        <v>2579</v>
      </c>
      <c r="E1068" s="2"/>
      <c r="F1068" s="2" t="s">
        <v>28</v>
      </c>
      <c r="G1068" s="2">
        <v>18</v>
      </c>
      <c r="H1068" s="2">
        <v>218.1</v>
      </c>
      <c r="I1068" s="2">
        <v>6747</v>
      </c>
      <c r="J1068" s="2" t="s">
        <v>163</v>
      </c>
      <c r="K1068" s="2">
        <v>7</v>
      </c>
      <c r="L1068" s="2" t="s">
        <v>2580</v>
      </c>
      <c r="Q1068" s="4" t="str">
        <f ca="1">IFERROR(__xludf.DUMMYFUNCTION("TRIM(SUBSTITUTE(SUBSTITUTE(D1068, index(SPLIT(D1068, "" ""), COLUMNS(SPLIT(D1068, "" ""))), """"), index(SPLIT(D1068, "" ""), COLUMNS(SPLIT(D1068, "" ""))-1), """"))"),"Нараївська")</f>
        <v>Нараївська</v>
      </c>
    </row>
    <row r="1069" spans="1:17" ht="38">
      <c r="A1069" s="2"/>
      <c r="B1069" s="2" t="s">
        <v>2527</v>
      </c>
      <c r="C1069" s="2" t="s">
        <v>2546</v>
      </c>
      <c r="D1069" s="2" t="s">
        <v>2581</v>
      </c>
      <c r="E1069" s="2"/>
      <c r="F1069" s="2" t="s">
        <v>28</v>
      </c>
      <c r="G1069" s="2">
        <v>13</v>
      </c>
      <c r="H1069" s="2">
        <v>167.6</v>
      </c>
      <c r="I1069" s="2">
        <v>7073</v>
      </c>
      <c r="J1069" s="2" t="s">
        <v>143</v>
      </c>
      <c r="K1069" s="2">
        <v>6</v>
      </c>
      <c r="L1069" s="2" t="s">
        <v>2582</v>
      </c>
      <c r="Q1069" s="4" t="str">
        <f ca="1">IFERROR(__xludf.DUMMYFUNCTION("TRIM(SUBSTITUTE(SUBSTITUTE(D1069, index(SPLIT(D1069, "" ""), COLUMNS(SPLIT(D1069, "" ""))), """"), index(SPLIT(D1069, "" ""), COLUMNS(SPLIT(D1069, "" ""))-1), """"))"),"Озернянська")</f>
        <v>Озернянська</v>
      </c>
    </row>
    <row r="1070" spans="1:17" ht="75.5">
      <c r="A1070" s="2"/>
      <c r="B1070" s="2" t="s">
        <v>2527</v>
      </c>
      <c r="C1070" s="2" t="s">
        <v>2546</v>
      </c>
      <c r="D1070" s="2" t="s">
        <v>2583</v>
      </c>
      <c r="E1070" s="2"/>
      <c r="F1070" s="2" t="s">
        <v>32</v>
      </c>
      <c r="G1070" s="2">
        <v>23</v>
      </c>
      <c r="H1070" s="2">
        <v>350.6</v>
      </c>
      <c r="I1070" s="2">
        <v>18538</v>
      </c>
      <c r="J1070" s="2" t="s">
        <v>143</v>
      </c>
      <c r="K1070" s="2">
        <v>17</v>
      </c>
      <c r="L1070" s="2" t="s">
        <v>2584</v>
      </c>
      <c r="Q1070" s="4" t="str">
        <f ca="1">IFERROR(__xludf.DUMMYFUNCTION("TRIM(SUBSTITUTE(SUBSTITUTE(D1070, index(SPLIT(D1070, "" ""), COLUMNS(SPLIT(D1070, "" ""))), """"), index(SPLIT(D1070, "" ""), COLUMNS(SPLIT(D1070, "" ""))-1), """"))"),"Підволочиська")</f>
        <v>Підволочиська</v>
      </c>
    </row>
    <row r="1071" spans="1:17" ht="88">
      <c r="A1071" s="2"/>
      <c r="B1071" s="2" t="s">
        <v>2527</v>
      </c>
      <c r="C1071" s="2" t="s">
        <v>2546</v>
      </c>
      <c r="D1071" s="2" t="s">
        <v>2585</v>
      </c>
      <c r="E1071" s="2"/>
      <c r="F1071" s="2" t="s">
        <v>20</v>
      </c>
      <c r="G1071" s="2">
        <v>36</v>
      </c>
      <c r="H1071" s="2">
        <v>474.9</v>
      </c>
      <c r="I1071" s="2">
        <v>16483</v>
      </c>
      <c r="J1071" s="2" t="s">
        <v>2586</v>
      </c>
      <c r="K1071" s="2">
        <v>21</v>
      </c>
      <c r="L1071" s="2" t="s">
        <v>2587</v>
      </c>
      <c r="Q1071" s="4" t="str">
        <f ca="1">IFERROR(__xludf.DUMMYFUNCTION("TRIM(SUBSTITUTE(SUBSTITUTE(D1071, index(SPLIT(D1071, "" ""), COLUMNS(SPLIT(D1071, "" ""))), """"), index(SPLIT(D1071, "" ""), COLUMNS(SPLIT(D1071, "" ""))-1), """"))"),"Підгаєцька")</f>
        <v>Підгаєцька</v>
      </c>
    </row>
    <row r="1072" spans="1:17" ht="50.5">
      <c r="A1072" s="2"/>
      <c r="B1072" s="2" t="s">
        <v>2527</v>
      </c>
      <c r="C1072" s="2" t="s">
        <v>2546</v>
      </c>
      <c r="D1072" s="2" t="s">
        <v>2588</v>
      </c>
      <c r="E1072" s="2"/>
      <c r="F1072" s="2" t="s">
        <v>28</v>
      </c>
      <c r="G1072" s="2">
        <v>7</v>
      </c>
      <c r="H1072" s="2">
        <v>123.7</v>
      </c>
      <c r="I1072" s="2">
        <v>7346</v>
      </c>
      <c r="J1072" s="2" t="s">
        <v>2589</v>
      </c>
      <c r="K1072" s="2">
        <v>6</v>
      </c>
      <c r="L1072" s="2" t="s">
        <v>2590</v>
      </c>
      <c r="Q1072" s="4" t="str">
        <f ca="1">IFERROR(__xludf.DUMMYFUNCTION("TRIM(SUBSTITUTE(SUBSTITUTE(D1072, index(SPLIT(D1072, "" ""), COLUMNS(SPLIT(D1072, "" ""))), """"), index(SPLIT(D1072, "" ""), COLUMNS(SPLIT(D1072, "" ""))-1), """"))"),"Підгороднянська")</f>
        <v>Підгороднянська</v>
      </c>
    </row>
    <row r="1073" spans="1:17" ht="50.5">
      <c r="A1073" s="2"/>
      <c r="B1073" s="2" t="s">
        <v>2527</v>
      </c>
      <c r="C1073" s="2" t="s">
        <v>2546</v>
      </c>
      <c r="D1073" s="2" t="s">
        <v>2591</v>
      </c>
      <c r="E1073" s="2"/>
      <c r="F1073" s="2" t="s">
        <v>28</v>
      </c>
      <c r="G1073" s="2">
        <v>19</v>
      </c>
      <c r="H1073" s="2">
        <v>222.2</v>
      </c>
      <c r="I1073" s="2">
        <v>6395</v>
      </c>
      <c r="J1073" s="2" t="s">
        <v>39</v>
      </c>
      <c r="K1073" s="2">
        <v>10</v>
      </c>
      <c r="L1073" s="2" t="s">
        <v>2592</v>
      </c>
      <c r="Q1073" s="4" t="str">
        <f ca="1">IFERROR(__xludf.DUMMYFUNCTION("TRIM(SUBSTITUTE(SUBSTITUTE(D1073, index(SPLIT(D1073, "" ""), COLUMNS(SPLIT(D1073, "" ""))), """"), index(SPLIT(D1073, "" ""), COLUMNS(SPLIT(D1073, "" ""))-1), """"))"),"Саранчуківська")</f>
        <v>Саранчуківська</v>
      </c>
    </row>
    <row r="1074" spans="1:17" ht="50.5">
      <c r="A1074" s="2"/>
      <c r="B1074" s="2" t="s">
        <v>2527</v>
      </c>
      <c r="C1074" s="2" t="s">
        <v>2546</v>
      </c>
      <c r="D1074" s="2" t="s">
        <v>2593</v>
      </c>
      <c r="E1074" s="2"/>
      <c r="F1074" s="2" t="s">
        <v>20</v>
      </c>
      <c r="G1074" s="2">
        <v>16</v>
      </c>
      <c r="H1074" s="2">
        <v>224.3</v>
      </c>
      <c r="I1074" s="2">
        <v>13345</v>
      </c>
      <c r="J1074" s="2" t="s">
        <v>143</v>
      </c>
      <c r="K1074" s="2">
        <v>10</v>
      </c>
      <c r="L1074" s="2" t="s">
        <v>2594</v>
      </c>
      <c r="Q1074" s="4" t="str">
        <f ca="1">IFERROR(__xludf.DUMMYFUNCTION("TRIM(SUBSTITUTE(SUBSTITUTE(D1074, index(SPLIT(D1074, "" ""), COLUMNS(SPLIT(D1074, "" ""))), """"), index(SPLIT(D1074, "" ""), COLUMNS(SPLIT(D1074, "" ""))-1), """"))"),"Скалатська")</f>
        <v>Скалатська</v>
      </c>
    </row>
    <row r="1075" spans="1:17" ht="38">
      <c r="A1075" s="2"/>
      <c r="B1075" s="2" t="s">
        <v>2527</v>
      </c>
      <c r="C1075" s="2" t="s">
        <v>2546</v>
      </c>
      <c r="D1075" s="2" t="s">
        <v>2595</v>
      </c>
      <c r="E1075" s="2"/>
      <c r="F1075" s="2" t="s">
        <v>28</v>
      </c>
      <c r="G1075" s="2">
        <v>23</v>
      </c>
      <c r="H1075" s="2">
        <v>262.8</v>
      </c>
      <c r="I1075" s="2">
        <v>8220</v>
      </c>
      <c r="J1075" s="2" t="s">
        <v>143</v>
      </c>
      <c r="K1075" s="2">
        <v>9</v>
      </c>
      <c r="L1075" s="2" t="s">
        <v>2596</v>
      </c>
      <c r="Q1075" s="4" t="str">
        <f ca="1">IFERROR(__xludf.DUMMYFUNCTION("TRIM(SUBSTITUTE(SUBSTITUTE(D1075, index(SPLIT(D1075, "" ""), COLUMNS(SPLIT(D1075, "" ""))), """"), index(SPLIT(D1075, "" ""), COLUMNS(SPLIT(D1075, "" ""))-1), """"))"),"Скориківська")</f>
        <v>Скориківська</v>
      </c>
    </row>
    <row r="1076" spans="1:17" ht="63">
      <c r="A1076" s="2"/>
      <c r="B1076" s="2" t="s">
        <v>2527</v>
      </c>
      <c r="C1076" s="2" t="s">
        <v>2546</v>
      </c>
      <c r="D1076" s="2" t="s">
        <v>2597</v>
      </c>
      <c r="E1076" s="2"/>
      <c r="F1076" s="2" t="s">
        <v>20</v>
      </c>
      <c r="G1076" s="2">
        <v>28</v>
      </c>
      <c r="H1076" s="2">
        <v>440.7</v>
      </c>
      <c r="I1076" s="2">
        <v>30594</v>
      </c>
      <c r="J1076" s="2" t="s">
        <v>143</v>
      </c>
      <c r="K1076" s="2">
        <v>15</v>
      </c>
      <c r="L1076" s="2" t="s">
        <v>2598</v>
      </c>
      <c r="Q1076" s="4" t="str">
        <f ca="1">IFERROR(__xludf.DUMMYFUNCTION("TRIM(SUBSTITUTE(SUBSTITUTE(D1076, index(SPLIT(D1076, "" ""), COLUMNS(SPLIT(D1076, "" ""))), """"), index(SPLIT(D1076, "" ""), COLUMNS(SPLIT(D1076, "" ""))-1), """"))"),"Теребовлянська")</f>
        <v>Теребовлянська</v>
      </c>
    </row>
    <row r="1077" spans="1:17" ht="50.5">
      <c r="A1077" s="2"/>
      <c r="B1077" s="2" t="s">
        <v>2527</v>
      </c>
      <c r="C1077" s="2" t="s">
        <v>2546</v>
      </c>
      <c r="D1077" s="2" t="s">
        <v>2599</v>
      </c>
      <c r="E1077" s="2"/>
      <c r="F1077" s="2" t="s">
        <v>20</v>
      </c>
      <c r="G1077" s="2">
        <v>11</v>
      </c>
      <c r="H1077" s="2">
        <v>166.7</v>
      </c>
      <c r="I1077" s="2">
        <v>226594</v>
      </c>
      <c r="J1077" s="2" t="s">
        <v>2551</v>
      </c>
      <c r="K1077" s="2">
        <v>6</v>
      </c>
      <c r="L1077" s="2" t="s">
        <v>2600</v>
      </c>
      <c r="Q1077" s="4" t="str">
        <f ca="1">IFERROR(__xludf.DUMMYFUNCTION("TRIM(SUBSTITUTE(SUBSTITUTE(D1077, index(SPLIT(D1077, "" ""), COLUMNS(SPLIT(D1077, "" ""))), """"), index(SPLIT(D1077, "" ""), COLUMNS(SPLIT(D1077, "" ""))-1), """"))"),"Тернопільська")</f>
        <v>Тернопільська</v>
      </c>
    </row>
    <row r="1078" spans="1:17" ht="50.5">
      <c r="A1078" s="2"/>
      <c r="B1078" s="2" t="s">
        <v>2527</v>
      </c>
      <c r="C1078" s="2" t="s">
        <v>2601</v>
      </c>
      <c r="D1078" s="2" t="s">
        <v>2602</v>
      </c>
      <c r="E1078" s="2"/>
      <c r="F1078" s="2" t="s">
        <v>28</v>
      </c>
      <c r="G1078" s="2">
        <v>4</v>
      </c>
      <c r="H1078" s="2">
        <v>80.400000000000006</v>
      </c>
      <c r="I1078" s="2">
        <v>4831</v>
      </c>
      <c r="J1078" s="2" t="s">
        <v>2603</v>
      </c>
      <c r="K1078" s="2">
        <v>4</v>
      </c>
      <c r="L1078" s="2" t="s">
        <v>2604</v>
      </c>
      <c r="Q1078" s="4" t="str">
        <f ca="1">IFERROR(__xludf.DUMMYFUNCTION("TRIM(SUBSTITUTE(SUBSTITUTE(D1078, index(SPLIT(D1078, "" ""), COLUMNS(SPLIT(D1078, "" ""))), """"), index(SPLIT(D1078, "" ""), COLUMNS(SPLIT(D1078, "" ""))-1), """"))"),"Іване-Пустенська")</f>
        <v>Іване-Пустенська</v>
      </c>
    </row>
    <row r="1079" spans="1:17" ht="100.5">
      <c r="A1079" s="2"/>
      <c r="B1079" s="2" t="s">
        <v>2527</v>
      </c>
      <c r="C1079" s="2" t="s">
        <v>2601</v>
      </c>
      <c r="D1079" s="2" t="s">
        <v>2605</v>
      </c>
      <c r="E1079" s="2"/>
      <c r="F1079" s="2" t="s">
        <v>20</v>
      </c>
      <c r="G1079" s="2">
        <v>37</v>
      </c>
      <c r="H1079" s="2">
        <v>524.20000000000005</v>
      </c>
      <c r="I1079" s="2">
        <v>37886</v>
      </c>
      <c r="J1079" s="2" t="s">
        <v>2606</v>
      </c>
      <c r="K1079" s="2">
        <v>24</v>
      </c>
      <c r="L1079" s="2" t="s">
        <v>2607</v>
      </c>
      <c r="Q1079" s="4" t="str">
        <f ca="1">IFERROR(__xludf.DUMMYFUNCTION("TRIM(SUBSTITUTE(SUBSTITUTE(D1079, index(SPLIT(D1079, "" ""), COLUMNS(SPLIT(D1079, "" ""))), """"), index(SPLIT(D1079, "" ""), COLUMNS(SPLIT(D1079, "" ""))-1), """"))"),"Бучацька")</f>
        <v>Бучацька</v>
      </c>
    </row>
    <row r="1080" spans="1:17" ht="50.5">
      <c r="A1080" s="2"/>
      <c r="B1080" s="2" t="s">
        <v>2527</v>
      </c>
      <c r="C1080" s="2" t="s">
        <v>2601</v>
      </c>
      <c r="D1080" s="2" t="s">
        <v>2608</v>
      </c>
      <c r="E1080" s="2"/>
      <c r="F1080" s="2" t="s">
        <v>28</v>
      </c>
      <c r="G1080" s="2">
        <v>18</v>
      </c>
      <c r="H1080" s="2">
        <v>269.8</v>
      </c>
      <c r="I1080" s="2">
        <v>10818</v>
      </c>
      <c r="J1080" s="2" t="s">
        <v>143</v>
      </c>
      <c r="K1080" s="2">
        <v>10</v>
      </c>
      <c r="L1080" s="2" t="s">
        <v>2609</v>
      </c>
      <c r="Q1080" s="4" t="str">
        <f ca="1">IFERROR(__xludf.DUMMYFUNCTION("TRIM(SUBSTITUTE(SUBSTITUTE(D1080, index(SPLIT(D1080, "" ""), COLUMNS(SPLIT(D1080, "" ""))), """"), index(SPLIT(D1080, "" ""), COLUMNS(SPLIT(D1080, "" ""))-1), """"))"),"Білобожницька")</f>
        <v>Білобожницька</v>
      </c>
    </row>
    <row r="1081" spans="1:17" ht="50.5">
      <c r="A1081" s="2"/>
      <c r="B1081" s="2" t="s">
        <v>2527</v>
      </c>
      <c r="C1081" s="2" t="s">
        <v>2601</v>
      </c>
      <c r="D1081" s="2" t="s">
        <v>2610</v>
      </c>
      <c r="E1081" s="2"/>
      <c r="F1081" s="2" t="s">
        <v>28</v>
      </c>
      <c r="G1081" s="2">
        <v>7</v>
      </c>
      <c r="H1081" s="2">
        <v>103.9</v>
      </c>
      <c r="I1081" s="2">
        <v>3982</v>
      </c>
      <c r="J1081" s="2" t="s">
        <v>33</v>
      </c>
      <c r="K1081" s="2">
        <v>4</v>
      </c>
      <c r="L1081" s="2" t="s">
        <v>2611</v>
      </c>
      <c r="Q1081" s="4" t="str">
        <f ca="1">IFERROR(__xludf.DUMMYFUNCTION("TRIM(SUBSTITUTE(SUBSTITUTE(D1081, index(SPLIT(D1081, "" ""), COLUMNS(SPLIT(D1081, "" ""))), """"), index(SPLIT(D1081, "" ""), COLUMNS(SPLIT(D1081, "" ""))-1), """"))"),"Більче-Золотецька")</f>
        <v>Більче-Золотецька</v>
      </c>
    </row>
    <row r="1082" spans="1:17" ht="50.5">
      <c r="A1082" s="2"/>
      <c r="B1082" s="2" t="s">
        <v>2527</v>
      </c>
      <c r="C1082" s="2" t="s">
        <v>2601</v>
      </c>
      <c r="D1082" s="2" t="s">
        <v>2612</v>
      </c>
      <c r="E1082" s="2"/>
      <c r="F1082" s="2" t="s">
        <v>28</v>
      </c>
      <c r="G1082" s="2">
        <v>9</v>
      </c>
      <c r="H1082" s="2">
        <v>170.1</v>
      </c>
      <c r="I1082" s="2">
        <v>8070</v>
      </c>
      <c r="J1082" s="2" t="s">
        <v>143</v>
      </c>
      <c r="K1082" s="2">
        <v>8</v>
      </c>
      <c r="L1082" s="2" t="s">
        <v>2613</v>
      </c>
      <c r="Q1082" s="4" t="str">
        <f ca="1">IFERROR(__xludf.DUMMYFUNCTION("TRIM(SUBSTITUTE(SUBSTITUTE(D1082, index(SPLIT(D1082, "" ""), COLUMNS(SPLIT(D1082, "" ""))), """"), index(SPLIT(D1082, "" ""), COLUMNS(SPLIT(D1082, "" ""))-1), """"))"),"Васильковецька")</f>
        <v>Васильковецька</v>
      </c>
    </row>
    <row r="1083" spans="1:17" ht="63">
      <c r="A1083" s="2"/>
      <c r="B1083" s="2" t="s">
        <v>2527</v>
      </c>
      <c r="C1083" s="2" t="s">
        <v>2601</v>
      </c>
      <c r="D1083" s="2" t="s">
        <v>2614</v>
      </c>
      <c r="E1083" s="2"/>
      <c r="F1083" s="2" t="s">
        <v>32</v>
      </c>
      <c r="G1083" s="2">
        <v>25</v>
      </c>
      <c r="H1083" s="2">
        <v>330.9</v>
      </c>
      <c r="I1083" s="2">
        <v>9490</v>
      </c>
      <c r="J1083" s="2" t="s">
        <v>33</v>
      </c>
      <c r="K1083" s="2">
        <v>13</v>
      </c>
      <c r="L1083" s="2" t="s">
        <v>2615</v>
      </c>
      <c r="Q1083" s="4" t="str">
        <f ca="1">IFERROR(__xludf.DUMMYFUNCTION("TRIM(SUBSTITUTE(SUBSTITUTE(D1083, index(SPLIT(D1083, "" ""), COLUMNS(SPLIT(D1083, "" ""))), """"), index(SPLIT(D1083, "" ""), COLUMNS(SPLIT(D1083, "" ""))-1), """"))"),"Гримайлівська")</f>
        <v>Гримайлівська</v>
      </c>
    </row>
    <row r="1084" spans="1:17" ht="63">
      <c r="A1084" s="2"/>
      <c r="B1084" s="2" t="s">
        <v>2527</v>
      </c>
      <c r="C1084" s="2" t="s">
        <v>2601</v>
      </c>
      <c r="D1084" s="2" t="s">
        <v>2616</v>
      </c>
      <c r="E1084" s="2"/>
      <c r="F1084" s="2" t="s">
        <v>32</v>
      </c>
      <c r="G1084" s="2">
        <v>17</v>
      </c>
      <c r="H1084" s="2">
        <v>245.8</v>
      </c>
      <c r="I1084" s="2">
        <v>15576</v>
      </c>
      <c r="J1084" s="2" t="s">
        <v>143</v>
      </c>
      <c r="K1084" s="2">
        <v>12</v>
      </c>
      <c r="L1084" s="2" t="s">
        <v>2617</v>
      </c>
      <c r="Q1084" s="4" t="str">
        <f ca="1">IFERROR(__xludf.DUMMYFUNCTION("TRIM(SUBSTITUTE(SUBSTITUTE(D1084, index(SPLIT(D1084, "" ""), COLUMNS(SPLIT(D1084, "" ""))), """"), index(SPLIT(D1084, "" ""), COLUMNS(SPLIT(D1084, "" ""))-1), """"))"),"Гусятинська")</f>
        <v>Гусятинська</v>
      </c>
    </row>
    <row r="1085" spans="1:17" ht="38">
      <c r="A1085" s="2"/>
      <c r="B1085" s="2" t="s">
        <v>2527</v>
      </c>
      <c r="C1085" s="2" t="s">
        <v>2601</v>
      </c>
      <c r="D1085" s="2" t="s">
        <v>2182</v>
      </c>
      <c r="E1085" s="2"/>
      <c r="F1085" s="2" t="s">
        <v>32</v>
      </c>
      <c r="G1085" s="2">
        <v>6</v>
      </c>
      <c r="H1085" s="2">
        <v>90.4</v>
      </c>
      <c r="I1085" s="2">
        <v>6852</v>
      </c>
      <c r="J1085" s="2" t="s">
        <v>143</v>
      </c>
      <c r="K1085" s="2">
        <v>6</v>
      </c>
      <c r="L1085" s="2" t="s">
        <v>2618</v>
      </c>
      <c r="Q1085" s="4" t="str">
        <f ca="1">IFERROR(__xludf.DUMMYFUNCTION("TRIM(SUBSTITUTE(SUBSTITUTE(D1085, index(SPLIT(D1085, "" ""), COLUMNS(SPLIT(D1085, "" ""))), """"), index(SPLIT(D1085, "" ""), COLUMNS(SPLIT(D1085, "" ""))-1), """"))"),"Заводська")</f>
        <v>Заводська</v>
      </c>
    </row>
    <row r="1086" spans="1:17" ht="88">
      <c r="A1086" s="2"/>
      <c r="B1086" s="2" t="s">
        <v>2527</v>
      </c>
      <c r="C1086" s="2" t="s">
        <v>2601</v>
      </c>
      <c r="D1086" s="2" t="s">
        <v>2619</v>
      </c>
      <c r="E1086" s="2"/>
      <c r="F1086" s="2" t="s">
        <v>20</v>
      </c>
      <c r="G1086" s="2">
        <v>30</v>
      </c>
      <c r="H1086" s="2">
        <v>351.9</v>
      </c>
      <c r="I1086" s="2">
        <v>26994</v>
      </c>
      <c r="J1086" s="2" t="s">
        <v>2620</v>
      </c>
      <c r="K1086" s="2">
        <v>19</v>
      </c>
      <c r="L1086" s="2" t="s">
        <v>2621</v>
      </c>
      <c r="Q1086" s="4" t="str">
        <f ca="1">IFERROR(__xludf.DUMMYFUNCTION("TRIM(SUBSTITUTE(SUBSTITUTE(D1086, index(SPLIT(D1086, "" ""), COLUMNS(SPLIT(D1086, "" ""))), """"), index(SPLIT(D1086, "" ""), COLUMNS(SPLIT(D1086, "" ""))-1), """"))"),"Заліщицька")</f>
        <v>Заліщицька</v>
      </c>
    </row>
    <row r="1087" spans="1:17" ht="63">
      <c r="A1087" s="2"/>
      <c r="B1087" s="2" t="s">
        <v>2527</v>
      </c>
      <c r="C1087" s="2" t="s">
        <v>2601</v>
      </c>
      <c r="D1087" s="2" t="s">
        <v>2622</v>
      </c>
      <c r="E1087" s="2"/>
      <c r="F1087" s="2" t="s">
        <v>32</v>
      </c>
      <c r="G1087" s="2">
        <v>15</v>
      </c>
      <c r="H1087" s="2">
        <v>160.4</v>
      </c>
      <c r="I1087" s="2">
        <v>15172</v>
      </c>
      <c r="J1087" s="2" t="s">
        <v>143</v>
      </c>
      <c r="K1087" s="2">
        <v>13</v>
      </c>
      <c r="L1087" s="2" t="s">
        <v>2623</v>
      </c>
      <c r="Q1087" s="4" t="str">
        <f ca="1">IFERROR(__xludf.DUMMYFUNCTION("TRIM(SUBSTITUTE(SUBSTITUTE(D1087, index(SPLIT(D1087, "" ""), COLUMNS(SPLIT(D1087, "" ""))), """"), index(SPLIT(D1087, "" ""), COLUMNS(SPLIT(D1087, "" ""))-1), """"))"),"Золотопотіцька")</f>
        <v>Золотопотіцька</v>
      </c>
    </row>
    <row r="1088" spans="1:17" ht="50.5">
      <c r="A1088" s="2"/>
      <c r="B1088" s="2" t="s">
        <v>2527</v>
      </c>
      <c r="C1088" s="2" t="s">
        <v>2601</v>
      </c>
      <c r="D1088" s="2" t="s">
        <v>2624</v>
      </c>
      <c r="E1088" s="2"/>
      <c r="F1088" s="2" t="s">
        <v>28</v>
      </c>
      <c r="G1088" s="2">
        <v>8</v>
      </c>
      <c r="H1088" s="2">
        <v>155.80000000000001</v>
      </c>
      <c r="I1088" s="2">
        <v>6593</v>
      </c>
      <c r="J1088" s="2" t="s">
        <v>143</v>
      </c>
      <c r="K1088" s="2">
        <v>8</v>
      </c>
      <c r="L1088" s="2" t="s">
        <v>2625</v>
      </c>
      <c r="Q1088" s="4" t="str">
        <f ca="1">IFERROR(__xludf.DUMMYFUNCTION("TRIM(SUBSTITUTE(SUBSTITUTE(D1088, index(SPLIT(D1088, "" ""), COLUMNS(SPLIT(D1088, "" ""))), """"), index(SPLIT(D1088, "" ""), COLUMNS(SPLIT(D1088, "" ""))-1), """"))"),"Колиндянська")</f>
        <v>Колиндянська</v>
      </c>
    </row>
    <row r="1089" spans="1:17" ht="50.5">
      <c r="A1089" s="2"/>
      <c r="B1089" s="2" t="s">
        <v>2527</v>
      </c>
      <c r="C1089" s="2" t="s">
        <v>2601</v>
      </c>
      <c r="D1089" s="2" t="s">
        <v>2626</v>
      </c>
      <c r="E1089" s="2"/>
      <c r="F1089" s="2" t="s">
        <v>20</v>
      </c>
      <c r="G1089" s="2">
        <v>12</v>
      </c>
      <c r="H1089" s="2">
        <v>171</v>
      </c>
      <c r="I1089" s="2">
        <v>13150</v>
      </c>
      <c r="J1089" s="2" t="s">
        <v>249</v>
      </c>
      <c r="K1089" s="2">
        <v>8</v>
      </c>
      <c r="L1089" s="2" t="s">
        <v>2627</v>
      </c>
      <c r="Q1089" s="4" t="str">
        <f ca="1">IFERROR(__xludf.DUMMYFUNCTION("TRIM(SUBSTITUTE(SUBSTITUTE(D1089, index(SPLIT(D1089, "" ""), COLUMNS(SPLIT(D1089, "" ""))), """"), index(SPLIT(D1089, "" ""), COLUMNS(SPLIT(D1089, "" ""))-1), """"))"),"Копичинецька")</f>
        <v>Копичинецька</v>
      </c>
    </row>
    <row r="1090" spans="1:17" ht="38">
      <c r="A1090" s="2"/>
      <c r="B1090" s="2" t="s">
        <v>2527</v>
      </c>
      <c r="C1090" s="2" t="s">
        <v>2601</v>
      </c>
      <c r="D1090" s="2" t="s">
        <v>2628</v>
      </c>
      <c r="E1090" s="2"/>
      <c r="F1090" s="2" t="s">
        <v>32</v>
      </c>
      <c r="G1090" s="2">
        <v>8</v>
      </c>
      <c r="H1090" s="2">
        <v>87.1</v>
      </c>
      <c r="I1090" s="2">
        <v>6006</v>
      </c>
      <c r="J1090" s="2" t="s">
        <v>143</v>
      </c>
      <c r="K1090" s="2">
        <v>5</v>
      </c>
      <c r="L1090" s="2" t="s">
        <v>2629</v>
      </c>
      <c r="Q1090" s="4" t="str">
        <f ca="1">IFERROR(__xludf.DUMMYFUNCTION("TRIM(SUBSTITUTE(SUBSTITUTE(D1090, index(SPLIT(D1090, "" ""), COLUMNS(SPLIT(D1090, "" ""))), """"), index(SPLIT(D1090, "" ""), COLUMNS(SPLIT(D1090, "" ""))-1), """"))"),"Коропецька")</f>
        <v>Коропецька</v>
      </c>
    </row>
    <row r="1091" spans="1:17" ht="50.5">
      <c r="A1091" s="2"/>
      <c r="B1091" s="2" t="s">
        <v>2527</v>
      </c>
      <c r="C1091" s="2" t="s">
        <v>2601</v>
      </c>
      <c r="D1091" s="2" t="s">
        <v>2630</v>
      </c>
      <c r="E1091" s="2"/>
      <c r="F1091" s="2" t="s">
        <v>32</v>
      </c>
      <c r="G1091" s="2">
        <v>22</v>
      </c>
      <c r="H1091" s="2">
        <v>244.4</v>
      </c>
      <c r="I1091" s="2">
        <v>16551</v>
      </c>
      <c r="J1091" s="2" t="s">
        <v>143</v>
      </c>
      <c r="K1091" s="2">
        <v>12</v>
      </c>
      <c r="L1091" s="2" t="s">
        <v>2631</v>
      </c>
      <c r="Q1091" s="4" t="str">
        <f ca="1">IFERROR(__xludf.DUMMYFUNCTION("TRIM(SUBSTITUTE(SUBSTITUTE(D1091, index(SPLIT(D1091, "" ""), COLUMNS(SPLIT(D1091, "" ""))), """"), index(SPLIT(D1091, "" ""), COLUMNS(SPLIT(D1091, "" ""))-1), """"))"),"Мельнице-Подільська")</f>
        <v>Мельнице-Подільська</v>
      </c>
    </row>
    <row r="1092" spans="1:17" ht="113">
      <c r="A1092" s="2"/>
      <c r="B1092" s="2" t="s">
        <v>2527</v>
      </c>
      <c r="C1092" s="2" t="s">
        <v>2601</v>
      </c>
      <c r="D1092" s="2" t="s">
        <v>2632</v>
      </c>
      <c r="E1092" s="2"/>
      <c r="F1092" s="2" t="s">
        <v>20</v>
      </c>
      <c r="G1092" s="2">
        <v>40</v>
      </c>
      <c r="H1092" s="2">
        <v>471.4</v>
      </c>
      <c r="I1092" s="2">
        <v>19357</v>
      </c>
      <c r="J1092" s="2" t="s">
        <v>249</v>
      </c>
      <c r="K1092" s="2">
        <v>27</v>
      </c>
      <c r="L1092" s="2" t="s">
        <v>2633</v>
      </c>
      <c r="Q1092" s="4" t="str">
        <f ca="1">IFERROR(__xludf.DUMMYFUNCTION("TRIM(SUBSTITUTE(SUBSTITUTE(D1092, index(SPLIT(D1092, "" ""), COLUMNS(SPLIT(D1092, "" ""))), """"), index(SPLIT(D1092, "" ""), COLUMNS(SPLIT(D1092, "" ""))-1), """"))"),"Монастириська")</f>
        <v>Монастириська</v>
      </c>
    </row>
    <row r="1093" spans="1:17" ht="50.5">
      <c r="A1093" s="2"/>
      <c r="B1093" s="2" t="s">
        <v>2527</v>
      </c>
      <c r="C1093" s="2" t="s">
        <v>2601</v>
      </c>
      <c r="D1093" s="2" t="s">
        <v>2634</v>
      </c>
      <c r="E1093" s="2"/>
      <c r="F1093" s="2" t="s">
        <v>28</v>
      </c>
      <c r="G1093" s="2">
        <v>12</v>
      </c>
      <c r="H1093" s="2">
        <v>180.9</v>
      </c>
      <c r="I1093" s="2">
        <v>8613</v>
      </c>
      <c r="J1093" s="2" t="s">
        <v>2635</v>
      </c>
      <c r="K1093" s="2">
        <v>10</v>
      </c>
      <c r="L1093" s="2" t="s">
        <v>2636</v>
      </c>
      <c r="Q1093" s="4" t="str">
        <f ca="1">IFERROR(__xludf.DUMMYFUNCTION("TRIM(SUBSTITUTE(SUBSTITUTE(D1093, index(SPLIT(D1093, "" ""), COLUMNS(SPLIT(D1093, "" ""))), """"), index(SPLIT(D1093, "" ""), COLUMNS(SPLIT(D1093, "" ""))-1), """"))"),"Нагірянська")</f>
        <v>Нагірянська</v>
      </c>
    </row>
    <row r="1094" spans="1:17" ht="50.5">
      <c r="A1094" s="2"/>
      <c r="B1094" s="2" t="s">
        <v>2527</v>
      </c>
      <c r="C1094" s="2" t="s">
        <v>2601</v>
      </c>
      <c r="D1094" s="2" t="s">
        <v>2637</v>
      </c>
      <c r="E1094" s="2"/>
      <c r="F1094" s="2" t="s">
        <v>32</v>
      </c>
      <c r="G1094" s="2">
        <v>15</v>
      </c>
      <c r="H1094" s="2">
        <v>184.9</v>
      </c>
      <c r="I1094" s="2">
        <v>10238</v>
      </c>
      <c r="J1094" s="2" t="s">
        <v>143</v>
      </c>
      <c r="K1094" s="2">
        <v>7</v>
      </c>
      <c r="L1094" s="2" t="s">
        <v>2638</v>
      </c>
      <c r="Q1094" s="4" t="str">
        <f ca="1">IFERROR(__xludf.DUMMYFUNCTION("TRIM(SUBSTITUTE(SUBSTITUTE(D1094, index(SPLIT(D1094, "" ""), COLUMNS(SPLIT(D1094, "" ""))), """"), index(SPLIT(D1094, "" ""), COLUMNS(SPLIT(D1094, "" ""))-1), """"))"),"Скала-Подільська")</f>
        <v>Скала-Подільська</v>
      </c>
    </row>
    <row r="1095" spans="1:17" ht="75.5">
      <c r="A1095" s="2"/>
      <c r="B1095" s="2" t="s">
        <v>2527</v>
      </c>
      <c r="C1095" s="2" t="s">
        <v>2601</v>
      </c>
      <c r="D1095" s="2" t="s">
        <v>2639</v>
      </c>
      <c r="E1095" s="2"/>
      <c r="F1095" s="2" t="s">
        <v>32</v>
      </c>
      <c r="G1095" s="2">
        <v>26</v>
      </c>
      <c r="H1095" s="2">
        <v>338.8</v>
      </c>
      <c r="I1095" s="2">
        <v>18343</v>
      </c>
      <c r="J1095" s="2" t="s">
        <v>93</v>
      </c>
      <c r="K1095" s="2">
        <v>18</v>
      </c>
      <c r="L1095" s="2" t="s">
        <v>2640</v>
      </c>
      <c r="Q1095" s="4" t="str">
        <f ca="1">IFERROR(__xludf.DUMMYFUNCTION("TRIM(SUBSTITUTE(SUBSTITUTE(D1095, index(SPLIT(D1095, "" ""), COLUMNS(SPLIT(D1095, "" ""))), """"), index(SPLIT(D1095, "" ""), COLUMNS(SPLIT(D1095, "" ""))-1), """"))"),"Товстенська")</f>
        <v>Товстенська</v>
      </c>
    </row>
    <row r="1096" spans="1:17" ht="38">
      <c r="A1096" s="2"/>
      <c r="B1096" s="2" t="s">
        <v>2527</v>
      </c>
      <c r="C1096" s="2" t="s">
        <v>2601</v>
      </c>
      <c r="D1096" s="2" t="s">
        <v>2641</v>
      </c>
      <c r="E1096" s="2"/>
      <c r="F1096" s="2" t="s">
        <v>28</v>
      </c>
      <c r="G1096" s="2">
        <v>7</v>
      </c>
      <c r="H1096" s="2">
        <v>118.7</v>
      </c>
      <c r="I1096" s="2">
        <v>8750</v>
      </c>
      <c r="J1096" s="2" t="s">
        <v>33</v>
      </c>
      <c r="K1096" s="2">
        <v>5</v>
      </c>
      <c r="L1096" s="2" t="s">
        <v>2642</v>
      </c>
      <c r="Q1096" s="4" t="str">
        <f ca="1">IFERROR(__xludf.DUMMYFUNCTION("TRIM(SUBSTITUTE(SUBSTITUTE(D1096, index(SPLIT(D1096, "" ""), COLUMNS(SPLIT(D1096, "" ""))), """"), index(SPLIT(D1096, "" ""), COLUMNS(SPLIT(D1096, "" ""))-1), """"))"),"Трибухівська")</f>
        <v>Трибухівська</v>
      </c>
    </row>
    <row r="1097" spans="1:17" ht="50.5">
      <c r="A1097" s="2"/>
      <c r="B1097" s="2" t="s">
        <v>2527</v>
      </c>
      <c r="C1097" s="2" t="s">
        <v>2601</v>
      </c>
      <c r="D1097" s="2" t="s">
        <v>2643</v>
      </c>
      <c r="E1097" s="2"/>
      <c r="F1097" s="2" t="s">
        <v>20</v>
      </c>
      <c r="G1097" s="2">
        <v>10</v>
      </c>
      <c r="H1097" s="2">
        <v>183.6</v>
      </c>
      <c r="I1097" s="2">
        <v>13695</v>
      </c>
      <c r="J1097" s="2" t="s">
        <v>39</v>
      </c>
      <c r="K1097" s="2">
        <v>7</v>
      </c>
      <c r="L1097" s="2" t="s">
        <v>2644</v>
      </c>
      <c r="Q1097" s="4" t="str">
        <f ca="1">IFERROR(__xludf.DUMMYFUNCTION("TRIM(SUBSTITUTE(SUBSTITUTE(D1097, index(SPLIT(D1097, "" ""), COLUMNS(SPLIT(D1097, "" ""))), """"), index(SPLIT(D1097, "" ""), COLUMNS(SPLIT(D1097, "" ""))-1), """"))"),"Хоростківська")</f>
        <v>Хоростківська</v>
      </c>
    </row>
    <row r="1098" spans="1:17" ht="38">
      <c r="A1098" s="2"/>
      <c r="B1098" s="2" t="s">
        <v>2527</v>
      </c>
      <c r="C1098" s="2" t="s">
        <v>2601</v>
      </c>
      <c r="D1098" s="2" t="s">
        <v>2645</v>
      </c>
      <c r="E1098" s="2"/>
      <c r="F1098" s="2" t="s">
        <v>20</v>
      </c>
      <c r="G1098" s="2">
        <v>8</v>
      </c>
      <c r="H1098" s="2">
        <v>151.69999999999999</v>
      </c>
      <c r="I1098" s="2">
        <v>36632</v>
      </c>
      <c r="J1098" s="2" t="s">
        <v>2646</v>
      </c>
      <c r="K1098" s="2">
        <v>7</v>
      </c>
      <c r="L1098" s="2" t="s">
        <v>2647</v>
      </c>
      <c r="Q1098" s="4" t="str">
        <f ca="1">IFERROR(__xludf.DUMMYFUNCTION("TRIM(SUBSTITUTE(SUBSTITUTE(D1098, index(SPLIT(D1098, "" ""), COLUMNS(SPLIT(D1098, "" ""))), """"), index(SPLIT(D1098, "" ""), COLUMNS(SPLIT(D1098, "" ""))-1), """"))"),"Чортківська")</f>
        <v>Чортківська</v>
      </c>
    </row>
    <row r="1099" spans="1:17" ht="38">
      <c r="A1099" s="2"/>
      <c r="B1099" s="2" t="s">
        <v>2648</v>
      </c>
      <c r="C1099" s="2" t="s">
        <v>2649</v>
      </c>
      <c r="D1099" s="2" t="s">
        <v>2650</v>
      </c>
      <c r="E1099" s="2"/>
      <c r="F1099" s="2" t="s">
        <v>20</v>
      </c>
      <c r="G1099" s="2">
        <v>16</v>
      </c>
      <c r="H1099" s="2">
        <v>414.7</v>
      </c>
      <c r="I1099" s="2">
        <v>49052</v>
      </c>
      <c r="J1099" s="2" t="s">
        <v>2651</v>
      </c>
      <c r="K1099" s="2">
        <v>4</v>
      </c>
      <c r="L1099" s="2" t="s">
        <v>2652</v>
      </c>
      <c r="Q1099" s="4" t="str">
        <f ca="1">IFERROR(__xludf.DUMMYFUNCTION("TRIM(SUBSTITUTE(SUBSTITUTE(D1099, index(SPLIT(D1099, "" ""), COLUMNS(SPLIT(D1099, "" ""))), """"), index(SPLIT(D1099, "" ""), COLUMNS(SPLIT(D1099, "" ""))-1), """"))"),"Ізюмська")</f>
        <v>Ізюмська</v>
      </c>
    </row>
    <row r="1100" spans="1:17" ht="75.5">
      <c r="A1100" s="2"/>
      <c r="B1100" s="2" t="s">
        <v>2648</v>
      </c>
      <c r="C1100" s="2" t="s">
        <v>2649</v>
      </c>
      <c r="D1100" s="2" t="s">
        <v>2653</v>
      </c>
      <c r="E1100" s="2"/>
      <c r="F1100" s="2" t="s">
        <v>20</v>
      </c>
      <c r="G1100" s="2">
        <v>37</v>
      </c>
      <c r="H1100" s="2">
        <v>1295.8</v>
      </c>
      <c r="I1100" s="2">
        <v>45575</v>
      </c>
      <c r="J1100" s="2" t="s">
        <v>2654</v>
      </c>
      <c r="K1100" s="2">
        <v>15</v>
      </c>
      <c r="L1100" s="2" t="s">
        <v>2655</v>
      </c>
      <c r="Q1100" s="4" t="str">
        <f ca="1">IFERROR(__xludf.DUMMYFUNCTION("TRIM(SUBSTITUTE(SUBSTITUTE(D1100, index(SPLIT(D1100, "" ""), COLUMNS(SPLIT(D1100, "" ""))), """"), index(SPLIT(D1100, "" ""), COLUMNS(SPLIT(D1100, "" ""))-1), """"))"),"Балаклійська")</f>
        <v>Балаклійська</v>
      </c>
    </row>
    <row r="1101" spans="1:17" ht="63">
      <c r="A1101" s="2"/>
      <c r="B1101" s="2" t="s">
        <v>2648</v>
      </c>
      <c r="C1101" s="2" t="s">
        <v>2649</v>
      </c>
      <c r="D1101" s="2" t="s">
        <v>2656</v>
      </c>
      <c r="E1101" s="2"/>
      <c r="F1101" s="2" t="s">
        <v>20</v>
      </c>
      <c r="G1101" s="2">
        <v>60</v>
      </c>
      <c r="H1101" s="2">
        <v>1361.2</v>
      </c>
      <c r="I1101" s="2">
        <v>19634</v>
      </c>
      <c r="J1101" s="2" t="s">
        <v>2657</v>
      </c>
      <c r="K1101" s="2">
        <v>13</v>
      </c>
      <c r="L1101" s="2" t="s">
        <v>2658</v>
      </c>
      <c r="Q1101" s="4" t="str">
        <f ca="1">IFERROR(__xludf.DUMMYFUNCTION("TRIM(SUBSTITUTE(SUBSTITUTE(D1101, index(SPLIT(D1101, "" ""), COLUMNS(SPLIT(D1101, "" ""))), """"), index(SPLIT(D1101, "" ""), COLUMNS(SPLIT(D1101, "" ""))-1), """"))"),"Барвінківська")</f>
        <v>Барвінківська</v>
      </c>
    </row>
    <row r="1102" spans="1:17" ht="50.5">
      <c r="A1102" s="2"/>
      <c r="B1102" s="2" t="s">
        <v>2648</v>
      </c>
      <c r="C1102" s="2" t="s">
        <v>2649</v>
      </c>
      <c r="D1102" s="2" t="s">
        <v>2659</v>
      </c>
      <c r="E1102" s="2"/>
      <c r="F1102" s="2" t="s">
        <v>32</v>
      </c>
      <c r="G1102" s="2">
        <v>38</v>
      </c>
      <c r="H1102" s="2">
        <v>877.7</v>
      </c>
      <c r="I1102" s="2">
        <v>15702</v>
      </c>
      <c r="J1102" s="2" t="s">
        <v>2660</v>
      </c>
      <c r="K1102" s="2">
        <v>10</v>
      </c>
      <c r="L1102" s="2" t="s">
        <v>2661</v>
      </c>
      <c r="Q1102" s="4" t="str">
        <f ca="1">IFERROR(__xludf.DUMMYFUNCTION("TRIM(SUBSTITUTE(SUBSTITUTE(D1102, index(SPLIT(D1102, "" ""), COLUMNS(SPLIT(D1102, "" ""))), """"), index(SPLIT(D1102, "" ""), COLUMNS(SPLIT(D1102, "" ""))-1), """"))"),"Борівська")</f>
        <v>Борівська</v>
      </c>
    </row>
    <row r="1103" spans="1:17" ht="38">
      <c r="A1103" s="2"/>
      <c r="B1103" s="2" t="s">
        <v>2648</v>
      </c>
      <c r="C1103" s="2" t="s">
        <v>2649</v>
      </c>
      <c r="D1103" s="2" t="s">
        <v>2662</v>
      </c>
      <c r="E1103" s="2"/>
      <c r="F1103" s="2" t="s">
        <v>32</v>
      </c>
      <c r="G1103" s="2">
        <v>14</v>
      </c>
      <c r="H1103" s="2">
        <v>344.7</v>
      </c>
      <c r="I1103" s="2">
        <v>22677</v>
      </c>
      <c r="J1103" s="2" t="s">
        <v>163</v>
      </c>
      <c r="K1103" s="2">
        <v>5</v>
      </c>
      <c r="L1103" s="2" t="s">
        <v>2663</v>
      </c>
      <c r="Q1103" s="4" t="str">
        <f ca="1">IFERROR(__xludf.DUMMYFUNCTION("TRIM(SUBSTITUTE(SUBSTITUTE(D1103, index(SPLIT(D1103, "" ""), COLUMNS(SPLIT(D1103, "" ""))), """"), index(SPLIT(D1103, "" ""), COLUMNS(SPLIT(D1103, "" ""))-1), """"))"),"Донецька")</f>
        <v>Донецька</v>
      </c>
    </row>
    <row r="1104" spans="1:17" ht="38">
      <c r="A1104" s="2"/>
      <c r="B1104" s="2" t="s">
        <v>2648</v>
      </c>
      <c r="C1104" s="2" t="s">
        <v>2649</v>
      </c>
      <c r="D1104" s="2" t="s">
        <v>2664</v>
      </c>
      <c r="E1104" s="2"/>
      <c r="F1104" s="2" t="s">
        <v>28</v>
      </c>
      <c r="G1104" s="2">
        <v>18</v>
      </c>
      <c r="H1104" s="2">
        <v>333</v>
      </c>
      <c r="I1104" s="2">
        <v>4431</v>
      </c>
      <c r="J1104" s="2" t="s">
        <v>2665</v>
      </c>
      <c r="K1104" s="2">
        <v>5</v>
      </c>
      <c r="L1104" s="2" t="s">
        <v>2666</v>
      </c>
      <c r="Q1104" s="4" t="str">
        <f ca="1">IFERROR(__xludf.DUMMYFUNCTION("TRIM(SUBSTITUTE(SUBSTITUTE(D1104, index(SPLIT(D1104, "" ""), COLUMNS(SPLIT(D1104, "" ""))), """"), index(SPLIT(D1104, "" ""), COLUMNS(SPLIT(D1104, "" ""))-1), """"))"),"Куньєвська")</f>
        <v>Куньєвська</v>
      </c>
    </row>
    <row r="1105" spans="1:17" ht="50.5">
      <c r="A1105" s="2"/>
      <c r="B1105" s="2" t="s">
        <v>2648</v>
      </c>
      <c r="C1105" s="2" t="s">
        <v>2649</v>
      </c>
      <c r="D1105" s="2" t="s">
        <v>2667</v>
      </c>
      <c r="E1105" s="2"/>
      <c r="F1105" s="2" t="s">
        <v>28</v>
      </c>
      <c r="G1105" s="2">
        <v>27</v>
      </c>
      <c r="H1105" s="2">
        <v>856.2</v>
      </c>
      <c r="I1105" s="2">
        <v>8510</v>
      </c>
      <c r="J1105" s="2" t="s">
        <v>39</v>
      </c>
      <c r="K1105" s="2">
        <v>9</v>
      </c>
      <c r="L1105" s="2" t="s">
        <v>2668</v>
      </c>
      <c r="Q1105" s="4" t="str">
        <f ca="1">IFERROR(__xludf.DUMMYFUNCTION("TRIM(SUBSTITUTE(SUBSTITUTE(D1105, index(SPLIT(D1105, "" ""), COLUMNS(SPLIT(D1105, "" ""))), """"), index(SPLIT(D1105, "" ""), COLUMNS(SPLIT(D1105, "" ""))-1), """"))"),"Оскільська")</f>
        <v>Оскільська</v>
      </c>
    </row>
    <row r="1106" spans="1:17" ht="38">
      <c r="A1106" s="2"/>
      <c r="B1106" s="2" t="s">
        <v>2648</v>
      </c>
      <c r="C1106" s="2" t="s">
        <v>2649</v>
      </c>
      <c r="D1106" s="2" t="s">
        <v>2669</v>
      </c>
      <c r="E1106" s="2"/>
      <c r="F1106" s="2" t="s">
        <v>32</v>
      </c>
      <c r="G1106" s="2">
        <v>18</v>
      </c>
      <c r="H1106" s="2">
        <v>422.9</v>
      </c>
      <c r="I1106" s="2">
        <v>10405</v>
      </c>
      <c r="J1106" s="2" t="s">
        <v>2670</v>
      </c>
      <c r="K1106" s="2">
        <v>5</v>
      </c>
      <c r="L1106" s="2" t="s">
        <v>2671</v>
      </c>
      <c r="Q1106" s="4" t="str">
        <f ca="1">IFERROR(__xludf.DUMMYFUNCTION("TRIM(SUBSTITUTE(SUBSTITUTE(D1106, index(SPLIT(D1106, "" ""), COLUMNS(SPLIT(D1106, "" ""))), """"), index(SPLIT(D1106, "" ""), COLUMNS(SPLIT(D1106, "" ""))-1), """"))"),"Савинська")</f>
        <v>Савинська</v>
      </c>
    </row>
    <row r="1107" spans="1:17" ht="100.5">
      <c r="A1107" s="2"/>
      <c r="B1107" s="2" t="s">
        <v>2648</v>
      </c>
      <c r="C1107" s="2" t="s">
        <v>2672</v>
      </c>
      <c r="D1107" s="2" t="s">
        <v>2673</v>
      </c>
      <c r="E1107" s="2"/>
      <c r="F1107" s="2" t="s">
        <v>20</v>
      </c>
      <c r="G1107" s="2">
        <v>78</v>
      </c>
      <c r="H1107" s="2">
        <v>1157.8</v>
      </c>
      <c r="I1107" s="2">
        <v>37139</v>
      </c>
      <c r="J1107" s="2" t="s">
        <v>2674</v>
      </c>
      <c r="K1107" s="2">
        <v>23</v>
      </c>
      <c r="L1107" s="2" t="s">
        <v>2675</v>
      </c>
      <c r="Q1107" s="4" t="str">
        <f ca="1">IFERROR(__xludf.DUMMYFUNCTION("TRIM(SUBSTITUTE(SUBSTITUTE(D1107, index(SPLIT(D1107, "" ""), COLUMNS(SPLIT(D1107, "" ""))), """"), index(SPLIT(D1107, "" ""), COLUMNS(SPLIT(D1107, "" ""))-1), """"))"),"Богодухівська")</f>
        <v>Богодухівська</v>
      </c>
    </row>
    <row r="1108" spans="1:17" ht="88">
      <c r="A1108" s="2"/>
      <c r="B1108" s="2" t="s">
        <v>2648</v>
      </c>
      <c r="C1108" s="2" t="s">
        <v>2672</v>
      </c>
      <c r="D1108" s="2" t="s">
        <v>2676</v>
      </c>
      <c r="E1108" s="2"/>
      <c r="F1108" s="2" t="s">
        <v>20</v>
      </c>
      <c r="G1108" s="2">
        <v>102</v>
      </c>
      <c r="H1108" s="2">
        <v>1018.2</v>
      </c>
      <c r="I1108" s="2">
        <v>30435</v>
      </c>
      <c r="J1108" s="2" t="s">
        <v>2677</v>
      </c>
      <c r="K1108" s="2">
        <v>20</v>
      </c>
      <c r="L1108" s="2" t="s">
        <v>2678</v>
      </c>
      <c r="Q1108" s="4" t="str">
        <f ca="1">IFERROR(__xludf.DUMMYFUNCTION("TRIM(SUBSTITUTE(SUBSTITUTE(D1108, index(SPLIT(D1108, "" ""), COLUMNS(SPLIT(D1108, "" ""))), """"), index(SPLIT(D1108, "" ""), COLUMNS(SPLIT(D1108, "" ""))-1), """"))"),"Валківська")</f>
        <v>Валківська</v>
      </c>
    </row>
    <row r="1109" spans="1:17" ht="63">
      <c r="A1109" s="2"/>
      <c r="B1109" s="2" t="s">
        <v>2648</v>
      </c>
      <c r="C1109" s="2" t="s">
        <v>2672</v>
      </c>
      <c r="D1109" s="2" t="s">
        <v>1233</v>
      </c>
      <c r="E1109" s="2"/>
      <c r="F1109" s="2" t="s">
        <v>32</v>
      </c>
      <c r="G1109" s="2">
        <v>73</v>
      </c>
      <c r="H1109" s="2">
        <v>970.2</v>
      </c>
      <c r="I1109" s="2">
        <v>24249</v>
      </c>
      <c r="J1109" s="2" t="s">
        <v>39</v>
      </c>
      <c r="K1109" s="2">
        <v>14</v>
      </c>
      <c r="L1109" s="2" t="s">
        <v>2679</v>
      </c>
      <c r="Q1109" s="4" t="str">
        <f ca="1">IFERROR(__xludf.DUMMYFUNCTION("TRIM(SUBSTITUTE(SUBSTITUTE(D1109, index(SPLIT(D1109, "" ""), COLUMNS(SPLIT(D1109, "" ""))), """"), index(SPLIT(D1109, "" ""), COLUMNS(SPLIT(D1109, "" ""))-1), """"))"),"Золочівська")</f>
        <v>Золочівська</v>
      </c>
    </row>
    <row r="1110" spans="1:17" ht="38">
      <c r="A1110" s="2"/>
      <c r="B1110" s="2" t="s">
        <v>2648</v>
      </c>
      <c r="C1110" s="2" t="s">
        <v>2672</v>
      </c>
      <c r="D1110" s="2" t="s">
        <v>2227</v>
      </c>
      <c r="E1110" s="2"/>
      <c r="F1110" s="2" t="s">
        <v>32</v>
      </c>
      <c r="G1110" s="2">
        <v>34</v>
      </c>
      <c r="H1110" s="2">
        <v>321.8</v>
      </c>
      <c r="I1110" s="2">
        <v>6549</v>
      </c>
      <c r="J1110" s="2" t="s">
        <v>39</v>
      </c>
      <c r="K1110" s="2">
        <v>5</v>
      </c>
      <c r="L1110" s="2" t="s">
        <v>2680</v>
      </c>
      <c r="Q1110" s="4" t="str">
        <f ca="1">IFERROR(__xludf.DUMMYFUNCTION("TRIM(SUBSTITUTE(SUBSTITUTE(D1110, index(SPLIT(D1110, "" ""), COLUMNS(SPLIT(D1110, "" ""))), """"), index(SPLIT(D1110, "" ""), COLUMNS(SPLIT(D1110, "" ""))-1), """"))"),"Коломацька")</f>
        <v>Коломацька</v>
      </c>
    </row>
    <row r="1111" spans="1:17" ht="63">
      <c r="A1111" s="2"/>
      <c r="B1111" s="2" t="s">
        <v>2648</v>
      </c>
      <c r="C1111" s="2" t="s">
        <v>2672</v>
      </c>
      <c r="D1111" s="2" t="s">
        <v>2681</v>
      </c>
      <c r="E1111" s="2"/>
      <c r="F1111" s="2" t="s">
        <v>32</v>
      </c>
      <c r="G1111" s="2">
        <v>66</v>
      </c>
      <c r="H1111" s="2">
        <v>1040.0999999999999</v>
      </c>
      <c r="I1111" s="2">
        <v>26597</v>
      </c>
      <c r="J1111" s="2" t="s">
        <v>2682</v>
      </c>
      <c r="K1111" s="2">
        <v>13</v>
      </c>
      <c r="L1111" s="2" t="s">
        <v>2683</v>
      </c>
      <c r="Q1111" s="4" t="str">
        <f ca="1">IFERROR(__xludf.DUMMYFUNCTION("TRIM(SUBSTITUTE(SUBSTITUTE(D1111, index(SPLIT(D1111, "" ""), COLUMNS(SPLIT(D1111, "" ""))), """"), index(SPLIT(D1111, "" ""), COLUMNS(SPLIT(D1111, "" ""))-1), """"))"),"Краснокутська")</f>
        <v>Краснокутська</v>
      </c>
    </row>
    <row r="1112" spans="1:17" ht="50.5">
      <c r="A1112" s="2"/>
      <c r="B1112" s="2" t="s">
        <v>2648</v>
      </c>
      <c r="C1112" s="2" t="s">
        <v>2684</v>
      </c>
      <c r="D1112" s="2" t="s">
        <v>2685</v>
      </c>
      <c r="E1112" s="2"/>
      <c r="F1112" s="2" t="s">
        <v>32</v>
      </c>
      <c r="G1112" s="2">
        <v>38</v>
      </c>
      <c r="H1112" s="2">
        <v>794.8</v>
      </c>
      <c r="I1112" s="2">
        <v>14293</v>
      </c>
      <c r="J1112" s="2" t="s">
        <v>39</v>
      </c>
      <c r="K1112" s="2">
        <v>10</v>
      </c>
      <c r="L1112" s="2" t="s">
        <v>2686</v>
      </c>
      <c r="Q1112" s="4" t="str">
        <f ca="1">IFERROR(__xludf.DUMMYFUNCTION("TRIM(SUBSTITUTE(SUBSTITUTE(D1112, index(SPLIT(D1112, "" ""), COLUMNS(SPLIT(D1112, "" ""))), """"), index(SPLIT(D1112, "" ""), COLUMNS(SPLIT(D1112, "" ""))-1), """"))"),"Зачепилівська")</f>
        <v>Зачепилівська</v>
      </c>
    </row>
    <row r="1113" spans="1:17" ht="75.5">
      <c r="A1113" s="2"/>
      <c r="B1113" s="2" t="s">
        <v>2648</v>
      </c>
      <c r="C1113" s="2" t="s">
        <v>2684</v>
      </c>
      <c r="D1113" s="2" t="s">
        <v>2687</v>
      </c>
      <c r="E1113" s="2"/>
      <c r="F1113" s="2" t="s">
        <v>32</v>
      </c>
      <c r="G1113" s="2">
        <v>40</v>
      </c>
      <c r="H1113" s="2">
        <v>782.6</v>
      </c>
      <c r="I1113" s="2">
        <v>20064</v>
      </c>
      <c r="J1113" s="2" t="s">
        <v>2688</v>
      </c>
      <c r="K1113" s="2">
        <v>16</v>
      </c>
      <c r="L1113" s="2" t="s">
        <v>2689</v>
      </c>
      <c r="Q1113" s="4" t="str">
        <f ca="1">IFERROR(__xludf.DUMMYFUNCTION("TRIM(SUBSTITUTE(SUBSTITUTE(D1113, index(SPLIT(D1113, "" ""), COLUMNS(SPLIT(D1113, "" ""))), """"), index(SPLIT(D1113, "" ""), COLUMNS(SPLIT(D1113, "" ""))-1), """"))"),"Кегичівська")</f>
        <v>Кегичівська</v>
      </c>
    </row>
    <row r="1114" spans="1:17" ht="50.5">
      <c r="A1114" s="2"/>
      <c r="B1114" s="2" t="s">
        <v>2648</v>
      </c>
      <c r="C1114" s="2" t="s">
        <v>2684</v>
      </c>
      <c r="D1114" s="2" t="s">
        <v>2690</v>
      </c>
      <c r="E1114" s="2"/>
      <c r="F1114" s="2" t="s">
        <v>20</v>
      </c>
      <c r="G1114" s="2">
        <v>26</v>
      </c>
      <c r="H1114" s="2">
        <v>483.4</v>
      </c>
      <c r="I1114" s="2">
        <v>31262</v>
      </c>
      <c r="J1114" s="2" t="s">
        <v>2691</v>
      </c>
      <c r="K1114" s="2">
        <v>7</v>
      </c>
      <c r="L1114" s="2" t="s">
        <v>2692</v>
      </c>
      <c r="Q1114" s="4" t="str">
        <f ca="1">IFERROR(__xludf.DUMMYFUNCTION("TRIM(SUBSTITUTE(SUBSTITUTE(D1114, index(SPLIT(D1114, "" ""), COLUMNS(SPLIT(D1114, "" ""))), """"), index(SPLIT(D1114, "" ""), COLUMNS(SPLIT(D1114, "" ""))-1), """"))"),"Красноградська")</f>
        <v>Красноградська</v>
      </c>
    </row>
    <row r="1115" spans="1:17" ht="38">
      <c r="A1115" s="2"/>
      <c r="B1115" s="2" t="s">
        <v>2648</v>
      </c>
      <c r="C1115" s="2" t="s">
        <v>2684</v>
      </c>
      <c r="D1115" s="2" t="s">
        <v>2693</v>
      </c>
      <c r="E1115" s="2"/>
      <c r="F1115" s="2" t="s">
        <v>28</v>
      </c>
      <c r="G1115" s="2">
        <v>30</v>
      </c>
      <c r="H1115" s="2">
        <v>502.5</v>
      </c>
      <c r="I1115" s="2">
        <v>11194</v>
      </c>
      <c r="J1115" s="2" t="s">
        <v>39</v>
      </c>
      <c r="K1115" s="2">
        <v>7</v>
      </c>
      <c r="L1115" s="2" t="s">
        <v>2694</v>
      </c>
      <c r="Q1115" s="4" t="str">
        <f ca="1">IFERROR(__xludf.DUMMYFUNCTION("TRIM(SUBSTITUTE(SUBSTITUTE(D1115, index(SPLIT(D1115, "" ""), COLUMNS(SPLIT(D1115, "" ""))), """"), index(SPLIT(D1115, "" ""), COLUMNS(SPLIT(D1115, "" ""))-1), """"))"),"Наталинська")</f>
        <v>Наталинська</v>
      </c>
    </row>
    <row r="1116" spans="1:17" ht="75.5">
      <c r="A1116" s="2"/>
      <c r="B1116" s="2" t="s">
        <v>2648</v>
      </c>
      <c r="C1116" s="2" t="s">
        <v>2684</v>
      </c>
      <c r="D1116" s="2" t="s">
        <v>2695</v>
      </c>
      <c r="E1116" s="2"/>
      <c r="F1116" s="2" t="s">
        <v>32</v>
      </c>
      <c r="G1116" s="2">
        <v>64</v>
      </c>
      <c r="H1116" s="2">
        <v>1168.0999999999999</v>
      </c>
      <c r="I1116" s="2">
        <v>19827</v>
      </c>
      <c r="J1116" s="2" t="s">
        <v>2696</v>
      </c>
      <c r="K1116" s="2">
        <v>16</v>
      </c>
      <c r="L1116" s="2" t="s">
        <v>2697</v>
      </c>
      <c r="Q1116" s="4" t="str">
        <f ca="1">IFERROR(__xludf.DUMMYFUNCTION("TRIM(SUBSTITUTE(SUBSTITUTE(D1116, index(SPLIT(D1116, "" ""), COLUMNS(SPLIT(D1116, "" ""))), """"), index(SPLIT(D1116, "" ""), COLUMNS(SPLIT(D1116, "" ""))-1), """"))"),"Сахновщинська")</f>
        <v>Сахновщинська</v>
      </c>
    </row>
    <row r="1117" spans="1:17" ht="50.5">
      <c r="A1117" s="2"/>
      <c r="B1117" s="2" t="s">
        <v>2648</v>
      </c>
      <c r="C1117" s="2" t="s">
        <v>2684</v>
      </c>
      <c r="D1117" s="2" t="s">
        <v>2698</v>
      </c>
      <c r="E1117" s="2"/>
      <c r="F1117" s="2" t="s">
        <v>28</v>
      </c>
      <c r="G1117" s="2">
        <v>22</v>
      </c>
      <c r="H1117" s="2">
        <v>602.79999999999995</v>
      </c>
      <c r="I1117" s="2">
        <v>9308</v>
      </c>
      <c r="J1117" s="2" t="s">
        <v>93</v>
      </c>
      <c r="K1117" s="2">
        <v>5</v>
      </c>
      <c r="L1117" s="2" t="s">
        <v>2699</v>
      </c>
      <c r="Q1117" s="4" t="str">
        <f ca="1">IFERROR(__xludf.DUMMYFUNCTION("TRIM(SUBSTITUTE(SUBSTITUTE(D1117, index(SPLIT(D1117, "" ""), COLUMNS(SPLIT(D1117, "" ""))), """"), index(SPLIT(D1117, "" ""), COLUMNS(SPLIT(D1117, "" ""))-1), """"))"),"Старовірівська")</f>
        <v>Старовірівська</v>
      </c>
    </row>
    <row r="1118" spans="1:17" ht="63">
      <c r="A1118" s="2"/>
      <c r="B1118" s="2" t="s">
        <v>2648</v>
      </c>
      <c r="C1118" s="2" t="s">
        <v>2700</v>
      </c>
      <c r="D1118" s="2" t="s">
        <v>2701</v>
      </c>
      <c r="E1118" s="2"/>
      <c r="F1118" s="2" t="s">
        <v>32</v>
      </c>
      <c r="G1118" s="2">
        <v>51</v>
      </c>
      <c r="H1118" s="2">
        <v>837.9</v>
      </c>
      <c r="I1118" s="2">
        <v>14776</v>
      </c>
      <c r="J1118" s="2" t="s">
        <v>93</v>
      </c>
      <c r="K1118" s="2">
        <v>12</v>
      </c>
      <c r="L1118" s="2" t="s">
        <v>2702</v>
      </c>
      <c r="Q1118" s="4" t="str">
        <f ca="1">IFERROR(__xludf.DUMMYFUNCTION("TRIM(SUBSTITUTE(SUBSTITUTE(D1118, index(SPLIT(D1118, "" ""), COLUMNS(SPLIT(D1118, "" ""))), """"), index(SPLIT(D1118, "" ""), COLUMNS(SPLIT(D1118, "" ""))-1), """"))"),"Великобурлуцька")</f>
        <v>Великобурлуцька</v>
      </c>
    </row>
    <row r="1119" spans="1:17" ht="50.5">
      <c r="A1119" s="2"/>
      <c r="B1119" s="2" t="s">
        <v>2648</v>
      </c>
      <c r="C1119" s="2" t="s">
        <v>2700</v>
      </c>
      <c r="D1119" s="2" t="s">
        <v>2703</v>
      </c>
      <c r="E1119" s="2"/>
      <c r="F1119" s="2" t="s">
        <v>28</v>
      </c>
      <c r="G1119" s="2">
        <v>30</v>
      </c>
      <c r="H1119" s="2">
        <v>382.6</v>
      </c>
      <c r="I1119" s="2">
        <v>6107</v>
      </c>
      <c r="J1119" s="2" t="s">
        <v>2704</v>
      </c>
      <c r="K1119" s="2">
        <v>6</v>
      </c>
      <c r="L1119" s="2" t="s">
        <v>2705</v>
      </c>
      <c r="Q1119" s="4" t="str">
        <f ca="1">IFERROR(__xludf.DUMMYFUNCTION("TRIM(SUBSTITUTE(SUBSTITUTE(D1119, index(SPLIT(D1119, "" ""), COLUMNS(SPLIT(D1119, "" ""))), """"), index(SPLIT(D1119, "" ""), COLUMNS(SPLIT(D1119, "" ""))-1), """"))"),"Вільхуватська")</f>
        <v>Вільхуватська</v>
      </c>
    </row>
    <row r="1120" spans="1:17" ht="63">
      <c r="A1120" s="2"/>
      <c r="B1120" s="2" t="s">
        <v>2648</v>
      </c>
      <c r="C1120" s="2" t="s">
        <v>2700</v>
      </c>
      <c r="D1120" s="2" t="s">
        <v>2706</v>
      </c>
      <c r="E1120" s="2"/>
      <c r="F1120" s="2" t="s">
        <v>32</v>
      </c>
      <c r="G1120" s="2">
        <v>55</v>
      </c>
      <c r="H1120" s="2">
        <v>1109.0999999999999</v>
      </c>
      <c r="I1120" s="2">
        <v>16270</v>
      </c>
      <c r="J1120" s="2" t="s">
        <v>2707</v>
      </c>
      <c r="K1120" s="2">
        <v>12</v>
      </c>
      <c r="L1120" s="2" t="s">
        <v>2708</v>
      </c>
      <c r="Q1120" s="4" t="str">
        <f ca="1">IFERROR(__xludf.DUMMYFUNCTION("TRIM(SUBSTITUTE(SUBSTITUTE(D1120, index(SPLIT(D1120, "" ""), COLUMNS(SPLIT(D1120, "" ""))), """"), index(SPLIT(D1120, "" ""), COLUMNS(SPLIT(D1120, "" ""))-1), """"))"),"Дворічанська")</f>
        <v>Дворічанська</v>
      </c>
    </row>
    <row r="1121" spans="1:17" ht="38">
      <c r="A1121" s="2"/>
      <c r="B1121" s="2" t="s">
        <v>2648</v>
      </c>
      <c r="C1121" s="2" t="s">
        <v>2700</v>
      </c>
      <c r="D1121" s="2" t="s">
        <v>2709</v>
      </c>
      <c r="E1121" s="2"/>
      <c r="F1121" s="2" t="s">
        <v>20</v>
      </c>
      <c r="G1121" s="2">
        <v>12</v>
      </c>
      <c r="H1121" s="2">
        <v>148.5</v>
      </c>
      <c r="I1121" s="2">
        <v>55544</v>
      </c>
      <c r="J1121" s="2" t="s">
        <v>2710</v>
      </c>
      <c r="K1121" s="2">
        <v>4</v>
      </c>
      <c r="L1121" s="2" t="s">
        <v>2711</v>
      </c>
      <c r="Q1121" s="4" t="str">
        <f ca="1">IFERROR(__xludf.DUMMYFUNCTION("TRIM(SUBSTITUTE(SUBSTITUTE(D1121, index(SPLIT(D1121, "" ""), COLUMNS(SPLIT(D1121, "" ""))), """"), index(SPLIT(D1121, "" ""), COLUMNS(SPLIT(D1121, "" ""))-1), """"))"),"Куп'янська")</f>
        <v>Куп'янська</v>
      </c>
    </row>
    <row r="1122" spans="1:17" ht="38">
      <c r="A1122" s="2"/>
      <c r="B1122" s="2" t="s">
        <v>2648</v>
      </c>
      <c r="C1122" s="2" t="s">
        <v>2700</v>
      </c>
      <c r="D1122" s="2" t="s">
        <v>2712</v>
      </c>
      <c r="E1122" s="2"/>
      <c r="F1122" s="2" t="s">
        <v>28</v>
      </c>
      <c r="G1122" s="2">
        <v>13</v>
      </c>
      <c r="H1122" s="2">
        <v>416.6</v>
      </c>
      <c r="I1122" s="2">
        <v>9766</v>
      </c>
      <c r="J1122" s="2" t="s">
        <v>163</v>
      </c>
      <c r="K1122" s="2">
        <v>5</v>
      </c>
      <c r="L1122" s="2" t="s">
        <v>2713</v>
      </c>
      <c r="Q1122" s="4" t="str">
        <f ca="1">IFERROR(__xludf.DUMMYFUNCTION("TRIM(SUBSTITUTE(SUBSTITUTE(D1122, index(SPLIT(D1122, "" ""), COLUMNS(SPLIT(D1122, "" ""))), """"), index(SPLIT(D1122, "" ""), COLUMNS(SPLIT(D1122, "" ""))-1), """"))"),"Курилівська")</f>
        <v>Курилівська</v>
      </c>
    </row>
    <row r="1123" spans="1:17" ht="50.5">
      <c r="A1123" s="2"/>
      <c r="B1123" s="2" t="s">
        <v>2648</v>
      </c>
      <c r="C1123" s="2" t="s">
        <v>2700</v>
      </c>
      <c r="D1123" s="2" t="s">
        <v>2714</v>
      </c>
      <c r="E1123" s="2"/>
      <c r="F1123" s="2" t="s">
        <v>28</v>
      </c>
      <c r="G1123" s="2">
        <v>32</v>
      </c>
      <c r="H1123" s="2">
        <v>404.8</v>
      </c>
      <c r="I1123" s="2">
        <v>6035</v>
      </c>
      <c r="J1123" s="2" t="s">
        <v>163</v>
      </c>
      <c r="K1123" s="2">
        <v>8</v>
      </c>
      <c r="L1123" s="2" t="s">
        <v>2715</v>
      </c>
      <c r="Q1123" s="4" t="str">
        <f ca="1">IFERROR(__xludf.DUMMYFUNCTION("TRIM(SUBSTITUTE(SUBSTITUTE(D1123, index(SPLIT(D1123, "" ""), COLUMNS(SPLIT(D1123, "" ""))), """"), index(SPLIT(D1123, "" ""), COLUMNS(SPLIT(D1123, "" ""))-1), """"))"),"Кіндрашівська")</f>
        <v>Кіндрашівська</v>
      </c>
    </row>
    <row r="1124" spans="1:17" ht="50.5">
      <c r="A1124" s="2"/>
      <c r="B1124" s="2" t="s">
        <v>2648</v>
      </c>
      <c r="C1124" s="2" t="s">
        <v>2700</v>
      </c>
      <c r="D1124" s="2" t="s">
        <v>450</v>
      </c>
      <c r="E1124" s="2"/>
      <c r="F1124" s="2" t="s">
        <v>28</v>
      </c>
      <c r="G1124" s="2">
        <v>16</v>
      </c>
      <c r="H1124" s="2">
        <v>337.3</v>
      </c>
      <c r="I1124" s="2">
        <v>5245</v>
      </c>
      <c r="J1124" s="2" t="s">
        <v>163</v>
      </c>
      <c r="K1124" s="2">
        <v>5</v>
      </c>
      <c r="L1124" s="2" t="s">
        <v>2716</v>
      </c>
      <c r="Q1124" s="4" t="str">
        <f ca="1">IFERROR(__xludf.DUMMYFUNCTION("TRIM(SUBSTITUTE(SUBSTITUTE(D1124, index(SPLIT(D1124, "" ""), COLUMNS(SPLIT(D1124, "" ""))), """"), index(SPLIT(D1124, "" ""), COLUMNS(SPLIT(D1124, "" ""))-1), """"))"),"Петропавлівська")</f>
        <v>Петропавлівська</v>
      </c>
    </row>
    <row r="1125" spans="1:17" ht="75.5">
      <c r="A1125" s="2"/>
      <c r="B1125" s="2" t="s">
        <v>2648</v>
      </c>
      <c r="C1125" s="2" t="s">
        <v>2700</v>
      </c>
      <c r="D1125" s="2" t="s">
        <v>1880</v>
      </c>
      <c r="E1125" s="2"/>
      <c r="F1125" s="2" t="s">
        <v>32</v>
      </c>
      <c r="G1125" s="2">
        <v>60</v>
      </c>
      <c r="H1125" s="2">
        <v>976.1</v>
      </c>
      <c r="I1125" s="2">
        <v>19392</v>
      </c>
      <c r="J1125" s="2" t="s">
        <v>2717</v>
      </c>
      <c r="K1125" s="2">
        <v>16</v>
      </c>
      <c r="L1125" s="2" t="s">
        <v>2718</v>
      </c>
      <c r="Q1125" s="4" t="str">
        <f ca="1">IFERROR(__xludf.DUMMYFUNCTION("TRIM(SUBSTITUTE(SUBSTITUTE(D1125, index(SPLIT(D1125, "" ""), COLUMNS(SPLIT(D1125, "" ""))), """"), index(SPLIT(D1125, "" ""), COLUMNS(SPLIT(D1125, "" ""))-1), """"))"),"Шевченківська")</f>
        <v>Шевченківська</v>
      </c>
    </row>
    <row r="1126" spans="1:17" ht="88">
      <c r="A1126" s="2"/>
      <c r="B1126" s="2" t="s">
        <v>2648</v>
      </c>
      <c r="C1126" s="2" t="s">
        <v>2719</v>
      </c>
      <c r="D1126" s="2" t="s">
        <v>2720</v>
      </c>
      <c r="E1126" s="2"/>
      <c r="F1126" s="2" t="s">
        <v>32</v>
      </c>
      <c r="G1126" s="2">
        <v>97</v>
      </c>
      <c r="H1126" s="2">
        <v>1378.5</v>
      </c>
      <c r="I1126" s="2">
        <v>17541</v>
      </c>
      <c r="J1126" s="2" t="s">
        <v>2721</v>
      </c>
      <c r="K1126" s="2">
        <v>20</v>
      </c>
      <c r="L1126" s="2" t="s">
        <v>2722</v>
      </c>
      <c r="Q1126" s="4" t="str">
        <f ca="1">IFERROR(__xludf.DUMMYFUNCTION("TRIM(SUBSTITUTE(SUBSTITUTE(D1126, index(SPLIT(D1126, "" ""), COLUMNS(SPLIT(D1126, "" ""))), """"), index(SPLIT(D1126, "" ""), COLUMNS(SPLIT(D1126, "" ""))-1), """"))"),"Близнюківська")</f>
        <v>Близнюківська</v>
      </c>
    </row>
    <row r="1127" spans="1:17" ht="38">
      <c r="A1127" s="2"/>
      <c r="B1127" s="2" t="s">
        <v>2648</v>
      </c>
      <c r="C1127" s="2" t="s">
        <v>2719</v>
      </c>
      <c r="D1127" s="2" t="s">
        <v>2023</v>
      </c>
      <c r="E1127" s="2"/>
      <c r="F1127" s="2" t="s">
        <v>28</v>
      </c>
      <c r="G1127" s="2">
        <v>25</v>
      </c>
      <c r="H1127" s="2">
        <v>424.5</v>
      </c>
      <c r="I1127" s="2">
        <v>5676</v>
      </c>
      <c r="J1127" s="2" t="s">
        <v>2723</v>
      </c>
      <c r="K1127" s="2">
        <v>7</v>
      </c>
      <c r="L1127" s="2" t="s">
        <v>2724</v>
      </c>
      <c r="Q1127" s="4" t="str">
        <f ca="1">IFERROR(__xludf.DUMMYFUNCTION("TRIM(SUBSTITUTE(SUBSTITUTE(D1127, index(SPLIT(D1127, "" ""), COLUMNS(SPLIT(D1127, "" ""))), """"), index(SPLIT(D1127, "" ""), COLUMNS(SPLIT(D1127, "" ""))-1), """"))"),"Біляївська")</f>
        <v>Біляївська</v>
      </c>
    </row>
    <row r="1128" spans="1:17" ht="100.5">
      <c r="A1128" s="2"/>
      <c r="B1128" s="2" t="s">
        <v>2648</v>
      </c>
      <c r="C1128" s="2" t="s">
        <v>2719</v>
      </c>
      <c r="D1128" s="2" t="s">
        <v>2725</v>
      </c>
      <c r="E1128" s="2"/>
      <c r="F1128" s="2" t="s">
        <v>20</v>
      </c>
      <c r="G1128" s="2">
        <v>91</v>
      </c>
      <c r="H1128" s="2">
        <v>1424.7</v>
      </c>
      <c r="I1128" s="2">
        <v>89472</v>
      </c>
      <c r="J1128" s="2" t="s">
        <v>2726</v>
      </c>
      <c r="K1128" s="2">
        <v>24</v>
      </c>
      <c r="L1128" s="2" t="s">
        <v>2727</v>
      </c>
      <c r="Q1128" s="4" t="str">
        <f ca="1">IFERROR(__xludf.DUMMYFUNCTION("TRIM(SUBSTITUTE(SUBSTITUTE(D1128, index(SPLIT(D1128, "" ""), COLUMNS(SPLIT(D1128, "" ""))), """"), index(SPLIT(D1128, "" ""), COLUMNS(SPLIT(D1128, "" ""))-1), """"))"),"Лозівська")</f>
        <v>Лозівська</v>
      </c>
    </row>
    <row r="1129" spans="1:17" ht="38">
      <c r="A1129" s="2"/>
      <c r="B1129" s="2" t="s">
        <v>2648</v>
      </c>
      <c r="C1129" s="2" t="s">
        <v>2719</v>
      </c>
      <c r="D1129" s="2" t="s">
        <v>2728</v>
      </c>
      <c r="E1129" s="2"/>
      <c r="F1129" s="2" t="s">
        <v>28</v>
      </c>
      <c r="G1129" s="2">
        <v>25</v>
      </c>
      <c r="H1129" s="2">
        <v>654.1</v>
      </c>
      <c r="I1129" s="2">
        <v>7114</v>
      </c>
      <c r="J1129" s="2" t="s">
        <v>46</v>
      </c>
      <c r="K1129" s="2">
        <v>9</v>
      </c>
      <c r="L1129" s="2" t="s">
        <v>2729</v>
      </c>
      <c r="Q1129" s="4" t="str">
        <f ca="1">IFERROR(__xludf.DUMMYFUNCTION("TRIM(SUBSTITUTE(SUBSTITUTE(D1129, index(SPLIT(D1129, "" ""), COLUMNS(SPLIT(D1129, "" ""))), """"), index(SPLIT(D1129, "" ""), COLUMNS(SPLIT(D1129, "" ""))-1), """"))"),"Олексіївська")</f>
        <v>Олексіївська</v>
      </c>
    </row>
    <row r="1130" spans="1:17" ht="50.5">
      <c r="A1130" s="2"/>
      <c r="B1130" s="2" t="s">
        <v>2648</v>
      </c>
      <c r="C1130" s="2" t="s">
        <v>2719</v>
      </c>
      <c r="D1130" s="2" t="s">
        <v>1868</v>
      </c>
      <c r="E1130" s="2"/>
      <c r="F1130" s="2" t="s">
        <v>20</v>
      </c>
      <c r="G1130" s="2">
        <v>9</v>
      </c>
      <c r="H1130" s="2">
        <v>145.30000000000001</v>
      </c>
      <c r="I1130" s="2">
        <v>30597</v>
      </c>
      <c r="J1130" s="2" t="s">
        <v>2730</v>
      </c>
      <c r="K1130" s="2">
        <v>3</v>
      </c>
      <c r="L1130" s="2" t="s">
        <v>2731</v>
      </c>
      <c r="Q1130" s="4" t="str">
        <f ca="1">IFERROR(__xludf.DUMMYFUNCTION("TRIM(SUBSTITUTE(SUBSTITUTE(D1130, index(SPLIT(D1130, "" ""), COLUMNS(SPLIT(D1130, "" ""))), """"), index(SPLIT(D1130, "" ""), COLUMNS(SPLIT(D1130, "" ""))-1), """"))"),"Первомайська")</f>
        <v>Первомайська</v>
      </c>
    </row>
    <row r="1131" spans="1:17" ht="50.5">
      <c r="A1131" s="2"/>
      <c r="B1131" s="2" t="s">
        <v>2648</v>
      </c>
      <c r="C1131" s="2" t="s">
        <v>2732</v>
      </c>
      <c r="D1131" s="2" t="s">
        <v>2733</v>
      </c>
      <c r="E1131" s="2"/>
      <c r="F1131" s="2" t="s">
        <v>32</v>
      </c>
      <c r="G1131" s="2">
        <v>11</v>
      </c>
      <c r="H1131" s="2">
        <v>138.1</v>
      </c>
      <c r="I1131" s="2">
        <v>23782</v>
      </c>
      <c r="J1131" s="2" t="s">
        <v>2734</v>
      </c>
      <c r="K1131" s="2">
        <v>5</v>
      </c>
      <c r="L1131" s="2" t="s">
        <v>2735</v>
      </c>
      <c r="Q1131" s="4" t="str">
        <f ca="1">IFERROR(__xludf.DUMMYFUNCTION("TRIM(SUBSTITUTE(SUBSTITUTE(D1131, index(SPLIT(D1131, "" ""), COLUMNS(SPLIT(D1131, "" ""))), """"), index(SPLIT(D1131, "" ""), COLUMNS(SPLIT(D1131, "" ""))-1), """"))"),"Безлюдівська")</f>
        <v>Безлюдівська</v>
      </c>
    </row>
    <row r="1132" spans="1:17" ht="38">
      <c r="A1132" s="2"/>
      <c r="B1132" s="2" t="s">
        <v>2648</v>
      </c>
      <c r="C1132" s="2" t="s">
        <v>2732</v>
      </c>
      <c r="D1132" s="2" t="s">
        <v>2736</v>
      </c>
      <c r="E1132" s="2"/>
      <c r="F1132" s="2" t="s">
        <v>32</v>
      </c>
      <c r="G1132" s="2">
        <v>6</v>
      </c>
      <c r="H1132" s="2">
        <v>63.6</v>
      </c>
      <c r="I1132" s="2">
        <v>27158</v>
      </c>
      <c r="J1132" s="2" t="s">
        <v>2737</v>
      </c>
      <c r="K1132" s="2">
        <v>4</v>
      </c>
      <c r="L1132" s="2" t="s">
        <v>2738</v>
      </c>
      <c r="Q1132" s="4" t="str">
        <f ca="1">IFERROR(__xludf.DUMMYFUNCTION("TRIM(SUBSTITUTE(SUBSTITUTE(D1132, index(SPLIT(D1132, "" ""), COLUMNS(SPLIT(D1132, "" ""))), """"), index(SPLIT(D1132, "" ""), COLUMNS(SPLIT(D1132, "" ""))-1), """"))"),"Височанська")</f>
        <v>Височанська</v>
      </c>
    </row>
    <row r="1133" spans="1:17" ht="50.5">
      <c r="A1133" s="2"/>
      <c r="B1133" s="2" t="s">
        <v>2648</v>
      </c>
      <c r="C1133" s="2" t="s">
        <v>2732</v>
      </c>
      <c r="D1133" s="2" t="s">
        <v>2739</v>
      </c>
      <c r="E1133" s="2"/>
      <c r="F1133" s="2" t="s">
        <v>28</v>
      </c>
      <c r="G1133" s="2">
        <v>16</v>
      </c>
      <c r="H1133" s="2">
        <v>219</v>
      </c>
      <c r="I1133" s="2">
        <v>8071</v>
      </c>
      <c r="J1133" s="2" t="s">
        <v>2740</v>
      </c>
      <c r="K1133" s="2">
        <v>11</v>
      </c>
      <c r="L1133" s="2" t="s">
        <v>2741</v>
      </c>
      <c r="Q1133" s="4" t="str">
        <f ca="1">IFERROR(__xludf.DUMMYFUNCTION("TRIM(SUBSTITUTE(SUBSTITUTE(D1133, index(SPLIT(D1133, "" ""), COLUMNS(SPLIT(D1133, "" ""))), """"), index(SPLIT(D1133, "" ""), COLUMNS(SPLIT(D1133, "" ""))-1), """"))"),"Вільхівська")</f>
        <v>Вільхівська</v>
      </c>
    </row>
    <row r="1134" spans="1:17" ht="38">
      <c r="A1134" s="2"/>
      <c r="B1134" s="2" t="s">
        <v>2648</v>
      </c>
      <c r="C1134" s="2" t="s">
        <v>2732</v>
      </c>
      <c r="D1134" s="2" t="s">
        <v>2742</v>
      </c>
      <c r="E1134" s="2"/>
      <c r="F1134" s="2" t="s">
        <v>20</v>
      </c>
      <c r="G1134" s="2">
        <v>38</v>
      </c>
      <c r="H1134" s="2">
        <v>543.79999999999995</v>
      </c>
      <c r="I1134" s="2">
        <v>43448</v>
      </c>
      <c r="J1134" s="2" t="s">
        <v>2743</v>
      </c>
      <c r="K1134" s="2">
        <v>8</v>
      </c>
      <c r="L1134" s="2" t="s">
        <v>2744</v>
      </c>
      <c r="Q1134" s="4" t="str">
        <f ca="1">IFERROR(__xludf.DUMMYFUNCTION("TRIM(SUBSTITUTE(SUBSTITUTE(D1134, index(SPLIT(D1134, "" ""), COLUMNS(SPLIT(D1134, "" ""))), """"), index(SPLIT(D1134, "" ""), COLUMNS(SPLIT(D1134, "" ""))-1), """"))"),"Дергачівська")</f>
        <v>Дергачівська</v>
      </c>
    </row>
    <row r="1135" spans="1:17" ht="38">
      <c r="A1135" s="2"/>
      <c r="B1135" s="2" t="s">
        <v>2648</v>
      </c>
      <c r="C1135" s="2" t="s">
        <v>2732</v>
      </c>
      <c r="D1135" s="2" t="s">
        <v>2745</v>
      </c>
      <c r="E1135" s="2"/>
      <c r="F1135" s="2" t="s">
        <v>28</v>
      </c>
      <c r="G1135" s="2">
        <v>17</v>
      </c>
      <c r="H1135" s="2">
        <v>362.5</v>
      </c>
      <c r="I1135" s="2">
        <v>13321</v>
      </c>
      <c r="J1135" s="2" t="s">
        <v>2746</v>
      </c>
      <c r="K1135" s="2">
        <v>6</v>
      </c>
      <c r="L1135" s="2" t="s">
        <v>2747</v>
      </c>
      <c r="Q1135" s="4" t="str">
        <f ca="1">IFERROR(__xludf.DUMMYFUNCTION("TRIM(SUBSTITUTE(SUBSTITUTE(D1135, index(SPLIT(D1135, "" ""), COLUMNS(SPLIT(D1135, "" ""))), """"), index(SPLIT(D1135, "" ""), COLUMNS(SPLIT(D1135, "" ""))-1), """"))"),"Липецька")</f>
        <v>Липецька</v>
      </c>
    </row>
    <row r="1136" spans="1:17" ht="38">
      <c r="A1136" s="2"/>
      <c r="B1136" s="2" t="s">
        <v>2648</v>
      </c>
      <c r="C1136" s="2" t="s">
        <v>2732</v>
      </c>
      <c r="D1136" s="2" t="s">
        <v>2748</v>
      </c>
      <c r="E1136" s="2"/>
      <c r="F1136" s="2" t="s">
        <v>20</v>
      </c>
      <c r="G1136" s="2">
        <v>15</v>
      </c>
      <c r="H1136" s="2">
        <v>137.69999999999999</v>
      </c>
      <c r="I1136" s="2">
        <v>27164</v>
      </c>
      <c r="J1136" s="2" t="s">
        <v>2749</v>
      </c>
      <c r="K1136" s="2">
        <v>2</v>
      </c>
      <c r="L1136" s="2" t="s">
        <v>2750</v>
      </c>
      <c r="Q1136" s="4" t="str">
        <f ca="1">IFERROR(__xludf.DUMMYFUNCTION("TRIM(SUBSTITUTE(SUBSTITUTE(D1136, index(SPLIT(D1136, "" ""), COLUMNS(SPLIT(D1136, "" ""))), """"), index(SPLIT(D1136, "" ""), COLUMNS(SPLIT(D1136, "" ""))-1), """"))"),"Люботинська")</f>
        <v>Люботинська</v>
      </c>
    </row>
    <row r="1137" spans="1:17" ht="50.5">
      <c r="A1137" s="2"/>
      <c r="B1137" s="2" t="s">
        <v>2648</v>
      </c>
      <c r="C1137" s="2" t="s">
        <v>2732</v>
      </c>
      <c r="D1137" s="2" t="s">
        <v>2751</v>
      </c>
      <c r="E1137" s="2"/>
      <c r="F1137" s="2" t="s">
        <v>32</v>
      </c>
      <c r="G1137" s="2">
        <v>7</v>
      </c>
      <c r="H1137" s="2">
        <v>104.7</v>
      </c>
      <c r="I1137" s="2">
        <v>13278</v>
      </c>
      <c r="J1137" s="2" t="s">
        <v>39</v>
      </c>
      <c r="K1137" s="2">
        <v>2</v>
      </c>
      <c r="L1137" s="2" t="s">
        <v>2752</v>
      </c>
      <c r="Q1137" s="4" t="str">
        <f ca="1">IFERROR(__xludf.DUMMYFUNCTION("TRIM(SUBSTITUTE(SUBSTITUTE(D1137, index(SPLIT(D1137, "" ""), COLUMNS(SPLIT(D1137, "" ""))), """"), index(SPLIT(D1137, "" ""), COLUMNS(SPLIT(D1137, "" ""))-1), """"))"),"Малоданилівська")</f>
        <v>Малоданилівська</v>
      </c>
    </row>
    <row r="1138" spans="1:17" ht="50.5">
      <c r="A1138" s="2"/>
      <c r="B1138" s="2" t="s">
        <v>2648</v>
      </c>
      <c r="C1138" s="2" t="s">
        <v>2732</v>
      </c>
      <c r="D1138" s="2" t="s">
        <v>2753</v>
      </c>
      <c r="E1138" s="2"/>
      <c r="F1138" s="2" t="s">
        <v>20</v>
      </c>
      <c r="G1138" s="2">
        <v>9</v>
      </c>
      <c r="H1138" s="2">
        <v>131.69999999999999</v>
      </c>
      <c r="I1138" s="2">
        <v>25560</v>
      </c>
      <c r="J1138" s="2" t="s">
        <v>2321</v>
      </c>
      <c r="K1138" s="2">
        <v>3</v>
      </c>
      <c r="L1138" s="2" t="s">
        <v>2754</v>
      </c>
      <c r="Q1138" s="4" t="str">
        <f ca="1">IFERROR(__xludf.DUMMYFUNCTION("TRIM(SUBSTITUTE(SUBSTITUTE(D1138, index(SPLIT(D1138, "" ""), COLUMNS(SPLIT(D1138, "" ""))), """"), index(SPLIT(D1138, "" ""), COLUMNS(SPLIT(D1138, "" ""))-1), """"))"),"Мереф'янська")</f>
        <v>Мереф'янська</v>
      </c>
    </row>
    <row r="1139" spans="1:17" ht="50.5">
      <c r="A1139" s="2"/>
      <c r="B1139" s="2" t="s">
        <v>2648</v>
      </c>
      <c r="C1139" s="2" t="s">
        <v>2732</v>
      </c>
      <c r="D1139" s="2" t="s">
        <v>2755</v>
      </c>
      <c r="E1139" s="2"/>
      <c r="F1139" s="2" t="s">
        <v>32</v>
      </c>
      <c r="G1139" s="2">
        <v>36</v>
      </c>
      <c r="H1139" s="2">
        <v>579.79999999999995</v>
      </c>
      <c r="I1139" s="2">
        <v>21799</v>
      </c>
      <c r="J1139" s="2" t="s">
        <v>63</v>
      </c>
      <c r="K1139" s="2">
        <v>11</v>
      </c>
      <c r="L1139" s="2" t="s">
        <v>2756</v>
      </c>
      <c r="Q1139" s="4" t="str">
        <f ca="1">IFERROR(__xludf.DUMMYFUNCTION("TRIM(SUBSTITUTE(SUBSTITUTE(D1139, index(SPLIT(D1139, "" ""), COLUMNS(SPLIT(D1139, "" ""))), """"), index(SPLIT(D1139, "" ""), COLUMNS(SPLIT(D1139, "" ""))-1), """"))"),"Нововодолазька")</f>
        <v>Нововодолазька</v>
      </c>
    </row>
    <row r="1140" spans="1:17" ht="50.5">
      <c r="A1140" s="2"/>
      <c r="B1140" s="2" t="s">
        <v>2648</v>
      </c>
      <c r="C1140" s="2" t="s">
        <v>2732</v>
      </c>
      <c r="D1140" s="2" t="s">
        <v>2757</v>
      </c>
      <c r="E1140" s="2"/>
      <c r="F1140" s="2" t="s">
        <v>20</v>
      </c>
      <c r="G1140" s="2">
        <v>5</v>
      </c>
      <c r="H1140" s="2">
        <v>55.6</v>
      </c>
      <c r="I1140" s="2">
        <v>13857</v>
      </c>
      <c r="J1140" s="2" t="s">
        <v>2758</v>
      </c>
      <c r="K1140" s="2">
        <v>2</v>
      </c>
      <c r="L1140" s="2" t="s">
        <v>2759</v>
      </c>
      <c r="Q1140" s="4" t="str">
        <f ca="1">IFERROR(__xludf.DUMMYFUNCTION("TRIM(SUBSTITUTE(SUBSTITUTE(D1140, index(SPLIT(D1140, "" ""), COLUMNS(SPLIT(D1140, "" ""))), """"), index(SPLIT(D1140, "" ""), COLUMNS(SPLIT(D1140, "" ""))-1), """"))"),"Південноміська")</f>
        <v>Південноміська</v>
      </c>
    </row>
    <row r="1141" spans="1:17" ht="38">
      <c r="A1141" s="2"/>
      <c r="B1141" s="2" t="s">
        <v>2648</v>
      </c>
      <c r="C1141" s="2" t="s">
        <v>2732</v>
      </c>
      <c r="D1141" s="2" t="s">
        <v>2760</v>
      </c>
      <c r="E1141" s="2"/>
      <c r="F1141" s="2" t="s">
        <v>32</v>
      </c>
      <c r="G1141" s="2">
        <v>8</v>
      </c>
      <c r="H1141" s="2">
        <v>78.900000000000006</v>
      </c>
      <c r="I1141" s="2">
        <v>32687</v>
      </c>
      <c r="J1141" s="2" t="s">
        <v>93</v>
      </c>
      <c r="K1141" s="2">
        <v>3</v>
      </c>
      <c r="L1141" s="2" t="s">
        <v>2761</v>
      </c>
      <c r="Q1141" s="4" t="str">
        <f ca="1">IFERROR(__xludf.DUMMYFUNCTION("TRIM(SUBSTITUTE(SUBSTITUTE(D1141, index(SPLIT(D1141, "" ""), COLUMNS(SPLIT(D1141, "" ""))), """"), index(SPLIT(D1141, "" ""), COLUMNS(SPLIT(D1141, "" ""))-1), """"))"),"Пісочинська")</f>
        <v>Пісочинська</v>
      </c>
    </row>
    <row r="1142" spans="1:17" ht="38">
      <c r="A1142" s="2"/>
      <c r="B1142" s="2" t="s">
        <v>2648</v>
      </c>
      <c r="C1142" s="2" t="s">
        <v>2732</v>
      </c>
      <c r="D1142" s="2" t="s">
        <v>2762</v>
      </c>
      <c r="E1142" s="2"/>
      <c r="F1142" s="2" t="s">
        <v>32</v>
      </c>
      <c r="G1142" s="2">
        <v>7</v>
      </c>
      <c r="H1142" s="2">
        <v>78.2</v>
      </c>
      <c r="I1142" s="2">
        <v>13583</v>
      </c>
      <c r="J1142" s="2" t="s">
        <v>72</v>
      </c>
      <c r="K1142" s="2">
        <v>2</v>
      </c>
      <c r="L1142" s="2" t="s">
        <v>2763</v>
      </c>
      <c r="Q1142" s="4" t="str">
        <f ca="1">IFERROR(__xludf.DUMMYFUNCTION("TRIM(SUBSTITUTE(SUBSTITUTE(D1142, index(SPLIT(D1142, "" ""), COLUMNS(SPLIT(D1142, "" ""))), """"), index(SPLIT(D1142, "" ""), COLUMNS(SPLIT(D1142, "" ""))-1), """"))"),"Роганська")</f>
        <v>Роганська</v>
      </c>
    </row>
    <row r="1143" spans="1:17" ht="50.5">
      <c r="A1143" s="2"/>
      <c r="B1143" s="2" t="s">
        <v>2648</v>
      </c>
      <c r="C1143" s="2" t="s">
        <v>2732</v>
      </c>
      <c r="D1143" s="2" t="s">
        <v>2764</v>
      </c>
      <c r="E1143" s="2"/>
      <c r="F1143" s="2" t="s">
        <v>32</v>
      </c>
      <c r="G1143" s="2">
        <v>18</v>
      </c>
      <c r="H1143" s="2">
        <v>246.7</v>
      </c>
      <c r="I1143" s="2">
        <v>35249</v>
      </c>
      <c r="J1143" s="2" t="s">
        <v>2765</v>
      </c>
      <c r="K1143" s="2">
        <v>5</v>
      </c>
      <c r="L1143" s="2" t="s">
        <v>2766</v>
      </c>
      <c r="Q1143" s="4" t="str">
        <f ca="1">IFERROR(__xludf.DUMMYFUNCTION("TRIM(SUBSTITUTE(SUBSTITUTE(D1143, index(SPLIT(D1143, "" ""), COLUMNS(SPLIT(D1143, "" ""))), """"), index(SPLIT(D1143, "" ""), COLUMNS(SPLIT(D1143, "" ""))-1), """"))"),"Солоницівська")</f>
        <v>Солоницівська</v>
      </c>
    </row>
    <row r="1144" spans="1:17" ht="38">
      <c r="A1144" s="2"/>
      <c r="B1144" s="2" t="s">
        <v>2648</v>
      </c>
      <c r="C1144" s="2" t="s">
        <v>2732</v>
      </c>
      <c r="D1144" s="2" t="s">
        <v>2767</v>
      </c>
      <c r="E1144" s="2"/>
      <c r="F1144" s="2" t="s">
        <v>20</v>
      </c>
      <c r="G1144" s="2">
        <v>1</v>
      </c>
      <c r="H1144" s="2">
        <v>349.8</v>
      </c>
      <c r="I1144" s="2">
        <v>1433886</v>
      </c>
      <c r="J1144" s="2" t="s">
        <v>2768</v>
      </c>
      <c r="K1144" s="2">
        <v>2</v>
      </c>
      <c r="L1144" s="2" t="s">
        <v>2769</v>
      </c>
      <c r="Q1144" s="4" t="str">
        <f ca="1">IFERROR(__xludf.DUMMYFUNCTION("TRIM(SUBSTITUTE(SUBSTITUTE(D1144, index(SPLIT(D1144, "" ""), COLUMNS(SPLIT(D1144, "" ""))), """"), index(SPLIT(D1144, "" ""), COLUMNS(SPLIT(D1144, "" ""))-1), """"))"),"Харківська")</f>
        <v>Харківська</v>
      </c>
    </row>
    <row r="1145" spans="1:17" ht="38">
      <c r="A1145" s="2"/>
      <c r="B1145" s="2" t="s">
        <v>2648</v>
      </c>
      <c r="C1145" s="2" t="s">
        <v>2732</v>
      </c>
      <c r="D1145" s="2" t="s">
        <v>2770</v>
      </c>
      <c r="E1145" s="2"/>
      <c r="F1145" s="2" t="s">
        <v>28</v>
      </c>
      <c r="G1145" s="2">
        <v>9</v>
      </c>
      <c r="H1145" s="2">
        <v>132.4</v>
      </c>
      <c r="I1145" s="2">
        <v>8816</v>
      </c>
      <c r="J1145" s="2" t="s">
        <v>93</v>
      </c>
      <c r="K1145" s="2">
        <v>2</v>
      </c>
      <c r="L1145" s="2" t="s">
        <v>2771</v>
      </c>
      <c r="Q1145" s="4" t="str">
        <f ca="1">IFERROR(__xludf.DUMMYFUNCTION("TRIM(SUBSTITUTE(SUBSTITUTE(D1145, index(SPLIT(D1145, "" ""), COLUMNS(SPLIT(D1145, "" ""))), """"), index(SPLIT(D1145, "" ""), COLUMNS(SPLIT(D1145, "" ""))-1), """"))"),"Циркунівська")</f>
        <v>Циркунівська</v>
      </c>
    </row>
    <row r="1146" spans="1:17" ht="100.5">
      <c r="A1146" s="2"/>
      <c r="B1146" s="2" t="s">
        <v>2648</v>
      </c>
      <c r="C1146" s="2" t="s">
        <v>2772</v>
      </c>
      <c r="D1146" s="2" t="s">
        <v>2773</v>
      </c>
      <c r="E1146" s="2"/>
      <c r="F1146" s="2" t="s">
        <v>20</v>
      </c>
      <c r="G1146" s="2">
        <v>75</v>
      </c>
      <c r="H1146" s="2">
        <v>1414.9</v>
      </c>
      <c r="I1146" s="2">
        <v>36303</v>
      </c>
      <c r="J1146" s="2" t="s">
        <v>2774</v>
      </c>
      <c r="K1146" s="2">
        <v>21</v>
      </c>
      <c r="L1146" s="2" t="s">
        <v>2775</v>
      </c>
      <c r="Q1146" s="4" t="str">
        <f ca="1">IFERROR(__xludf.DUMMYFUNCTION("TRIM(SUBSTITUTE(SUBSTITUTE(D1146, index(SPLIT(D1146, "" ""), COLUMNS(SPLIT(D1146, "" ""))), """"), index(SPLIT(D1146, "" ""), COLUMNS(SPLIT(D1146, "" ""))-1), """"))"),"Вовчанська")</f>
        <v>Вовчанська</v>
      </c>
    </row>
    <row r="1147" spans="1:17" ht="50.5">
      <c r="A1147" s="2"/>
      <c r="B1147" s="2" t="s">
        <v>2648</v>
      </c>
      <c r="C1147" s="2" t="s">
        <v>2772</v>
      </c>
      <c r="D1147" s="2" t="s">
        <v>2776</v>
      </c>
      <c r="E1147" s="2"/>
      <c r="F1147" s="2" t="s">
        <v>20</v>
      </c>
      <c r="G1147" s="2">
        <v>60</v>
      </c>
      <c r="H1147" s="2">
        <v>792.6</v>
      </c>
      <c r="I1147" s="2">
        <v>41404</v>
      </c>
      <c r="J1147" s="2" t="s">
        <v>2777</v>
      </c>
      <c r="K1147" s="2">
        <v>9</v>
      </c>
      <c r="L1147" s="2" t="s">
        <v>2778</v>
      </c>
      <c r="Q1147" s="4" t="str">
        <f ca="1">IFERROR(__xludf.DUMMYFUNCTION("TRIM(SUBSTITUTE(SUBSTITUTE(D1147, index(SPLIT(D1147, "" ""), COLUMNS(SPLIT(D1147, "" ""))), """"), index(SPLIT(D1147, "" ""), COLUMNS(SPLIT(D1147, "" ""))-1), """"))"),"Зміївська")</f>
        <v>Зміївська</v>
      </c>
    </row>
    <row r="1148" spans="1:17" ht="38">
      <c r="A1148" s="2"/>
      <c r="B1148" s="2" t="s">
        <v>2648</v>
      </c>
      <c r="C1148" s="2" t="s">
        <v>2772</v>
      </c>
      <c r="D1148" s="2" t="s">
        <v>1043</v>
      </c>
      <c r="E1148" s="2"/>
      <c r="F1148" s="2" t="s">
        <v>32</v>
      </c>
      <c r="G1148" s="2">
        <v>3</v>
      </c>
      <c r="H1148" s="2">
        <v>246.7</v>
      </c>
      <c r="I1148" s="2">
        <v>9027</v>
      </c>
      <c r="J1148" s="2" t="s">
        <v>39</v>
      </c>
      <c r="K1148" s="2">
        <v>3</v>
      </c>
      <c r="L1148" s="2" t="s">
        <v>2779</v>
      </c>
      <c r="Q1148" s="4" t="str">
        <f ca="1">IFERROR(__xludf.DUMMYFUNCTION("TRIM(SUBSTITUTE(SUBSTITUTE(D1148, index(SPLIT(D1148, "" ""), COLUMNS(SPLIT(D1148, "" ""))), """"), index(SPLIT(D1148, "" ""), COLUMNS(SPLIT(D1148, "" ""))-1), """"))"),"Малинівська")</f>
        <v>Малинівська</v>
      </c>
    </row>
    <row r="1149" spans="1:17" ht="50.5">
      <c r="A1149" s="2"/>
      <c r="B1149" s="2" t="s">
        <v>2648</v>
      </c>
      <c r="C1149" s="2" t="s">
        <v>2772</v>
      </c>
      <c r="D1149" s="2" t="s">
        <v>303</v>
      </c>
      <c r="E1149" s="2"/>
      <c r="F1149" s="2" t="s">
        <v>32</v>
      </c>
      <c r="G1149" s="2">
        <v>10</v>
      </c>
      <c r="H1149" s="2">
        <v>159.1</v>
      </c>
      <c r="I1149" s="2">
        <v>16541</v>
      </c>
      <c r="J1149" s="2" t="s">
        <v>2780</v>
      </c>
      <c r="K1149" s="2">
        <v>4</v>
      </c>
      <c r="L1149" s="2" t="s">
        <v>2781</v>
      </c>
      <c r="Q1149" s="4" t="str">
        <f ca="1">IFERROR(__xludf.DUMMYFUNCTION("TRIM(SUBSTITUTE(SUBSTITUTE(D1149, index(SPLIT(D1149, "" ""), COLUMNS(SPLIT(D1149, "" ""))), """"), index(SPLIT(D1149, "" ""), COLUMNS(SPLIT(D1149, "" ""))-1), """"))"),"Новопокровська")</f>
        <v>Новопокровська</v>
      </c>
    </row>
    <row r="1150" spans="1:17" ht="38">
      <c r="A1150" s="2"/>
      <c r="B1150" s="2" t="s">
        <v>2648</v>
      </c>
      <c r="C1150" s="2" t="s">
        <v>2772</v>
      </c>
      <c r="D1150" s="2" t="s">
        <v>2782</v>
      </c>
      <c r="E1150" s="2"/>
      <c r="F1150" s="2" t="s">
        <v>32</v>
      </c>
      <c r="G1150" s="2">
        <v>12</v>
      </c>
      <c r="H1150" s="2">
        <v>466.2</v>
      </c>
      <c r="I1150" s="2">
        <v>9463</v>
      </c>
      <c r="J1150" s="2" t="s">
        <v>2783</v>
      </c>
      <c r="K1150" s="2">
        <v>5</v>
      </c>
      <c r="L1150" s="2" t="s">
        <v>2784</v>
      </c>
      <c r="Q1150" s="4" t="str">
        <f ca="1">IFERROR(__xludf.DUMMYFUNCTION("TRIM(SUBSTITUTE(SUBSTITUTE(D1150, index(SPLIT(D1150, "" ""), COLUMNS(SPLIT(D1150, "" ""))), """"), index(SPLIT(D1150, "" ""), COLUMNS(SPLIT(D1150, "" ""))-1), """"))"),"Печенізька")</f>
        <v>Печенізька</v>
      </c>
    </row>
    <row r="1151" spans="1:17" ht="50.5">
      <c r="A1151" s="2"/>
      <c r="B1151" s="2" t="s">
        <v>2648</v>
      </c>
      <c r="C1151" s="2" t="s">
        <v>2772</v>
      </c>
      <c r="D1151" s="2" t="s">
        <v>314</v>
      </c>
      <c r="E1151" s="2"/>
      <c r="F1151" s="2" t="s">
        <v>32</v>
      </c>
      <c r="G1151" s="2">
        <v>17</v>
      </c>
      <c r="H1151" s="2">
        <v>572.29999999999995</v>
      </c>
      <c r="I1151" s="2">
        <v>26834</v>
      </c>
      <c r="J1151" s="2" t="s">
        <v>2785</v>
      </c>
      <c r="K1151" s="2">
        <v>6</v>
      </c>
      <c r="L1151" s="2" t="s">
        <v>2786</v>
      </c>
      <c r="Q1151" s="4" t="str">
        <f ca="1">IFERROR(__xludf.DUMMYFUNCTION("TRIM(SUBSTITUTE(SUBSTITUTE(D1151, index(SPLIT(D1151, "" ""), COLUMNS(SPLIT(D1151, "" ""))), """"), index(SPLIT(D1151, "" ""), COLUMNS(SPLIT(D1151, "" ""))-1), """"))"),"Слобожанська")</f>
        <v>Слобожанська</v>
      </c>
    </row>
    <row r="1152" spans="1:17" ht="50.5">
      <c r="A1152" s="2"/>
      <c r="B1152" s="2" t="s">
        <v>2648</v>
      </c>
      <c r="C1152" s="2" t="s">
        <v>2772</v>
      </c>
      <c r="D1152" s="2" t="s">
        <v>2787</v>
      </c>
      <c r="E1152" s="2"/>
      <c r="F1152" s="2" t="s">
        <v>32</v>
      </c>
      <c r="G1152" s="2">
        <v>20</v>
      </c>
      <c r="H1152" s="2">
        <v>473.6</v>
      </c>
      <c r="I1152" s="2">
        <v>7569</v>
      </c>
      <c r="J1152" s="2" t="s">
        <v>254</v>
      </c>
      <c r="K1152" s="2">
        <v>6</v>
      </c>
      <c r="L1152" s="2" t="s">
        <v>2788</v>
      </c>
      <c r="Q1152" s="4" t="str">
        <f ca="1">IFERROR(__xludf.DUMMYFUNCTION("TRIM(SUBSTITUTE(SUBSTITUTE(D1152, index(SPLIT(D1152, "" ""), COLUMNS(SPLIT(D1152, "" ""))), """"), index(SPLIT(D1152, "" ""), COLUMNS(SPLIT(D1152, "" ""))-1), """"))"),"Старосалтівська")</f>
        <v>Старосалтівська</v>
      </c>
    </row>
    <row r="1153" spans="1:17" ht="38">
      <c r="A1153" s="2"/>
      <c r="B1153" s="2" t="s">
        <v>2648</v>
      </c>
      <c r="C1153" s="2" t="s">
        <v>2772</v>
      </c>
      <c r="D1153" s="2" t="s">
        <v>1028</v>
      </c>
      <c r="E1153" s="2"/>
      <c r="F1153" s="2" t="s">
        <v>32</v>
      </c>
      <c r="G1153" s="2">
        <v>20</v>
      </c>
      <c r="H1153" s="2">
        <v>389.7</v>
      </c>
      <c r="I1153" s="2">
        <v>11904</v>
      </c>
      <c r="J1153" s="2" t="s">
        <v>2321</v>
      </c>
      <c r="K1153" s="2">
        <v>7</v>
      </c>
      <c r="L1153" s="2" t="s">
        <v>2789</v>
      </c>
      <c r="Q1153" s="4" t="str">
        <f ca="1">IFERROR(__xludf.DUMMYFUNCTION("TRIM(SUBSTITUTE(SUBSTITUTE(D1153, index(SPLIT(D1153, "" ""), COLUMNS(SPLIT(D1153, "" ""))), """"), index(SPLIT(D1153, "" ""), COLUMNS(SPLIT(D1153, "" ""))-1), """"))"),"Чкаловська")</f>
        <v>Чкаловська</v>
      </c>
    </row>
    <row r="1154" spans="1:17" ht="38">
      <c r="A1154" s="2"/>
      <c r="B1154" s="2" t="s">
        <v>2648</v>
      </c>
      <c r="C1154" s="2" t="s">
        <v>2772</v>
      </c>
      <c r="D1154" s="2" t="s">
        <v>2790</v>
      </c>
      <c r="E1154" s="2"/>
      <c r="F1154" s="2" t="s">
        <v>20</v>
      </c>
      <c r="G1154" s="2">
        <v>9</v>
      </c>
      <c r="H1154" s="2">
        <v>288.89999999999998</v>
      </c>
      <c r="I1154" s="2">
        <v>38650</v>
      </c>
      <c r="J1154" s="2" t="s">
        <v>2791</v>
      </c>
      <c r="K1154" s="2">
        <v>5</v>
      </c>
      <c r="L1154" s="2" t="s">
        <v>2792</v>
      </c>
      <c r="Q1154" s="4" t="str">
        <f ca="1">IFERROR(__xludf.DUMMYFUNCTION("TRIM(SUBSTITUTE(SUBSTITUTE(D1154, index(SPLIT(D1154, "" ""), COLUMNS(SPLIT(D1154, "" ""))), """"), index(SPLIT(D1154, "" ""), COLUMNS(SPLIT(D1154, "" ""))-1), """"))"),"Чугуївська")</f>
        <v>Чугуївська</v>
      </c>
    </row>
    <row r="1155" spans="1:17" ht="50.5">
      <c r="A1155" s="2"/>
      <c r="B1155" s="2" t="s">
        <v>2793</v>
      </c>
      <c r="C1155" s="2" t="s">
        <v>2794</v>
      </c>
      <c r="D1155" s="2" t="s">
        <v>2795</v>
      </c>
      <c r="E1155" s="2"/>
      <c r="F1155" s="2" t="s">
        <v>20</v>
      </c>
      <c r="G1155" s="2">
        <v>10</v>
      </c>
      <c r="H1155" s="2">
        <v>457.7</v>
      </c>
      <c r="I1155" s="2">
        <v>18062</v>
      </c>
      <c r="J1155" s="2" t="s">
        <v>2796</v>
      </c>
      <c r="K1155" s="2">
        <v>7</v>
      </c>
      <c r="L1155" s="2" t="s">
        <v>2797</v>
      </c>
      <c r="Q1155" s="4" t="str">
        <f ca="1">IFERROR(__xludf.DUMMYFUNCTION("TRIM(SUBSTITUTE(SUBSTITUTE(D1155, index(SPLIT(D1155, "" ""), COLUMNS(SPLIT(D1155, "" ""))), """"), index(SPLIT(D1155, "" ""), COLUMNS(SPLIT(D1155, "" ""))-1), """"))"),"Бериславська")</f>
        <v>Бериславська</v>
      </c>
    </row>
    <row r="1156" spans="1:17" ht="38">
      <c r="A1156" s="2"/>
      <c r="B1156" s="2" t="s">
        <v>2793</v>
      </c>
      <c r="C1156" s="2" t="s">
        <v>2794</v>
      </c>
      <c r="D1156" s="2" t="s">
        <v>2798</v>
      </c>
      <c r="E1156" s="2"/>
      <c r="F1156" s="2" t="s">
        <v>28</v>
      </c>
      <c r="G1156" s="2">
        <v>10</v>
      </c>
      <c r="H1156" s="2">
        <v>325.2</v>
      </c>
      <c r="I1156" s="2">
        <v>3665</v>
      </c>
      <c r="J1156" s="2" t="s">
        <v>39</v>
      </c>
      <c r="K1156" s="2">
        <v>3</v>
      </c>
      <c r="L1156" s="2" t="s">
        <v>2799</v>
      </c>
      <c r="Q1156" s="4" t="str">
        <f ca="1">IFERROR(__xludf.DUMMYFUNCTION("TRIM(SUBSTITUTE(SUBSTITUTE(D1156, index(SPLIT(D1156, "" ""), COLUMNS(SPLIT(D1156, "" ""))), """"), index(SPLIT(D1156, "" ""), COLUMNS(SPLIT(D1156, "" ""))-1), """"))"),"Борозенська")</f>
        <v>Борозенська</v>
      </c>
    </row>
    <row r="1157" spans="1:17" ht="63">
      <c r="A1157" s="2"/>
      <c r="B1157" s="2" t="s">
        <v>2793</v>
      </c>
      <c r="C1157" s="2" t="s">
        <v>2794</v>
      </c>
      <c r="D1157" s="2" t="s">
        <v>2800</v>
      </c>
      <c r="E1157" s="2"/>
      <c r="F1157" s="2" t="s">
        <v>32</v>
      </c>
      <c r="G1157" s="2">
        <v>34</v>
      </c>
      <c r="H1157" s="2">
        <v>865.4</v>
      </c>
      <c r="I1157" s="2">
        <v>16239</v>
      </c>
      <c r="J1157" s="2" t="s">
        <v>2801</v>
      </c>
      <c r="K1157" s="2">
        <v>12</v>
      </c>
      <c r="L1157" s="2" t="s">
        <v>2802</v>
      </c>
      <c r="Q1157" s="4" t="str">
        <f ca="1">IFERROR(__xludf.DUMMYFUNCTION("TRIM(SUBSTITUTE(SUBSTITUTE(D1157, index(SPLIT(D1157, "" ""), COLUMNS(SPLIT(D1157, "" ""))), """"), index(SPLIT(D1157, "" ""), COLUMNS(SPLIT(D1157, "" ""))-1), """"))"),"Великоолександрівська")</f>
        <v>Великоолександрівська</v>
      </c>
    </row>
    <row r="1158" spans="1:17" ht="50.5">
      <c r="A1158" s="2"/>
      <c r="B1158" s="2" t="s">
        <v>2793</v>
      </c>
      <c r="C1158" s="2" t="s">
        <v>2794</v>
      </c>
      <c r="D1158" s="2" t="s">
        <v>2803</v>
      </c>
      <c r="E1158" s="2"/>
      <c r="F1158" s="2" t="s">
        <v>32</v>
      </c>
      <c r="G1158" s="2">
        <v>22</v>
      </c>
      <c r="H1158" s="2">
        <v>494.9</v>
      </c>
      <c r="I1158" s="2">
        <v>11002</v>
      </c>
      <c r="J1158" s="2" t="s">
        <v>39</v>
      </c>
      <c r="K1158" s="2">
        <v>8</v>
      </c>
      <c r="L1158" s="2" t="s">
        <v>2804</v>
      </c>
      <c r="Q1158" s="4" t="str">
        <f ca="1">IFERROR(__xludf.DUMMYFUNCTION("TRIM(SUBSTITUTE(SUBSTITUTE(D1158, index(SPLIT(D1158, "" ""), COLUMNS(SPLIT(D1158, "" ""))), """"), index(SPLIT(D1158, "" ""), COLUMNS(SPLIT(D1158, "" ""))-1), """"))"),"Високопільська")</f>
        <v>Високопільська</v>
      </c>
    </row>
    <row r="1159" spans="1:17" ht="38">
      <c r="A1159" s="2"/>
      <c r="B1159" s="2" t="s">
        <v>2793</v>
      </c>
      <c r="C1159" s="2" t="s">
        <v>2794</v>
      </c>
      <c r="D1159" s="2" t="s">
        <v>158</v>
      </c>
      <c r="E1159" s="2"/>
      <c r="F1159" s="2" t="s">
        <v>32</v>
      </c>
      <c r="G1159" s="2">
        <v>12</v>
      </c>
      <c r="H1159" s="2">
        <v>197.3</v>
      </c>
      <c r="I1159" s="2">
        <v>3402</v>
      </c>
      <c r="J1159" s="2" t="s">
        <v>2805</v>
      </c>
      <c r="K1159" s="2">
        <v>3</v>
      </c>
      <c r="L1159" s="2" t="s">
        <v>2806</v>
      </c>
      <c r="Q1159" s="4" t="str">
        <f ca="1">IFERROR(__xludf.DUMMYFUNCTION("TRIM(SUBSTITUTE(SUBSTITUTE(D1159, index(SPLIT(D1159, "" ""), COLUMNS(SPLIT(D1159, "" ""))), """"), index(SPLIT(D1159, "" ""), COLUMNS(SPLIT(D1159, "" ""))-1), """"))"),"Калинівська")</f>
        <v>Калинівська</v>
      </c>
    </row>
    <row r="1160" spans="1:17" ht="38">
      <c r="A1160" s="2"/>
      <c r="B1160" s="2" t="s">
        <v>2793</v>
      </c>
      <c r="C1160" s="2" t="s">
        <v>2794</v>
      </c>
      <c r="D1160" s="2" t="s">
        <v>2807</v>
      </c>
      <c r="E1160" s="2"/>
      <c r="F1160" s="2" t="s">
        <v>28</v>
      </c>
      <c r="G1160" s="2">
        <v>14</v>
      </c>
      <c r="H1160" s="2">
        <v>206.1</v>
      </c>
      <c r="I1160" s="2">
        <v>2898</v>
      </c>
      <c r="J1160" s="2" t="s">
        <v>2808</v>
      </c>
      <c r="K1160" s="2">
        <v>4</v>
      </c>
      <c r="L1160" s="2" t="s">
        <v>2809</v>
      </c>
      <c r="Q1160" s="4" t="str">
        <f ca="1">IFERROR(__xludf.DUMMYFUNCTION("TRIM(SUBSTITUTE(SUBSTITUTE(D1160, index(SPLIT(D1160, "" ""), COLUMNS(SPLIT(D1160, "" ""))), """"), index(SPLIT(D1160, "" ""), COLUMNS(SPLIT(D1160, "" ""))-1), """"))"),"Кочубеївська")</f>
        <v>Кочубеївська</v>
      </c>
    </row>
    <row r="1161" spans="1:17" ht="38">
      <c r="A1161" s="2"/>
      <c r="B1161" s="2" t="s">
        <v>2793</v>
      </c>
      <c r="C1161" s="2" t="s">
        <v>2794</v>
      </c>
      <c r="D1161" s="2" t="s">
        <v>2810</v>
      </c>
      <c r="E1161" s="2"/>
      <c r="F1161" s="2" t="s">
        <v>28</v>
      </c>
      <c r="G1161" s="2">
        <v>10</v>
      </c>
      <c r="H1161" s="2">
        <v>551.4</v>
      </c>
      <c r="I1161" s="2">
        <v>6799</v>
      </c>
      <c r="J1161" s="2" t="s">
        <v>46</v>
      </c>
      <c r="K1161" s="2">
        <v>5</v>
      </c>
      <c r="L1161" s="2" t="s">
        <v>2811</v>
      </c>
      <c r="Q1161" s="4" t="str">
        <f ca="1">IFERROR(__xludf.DUMMYFUNCTION("TRIM(SUBSTITUTE(SUBSTITUTE(D1161, index(SPLIT(D1161, "" ""), COLUMNS(SPLIT(D1161, "" ""))), """"), index(SPLIT(D1161, "" ""), COLUMNS(SPLIT(D1161, "" ""))-1), """"))"),"Милівська")</f>
        <v>Милівська</v>
      </c>
    </row>
    <row r="1162" spans="1:17" ht="50.5">
      <c r="A1162" s="2"/>
      <c r="B1162" s="2" t="s">
        <v>2793</v>
      </c>
      <c r="C1162" s="2" t="s">
        <v>2794</v>
      </c>
      <c r="D1162" s="2" t="s">
        <v>2812</v>
      </c>
      <c r="E1162" s="2"/>
      <c r="F1162" s="2" t="s">
        <v>32</v>
      </c>
      <c r="G1162" s="2">
        <v>10</v>
      </c>
      <c r="H1162" s="2">
        <v>465.4</v>
      </c>
      <c r="I1162" s="2">
        <v>12343</v>
      </c>
      <c r="J1162" s="2" t="s">
        <v>2813</v>
      </c>
      <c r="K1162" s="2">
        <v>6</v>
      </c>
      <c r="L1162" s="2" t="s">
        <v>2814</v>
      </c>
      <c r="Q1162" s="4" t="str">
        <f ca="1">IFERROR(__xludf.DUMMYFUNCTION("TRIM(SUBSTITUTE(SUBSTITUTE(D1162, index(SPLIT(D1162, "" ""), COLUMNS(SPLIT(D1162, "" ""))), """"), index(SPLIT(D1162, "" ""), COLUMNS(SPLIT(D1162, "" ""))-1), """"))"),"Нововоронцовська")</f>
        <v>Нововоронцовська</v>
      </c>
    </row>
    <row r="1163" spans="1:17" ht="50.5">
      <c r="A1163" s="2"/>
      <c r="B1163" s="2" t="s">
        <v>2793</v>
      </c>
      <c r="C1163" s="2" t="s">
        <v>2794</v>
      </c>
      <c r="D1163" s="2" t="s">
        <v>301</v>
      </c>
      <c r="E1163" s="2"/>
      <c r="F1163" s="2" t="s">
        <v>28</v>
      </c>
      <c r="G1163" s="2">
        <v>9</v>
      </c>
      <c r="H1163" s="2">
        <v>407.9</v>
      </c>
      <c r="I1163" s="2">
        <v>5947</v>
      </c>
      <c r="J1163" s="2" t="s">
        <v>2815</v>
      </c>
      <c r="K1163" s="2">
        <v>6</v>
      </c>
      <c r="L1163" s="2" t="s">
        <v>2816</v>
      </c>
      <c r="Q1163" s="4" t="str">
        <f ca="1">IFERROR(__xludf.DUMMYFUNCTION("TRIM(SUBSTITUTE(SUBSTITUTE(D1163, index(SPLIT(D1163, "" ""), COLUMNS(SPLIT(D1163, "" ""))), """"), index(SPLIT(D1163, "" ""), COLUMNS(SPLIT(D1163, "" ""))-1), """"))"),"Новоолександрівська")</f>
        <v>Новоолександрівська</v>
      </c>
    </row>
    <row r="1164" spans="1:17" ht="38">
      <c r="A1164" s="2"/>
      <c r="B1164" s="2" t="s">
        <v>2793</v>
      </c>
      <c r="C1164" s="2" t="s">
        <v>2794</v>
      </c>
      <c r="D1164" s="2" t="s">
        <v>2817</v>
      </c>
      <c r="E1164" s="2"/>
      <c r="F1164" s="2" t="s">
        <v>28</v>
      </c>
      <c r="G1164" s="2">
        <v>9</v>
      </c>
      <c r="H1164" s="2">
        <v>351.5</v>
      </c>
      <c r="I1164" s="2">
        <v>5822</v>
      </c>
      <c r="J1164" s="2" t="s">
        <v>93</v>
      </c>
      <c r="K1164" s="2">
        <v>4</v>
      </c>
      <c r="L1164" s="2" t="s">
        <v>2818</v>
      </c>
      <c r="Q1164" s="4" t="str">
        <f ca="1">IFERROR(__xludf.DUMMYFUNCTION("TRIM(SUBSTITUTE(SUBSTITUTE(D1164, index(SPLIT(D1164, "" ""), COLUMNS(SPLIT(D1164, "" ""))), """"), index(SPLIT(D1164, "" ""), COLUMNS(SPLIT(D1164, "" ""))-1), """"))"),"Новорайська")</f>
        <v>Новорайська</v>
      </c>
    </row>
    <row r="1165" spans="1:17" ht="38">
      <c r="A1165" s="2"/>
      <c r="B1165" s="2" t="s">
        <v>2793</v>
      </c>
      <c r="C1165" s="2" t="s">
        <v>2794</v>
      </c>
      <c r="D1165" s="2" t="s">
        <v>2819</v>
      </c>
      <c r="E1165" s="2"/>
      <c r="F1165" s="2" t="s">
        <v>28</v>
      </c>
      <c r="G1165" s="2">
        <v>11</v>
      </c>
      <c r="H1165" s="2">
        <v>424.3</v>
      </c>
      <c r="I1165" s="2">
        <v>9788</v>
      </c>
      <c r="J1165" s="2" t="s">
        <v>2820</v>
      </c>
      <c r="K1165" s="2">
        <v>6</v>
      </c>
      <c r="L1165" s="2" t="s">
        <v>2821</v>
      </c>
      <c r="Q1165" s="4" t="str">
        <f ca="1">IFERROR(__xludf.DUMMYFUNCTION("TRIM(SUBSTITUTE(SUBSTITUTE(D1165, index(SPLIT(D1165, "" ""), COLUMNS(SPLIT(D1165, "" ""))), """"), index(SPLIT(D1165, "" ""), COLUMNS(SPLIT(D1165, "" ""))-1), """"))"),"Тягинська")</f>
        <v>Тягинська</v>
      </c>
    </row>
    <row r="1166" spans="1:17" ht="75.5">
      <c r="A1166" s="2"/>
      <c r="B1166" s="2" t="s">
        <v>2793</v>
      </c>
      <c r="C1166" s="2" t="s">
        <v>2822</v>
      </c>
      <c r="D1166" s="2" t="s">
        <v>152</v>
      </c>
      <c r="E1166" s="2"/>
      <c r="F1166" s="2" t="s">
        <v>32</v>
      </c>
      <c r="G1166" s="2">
        <v>28</v>
      </c>
      <c r="H1166" s="2">
        <v>1119.3</v>
      </c>
      <c r="I1166" s="2">
        <v>12995</v>
      </c>
      <c r="J1166" s="2" t="s">
        <v>39</v>
      </c>
      <c r="K1166" s="2">
        <v>15</v>
      </c>
      <c r="L1166" s="2" t="s">
        <v>2823</v>
      </c>
      <c r="Q1166" s="4" t="str">
        <f ca="1">IFERROR(__xludf.DUMMYFUNCTION("TRIM(SUBSTITUTE(SUBSTITUTE(D1166, index(SPLIT(D1166, "" ""), COLUMNS(SPLIT(D1166, "" ""))), """"), index(SPLIT(D1166, "" ""), COLUMNS(SPLIT(D1166, "" ""))-1), """"))"),"Іванівська")</f>
        <v>Іванівська</v>
      </c>
    </row>
    <row r="1167" spans="1:17" ht="88">
      <c r="A1167" s="2"/>
      <c r="B1167" s="2" t="s">
        <v>2793</v>
      </c>
      <c r="C1167" s="2" t="s">
        <v>2822</v>
      </c>
      <c r="D1167" s="2" t="s">
        <v>2824</v>
      </c>
      <c r="E1167" s="2"/>
      <c r="F1167" s="2" t="s">
        <v>20</v>
      </c>
      <c r="G1167" s="2">
        <v>68</v>
      </c>
      <c r="H1167" s="2">
        <v>2497.1</v>
      </c>
      <c r="I1167" s="2">
        <v>57846</v>
      </c>
      <c r="J1167" s="2" t="s">
        <v>2825</v>
      </c>
      <c r="K1167" s="2">
        <v>20</v>
      </c>
      <c r="L1167" s="2" t="s">
        <v>2826</v>
      </c>
      <c r="Q1167" s="4" t="str">
        <f ca="1">IFERROR(__xludf.DUMMYFUNCTION("TRIM(SUBSTITUTE(SUBSTITUTE(D1167, index(SPLIT(D1167, "" ""), COLUMNS(SPLIT(D1167, "" ""))), """"), index(SPLIT(D1167, "" ""), COLUMNS(SPLIT(D1167, "" ""))-1), """"))"),"Генічеська")</f>
        <v>Генічеська</v>
      </c>
    </row>
    <row r="1168" spans="1:17" ht="75.5">
      <c r="A1168" s="2"/>
      <c r="B1168" s="2" t="s">
        <v>2793</v>
      </c>
      <c r="C1168" s="2" t="s">
        <v>2822</v>
      </c>
      <c r="D1168" s="2" t="s">
        <v>2827</v>
      </c>
      <c r="E1168" s="2"/>
      <c r="F1168" s="2" t="s">
        <v>32</v>
      </c>
      <c r="G1168" s="2">
        <v>25</v>
      </c>
      <c r="H1168" s="2">
        <v>1207.8</v>
      </c>
      <c r="I1168" s="2">
        <v>14736</v>
      </c>
      <c r="J1168" s="2" t="s">
        <v>2828</v>
      </c>
      <c r="K1168" s="2">
        <v>14</v>
      </c>
      <c r="L1168" s="2" t="s">
        <v>2829</v>
      </c>
      <c r="Q1168" s="4" t="str">
        <f ca="1">IFERROR(__xludf.DUMMYFUNCTION("TRIM(SUBSTITUTE(SUBSTITUTE(D1168, index(SPLIT(D1168, "" ""), COLUMNS(SPLIT(D1168, "" ""))), """"), index(SPLIT(D1168, "" ""), COLUMNS(SPLIT(D1168, "" ""))-1), """"))"),"Нижньосірогозька")</f>
        <v>Нижньосірогозька</v>
      </c>
    </row>
    <row r="1169" spans="1:17" ht="88">
      <c r="A1169" s="2"/>
      <c r="B1169" s="2" t="s">
        <v>2793</v>
      </c>
      <c r="C1169" s="2" t="s">
        <v>2822</v>
      </c>
      <c r="D1169" s="2" t="s">
        <v>2830</v>
      </c>
      <c r="E1169" s="2"/>
      <c r="F1169" s="2" t="s">
        <v>32</v>
      </c>
      <c r="G1169" s="2">
        <v>44</v>
      </c>
      <c r="H1169" s="2">
        <v>2296.3000000000002</v>
      </c>
      <c r="I1169" s="2">
        <v>34324</v>
      </c>
      <c r="J1169" s="2" t="s">
        <v>2831</v>
      </c>
      <c r="K1169" s="2">
        <v>19</v>
      </c>
      <c r="L1169" s="2" t="s">
        <v>2832</v>
      </c>
      <c r="Q1169" s="4" t="str">
        <f ca="1">IFERROR(__xludf.DUMMYFUNCTION("TRIM(SUBSTITUTE(SUBSTITUTE(D1169, index(SPLIT(D1169, "" ""), COLUMNS(SPLIT(D1169, "" ""))), """"), index(SPLIT(D1169, "" ""), COLUMNS(SPLIT(D1169, "" ""))-1), """"))"),"Новотроїцька")</f>
        <v>Новотроїцька</v>
      </c>
    </row>
    <row r="1170" spans="1:17" ht="38">
      <c r="A1170" s="2"/>
      <c r="B1170" s="2" t="s">
        <v>2793</v>
      </c>
      <c r="C1170" s="2" t="s">
        <v>2833</v>
      </c>
      <c r="D1170" s="2" t="s">
        <v>2834</v>
      </c>
      <c r="E1170" s="2"/>
      <c r="F1170" s="2" t="s">
        <v>32</v>
      </c>
      <c r="G1170" s="2">
        <v>9</v>
      </c>
      <c r="H1170" s="2">
        <v>400.4</v>
      </c>
      <c r="I1170" s="2">
        <v>6336</v>
      </c>
      <c r="J1170" s="2" t="s">
        <v>72</v>
      </c>
      <c r="K1170" s="2">
        <v>3</v>
      </c>
      <c r="L1170" s="2" t="s">
        <v>2835</v>
      </c>
      <c r="Q1170" s="4" t="str">
        <f ca="1">IFERROR(__xludf.DUMMYFUNCTION("TRIM(SUBSTITUTE(SUBSTITUTE(D1170, index(SPLIT(D1170, "" ""), COLUMNS(SPLIT(D1170, "" ""))), """"), index(SPLIT(D1170, "" ""), COLUMNS(SPLIT(D1170, "" ""))-1), """"))"),"Асканія-Нова")</f>
        <v>Асканія-Нова</v>
      </c>
    </row>
    <row r="1171" spans="1:17" ht="50.5">
      <c r="A1171" s="2"/>
      <c r="B1171" s="2" t="s">
        <v>2793</v>
      </c>
      <c r="C1171" s="2" t="s">
        <v>2833</v>
      </c>
      <c r="D1171" s="2" t="s">
        <v>2836</v>
      </c>
      <c r="E1171" s="2"/>
      <c r="F1171" s="2" t="s">
        <v>32</v>
      </c>
      <c r="G1171" s="2">
        <v>8</v>
      </c>
      <c r="H1171" s="2">
        <v>630.5</v>
      </c>
      <c r="I1171" s="2">
        <v>11755</v>
      </c>
      <c r="J1171" s="2" t="s">
        <v>2837</v>
      </c>
      <c r="K1171" s="2">
        <v>4</v>
      </c>
      <c r="L1171" s="2" t="s">
        <v>2838</v>
      </c>
      <c r="Q1171" s="4" t="str">
        <f ca="1">IFERROR(__xludf.DUMMYFUNCTION("TRIM(SUBSTITUTE(SUBSTITUTE(D1171, index(SPLIT(D1171, "" ""), COLUMNS(SPLIT(D1171, "" ""))), """"), index(SPLIT(D1171, "" ""), COLUMNS(SPLIT(D1171, "" ""))-1), """"))"),"Великолепетиська")</f>
        <v>Великолепетиська</v>
      </c>
    </row>
    <row r="1172" spans="1:17" ht="50.5">
      <c r="A1172" s="2"/>
      <c r="B1172" s="2" t="s">
        <v>2793</v>
      </c>
      <c r="C1172" s="2" t="s">
        <v>2833</v>
      </c>
      <c r="D1172" s="2" t="s">
        <v>2839</v>
      </c>
      <c r="E1172" s="2"/>
      <c r="F1172" s="2" t="s">
        <v>32</v>
      </c>
      <c r="G1172" s="2">
        <v>21</v>
      </c>
      <c r="H1172" s="2">
        <v>914.3</v>
      </c>
      <c r="I1172" s="2">
        <v>11059</v>
      </c>
      <c r="J1172" s="2" t="s">
        <v>2840</v>
      </c>
      <c r="K1172" s="2">
        <v>7</v>
      </c>
      <c r="L1172" s="2" t="s">
        <v>2841</v>
      </c>
      <c r="Q1172" s="4" t="str">
        <f ca="1">IFERROR(__xludf.DUMMYFUNCTION("TRIM(SUBSTITUTE(SUBSTITUTE(D1172, index(SPLIT(D1172, "" ""), COLUMNS(SPLIT(D1172, "" ""))), """"), index(SPLIT(D1172, "" ""), COLUMNS(SPLIT(D1172, "" ""))-1), """"))"),"Верхньорогачицька")</f>
        <v>Верхньорогачицька</v>
      </c>
    </row>
    <row r="1173" spans="1:17" ht="50.5">
      <c r="A1173" s="2"/>
      <c r="B1173" s="2" t="s">
        <v>2793</v>
      </c>
      <c r="C1173" s="2" t="s">
        <v>2833</v>
      </c>
      <c r="D1173" s="2" t="s">
        <v>2842</v>
      </c>
      <c r="E1173" s="2"/>
      <c r="F1173" s="2" t="s">
        <v>32</v>
      </c>
      <c r="G1173" s="2">
        <v>20</v>
      </c>
      <c r="H1173" s="2">
        <v>757.2</v>
      </c>
      <c r="I1173" s="2">
        <v>14885</v>
      </c>
      <c r="J1173" s="2" t="s">
        <v>63</v>
      </c>
      <c r="K1173" s="2">
        <v>8</v>
      </c>
      <c r="L1173" s="2" t="s">
        <v>2843</v>
      </c>
      <c r="Q1173" s="4" t="str">
        <f ca="1">IFERROR(__xludf.DUMMYFUNCTION("TRIM(SUBSTITUTE(SUBSTITUTE(D1173, index(SPLIT(D1173, "" ""), COLUMNS(SPLIT(D1173, "" ""))), """"), index(SPLIT(D1173, "" ""), COLUMNS(SPLIT(D1173, "" ""))-1), """"))"),"Горностаївська")</f>
        <v>Горностаївська</v>
      </c>
    </row>
    <row r="1174" spans="1:17" ht="50.5">
      <c r="A1174" s="2"/>
      <c r="B1174" s="2" t="s">
        <v>2793</v>
      </c>
      <c r="C1174" s="2" t="s">
        <v>2833</v>
      </c>
      <c r="D1174" s="2" t="s">
        <v>2844</v>
      </c>
      <c r="E1174" s="2"/>
      <c r="F1174" s="2" t="s">
        <v>28</v>
      </c>
      <c r="G1174" s="2">
        <v>17</v>
      </c>
      <c r="H1174" s="2">
        <v>491.5</v>
      </c>
      <c r="I1174" s="2">
        <v>8195</v>
      </c>
      <c r="J1174" s="2" t="s">
        <v>33</v>
      </c>
      <c r="K1174" s="2">
        <v>6</v>
      </c>
      <c r="L1174" s="2" t="s">
        <v>2845</v>
      </c>
      <c r="Q1174" s="4" t="str">
        <f ca="1">IFERROR(__xludf.DUMMYFUNCTION("TRIM(SUBSTITUTE(SUBSTITUTE(D1174, index(SPLIT(D1174, "" ""), COLUMNS(SPLIT(D1174, "" ""))), """"), index(SPLIT(D1174, "" ""), COLUMNS(SPLIT(D1174, "" ""))-1), """"))"),"Зеленопідська")</f>
        <v>Зеленопідська</v>
      </c>
    </row>
    <row r="1175" spans="1:17" ht="38">
      <c r="A1175" s="2"/>
      <c r="B1175" s="2" t="s">
        <v>2793</v>
      </c>
      <c r="C1175" s="2" t="s">
        <v>2833</v>
      </c>
      <c r="D1175" s="2" t="s">
        <v>2846</v>
      </c>
      <c r="E1175" s="2"/>
      <c r="F1175" s="2" t="s">
        <v>20</v>
      </c>
      <c r="G1175" s="2">
        <v>5</v>
      </c>
      <c r="H1175" s="2">
        <v>195.4</v>
      </c>
      <c r="I1175" s="2">
        <v>43063</v>
      </c>
      <c r="J1175" s="2" t="s">
        <v>2847</v>
      </c>
      <c r="K1175" s="2">
        <v>5</v>
      </c>
      <c r="L1175" s="2" t="s">
        <v>2848</v>
      </c>
      <c r="Q1175" s="4" t="str">
        <f ca="1">IFERROR(__xludf.DUMMYFUNCTION("TRIM(SUBSTITUTE(SUBSTITUTE(D1175, index(SPLIT(D1175, "" ""), COLUMNS(SPLIT(D1175, "" ""))), """"), index(SPLIT(D1175, "" ""), COLUMNS(SPLIT(D1175, "" ""))-1), """"))"),"Каховська")</f>
        <v>Каховська</v>
      </c>
    </row>
    <row r="1176" spans="1:17" ht="50.5">
      <c r="A1176" s="2"/>
      <c r="B1176" s="2" t="s">
        <v>2793</v>
      </c>
      <c r="C1176" s="2" t="s">
        <v>2833</v>
      </c>
      <c r="D1176" s="2" t="s">
        <v>512</v>
      </c>
      <c r="E1176" s="2"/>
      <c r="F1176" s="2" t="s">
        <v>28</v>
      </c>
      <c r="G1176" s="2">
        <v>9</v>
      </c>
      <c r="H1176" s="2">
        <v>259.39999999999998</v>
      </c>
      <c r="I1176" s="2">
        <v>3905</v>
      </c>
      <c r="J1176" s="2" t="s">
        <v>39</v>
      </c>
      <c r="K1176" s="2">
        <v>4</v>
      </c>
      <c r="L1176" s="2" t="s">
        <v>2849</v>
      </c>
      <c r="Q1176" s="4" t="str">
        <f ca="1">IFERROR(__xludf.DUMMYFUNCTION("TRIM(SUBSTITUTE(SUBSTITUTE(D1176, index(SPLIT(D1176, "" ""), COLUMNS(SPLIT(D1176, "" ""))), """"), index(SPLIT(D1176, "" ""), COLUMNS(SPLIT(D1176, "" ""))-1), """"))"),"Костянтинівська")</f>
        <v>Костянтинівська</v>
      </c>
    </row>
    <row r="1177" spans="1:17" ht="38">
      <c r="A1177" s="2"/>
      <c r="B1177" s="2" t="s">
        <v>2793</v>
      </c>
      <c r="C1177" s="2" t="s">
        <v>2833</v>
      </c>
      <c r="D1177" s="2" t="s">
        <v>293</v>
      </c>
      <c r="E1177" s="2"/>
      <c r="F1177" s="2" t="s">
        <v>32</v>
      </c>
      <c r="G1177" s="2">
        <v>6</v>
      </c>
      <c r="H1177" s="2">
        <v>234.6</v>
      </c>
      <c r="I1177" s="2">
        <v>7579</v>
      </c>
      <c r="J1177" s="2" t="s">
        <v>39</v>
      </c>
      <c r="K1177" s="2">
        <v>2</v>
      </c>
      <c r="L1177" s="2" t="s">
        <v>2850</v>
      </c>
      <c r="Q1177" s="4" t="str">
        <f ca="1">IFERROR(__xludf.DUMMYFUNCTION("TRIM(SUBSTITUTE(SUBSTITUTE(D1177, index(SPLIT(D1177, "" ""), COLUMNS(SPLIT(D1177, "" ""))), """"), index(SPLIT(D1177, "" ""), COLUMNS(SPLIT(D1177, "" ""))-1), """"))"),"Любимівська")</f>
        <v>Любимівська</v>
      </c>
    </row>
    <row r="1178" spans="1:17" ht="50.5">
      <c r="A1178" s="2"/>
      <c r="B1178" s="2" t="s">
        <v>2793</v>
      </c>
      <c r="C1178" s="2" t="s">
        <v>2833</v>
      </c>
      <c r="D1178" s="2" t="s">
        <v>2851</v>
      </c>
      <c r="E1178" s="2"/>
      <c r="F1178" s="2" t="s">
        <v>20</v>
      </c>
      <c r="G1178" s="2">
        <v>11</v>
      </c>
      <c r="H1178" s="2">
        <v>241</v>
      </c>
      <c r="I1178" s="2">
        <v>59749</v>
      </c>
      <c r="J1178" s="2" t="s">
        <v>2852</v>
      </c>
      <c r="K1178" s="2">
        <v>5</v>
      </c>
      <c r="L1178" s="2" t="s">
        <v>2853</v>
      </c>
      <c r="Q1178" s="4" t="str">
        <f ca="1">IFERROR(__xludf.DUMMYFUNCTION("TRIM(SUBSTITUTE(SUBSTITUTE(D1178, index(SPLIT(D1178, "" ""), COLUMNS(SPLIT(D1178, "" ""))), """"), index(SPLIT(D1178, "" ""), COLUMNS(SPLIT(D1178, "" ""))-1), """"))"),"Новокаховська")</f>
        <v>Новокаховська</v>
      </c>
    </row>
    <row r="1179" spans="1:17" ht="38">
      <c r="A1179" s="2"/>
      <c r="B1179" s="2" t="s">
        <v>2793</v>
      </c>
      <c r="C1179" s="2" t="s">
        <v>2833</v>
      </c>
      <c r="D1179" s="2" t="s">
        <v>2854</v>
      </c>
      <c r="E1179" s="2"/>
      <c r="F1179" s="2" t="s">
        <v>28</v>
      </c>
      <c r="G1179" s="2">
        <v>5</v>
      </c>
      <c r="H1179" s="2">
        <v>398.7</v>
      </c>
      <c r="I1179" s="2">
        <v>4816</v>
      </c>
      <c r="J1179" s="2" t="s">
        <v>33</v>
      </c>
      <c r="K1179" s="2">
        <v>4</v>
      </c>
      <c r="L1179" s="2" t="s">
        <v>2855</v>
      </c>
      <c r="Q1179" s="4" t="str">
        <f ca="1">IFERROR(__xludf.DUMMYFUNCTION("TRIM(SUBSTITUTE(SUBSTITUTE(D1179, index(SPLIT(D1179, "" ""), COLUMNS(SPLIT(D1179, "" ""))), """"), index(SPLIT(D1179, "" ""), COLUMNS(SPLIT(D1179, "" ""))-1), """"))"),"Присиваська")</f>
        <v>Присиваська</v>
      </c>
    </row>
    <row r="1180" spans="1:17" ht="38">
      <c r="A1180" s="2"/>
      <c r="B1180" s="2" t="s">
        <v>2793</v>
      </c>
      <c r="C1180" s="2" t="s">
        <v>2833</v>
      </c>
      <c r="D1180" s="2" t="s">
        <v>2856</v>
      </c>
      <c r="E1180" s="2"/>
      <c r="F1180" s="2" t="s">
        <v>28</v>
      </c>
      <c r="G1180" s="2">
        <v>5</v>
      </c>
      <c r="H1180" s="2">
        <v>368.7</v>
      </c>
      <c r="I1180" s="2">
        <v>3923</v>
      </c>
      <c r="J1180" s="2" t="s">
        <v>2857</v>
      </c>
      <c r="K1180" s="2">
        <v>3</v>
      </c>
      <c r="L1180" s="2" t="s">
        <v>2858</v>
      </c>
      <c r="Q1180" s="4" t="str">
        <f ca="1">IFERROR(__xludf.DUMMYFUNCTION("TRIM(SUBSTITUTE(SUBSTITUTE(D1180, index(SPLIT(D1180, "" ""), COLUMNS(SPLIT(D1180, "" ""))), """"), index(SPLIT(D1180, "" ""), COLUMNS(SPLIT(D1180, "" ""))-1), """"))"),"Рубанівська")</f>
        <v>Рубанівська</v>
      </c>
    </row>
    <row r="1181" spans="1:17" ht="50.5">
      <c r="A1181" s="2"/>
      <c r="B1181" s="2" t="s">
        <v>2793</v>
      </c>
      <c r="C1181" s="2" t="s">
        <v>2833</v>
      </c>
      <c r="D1181" s="2" t="s">
        <v>2859</v>
      </c>
      <c r="E1181" s="2"/>
      <c r="F1181" s="2" t="s">
        <v>28</v>
      </c>
      <c r="G1181" s="2">
        <v>11</v>
      </c>
      <c r="H1181" s="2">
        <v>332.6</v>
      </c>
      <c r="I1181" s="2">
        <v>4912</v>
      </c>
      <c r="J1181" s="2" t="s">
        <v>33</v>
      </c>
      <c r="K1181" s="2">
        <v>4</v>
      </c>
      <c r="L1181" s="2" t="s">
        <v>2860</v>
      </c>
      <c r="Q1181" s="4" t="str">
        <f ca="1">IFERROR(__xludf.DUMMYFUNCTION("TRIM(SUBSTITUTE(SUBSTITUTE(D1181, index(SPLIT(D1181, "" ""), COLUMNS(SPLIT(D1181, "" ""))), """"), index(SPLIT(D1181, "" ""), COLUMNS(SPLIT(D1181, "" ""))-1), """"))"),"Тавричанська")</f>
        <v>Тавричанська</v>
      </c>
    </row>
    <row r="1182" spans="1:17" ht="38">
      <c r="A1182" s="2"/>
      <c r="B1182" s="2" t="s">
        <v>2793</v>
      </c>
      <c r="C1182" s="2" t="s">
        <v>2833</v>
      </c>
      <c r="D1182" s="2" t="s">
        <v>995</v>
      </c>
      <c r="E1182" s="2"/>
      <c r="F1182" s="2" t="s">
        <v>20</v>
      </c>
      <c r="G1182" s="2">
        <v>8</v>
      </c>
      <c r="H1182" s="2">
        <v>250.7</v>
      </c>
      <c r="I1182" s="2">
        <v>16992</v>
      </c>
      <c r="J1182" s="2" t="s">
        <v>29</v>
      </c>
      <c r="K1182" s="2">
        <v>4</v>
      </c>
      <c r="L1182" s="2" t="s">
        <v>2861</v>
      </c>
      <c r="Q1182" s="4" t="str">
        <f ca="1">IFERROR(__xludf.DUMMYFUNCTION("TRIM(SUBSTITUTE(SUBSTITUTE(D1182, index(SPLIT(D1182, "" ""), COLUMNS(SPLIT(D1182, "" ""))), """"), index(SPLIT(D1182, "" ""), COLUMNS(SPLIT(D1182, "" ""))-1), """"))"),"Таврійська")</f>
        <v>Таврійська</v>
      </c>
    </row>
    <row r="1183" spans="1:17" ht="38">
      <c r="A1183" s="2"/>
      <c r="B1183" s="2" t="s">
        <v>2793</v>
      </c>
      <c r="C1183" s="2" t="s">
        <v>2833</v>
      </c>
      <c r="D1183" s="2" t="s">
        <v>2862</v>
      </c>
      <c r="E1183" s="2"/>
      <c r="F1183" s="2" t="s">
        <v>28</v>
      </c>
      <c r="G1183" s="2">
        <v>9</v>
      </c>
      <c r="H1183" s="2">
        <v>274.60000000000002</v>
      </c>
      <c r="I1183" s="2">
        <v>5394</v>
      </c>
      <c r="J1183" s="2" t="s">
        <v>33</v>
      </c>
      <c r="K1183" s="2">
        <v>5</v>
      </c>
      <c r="L1183" s="2" t="s">
        <v>2863</v>
      </c>
      <c r="Q1183" s="4" t="str">
        <f ca="1">IFERROR(__xludf.DUMMYFUNCTION("TRIM(SUBSTITUTE(SUBSTITUTE(D1183, index(SPLIT(D1183, "" ""), COLUMNS(SPLIT(D1183, "" ""))), """"), index(SPLIT(D1183, "" ""), COLUMNS(SPLIT(D1183, "" ""))-1), """"))"),"Хрестівська")</f>
        <v>Хрестівська</v>
      </c>
    </row>
    <row r="1184" spans="1:17" ht="50.5">
      <c r="A1184" s="2"/>
      <c r="B1184" s="2" t="s">
        <v>2793</v>
      </c>
      <c r="C1184" s="2" t="s">
        <v>2833</v>
      </c>
      <c r="D1184" s="2" t="s">
        <v>2864</v>
      </c>
      <c r="E1184" s="2"/>
      <c r="F1184" s="2" t="s">
        <v>32</v>
      </c>
      <c r="G1184" s="2">
        <v>18</v>
      </c>
      <c r="H1184" s="2">
        <v>646.20000000000005</v>
      </c>
      <c r="I1184" s="2">
        <v>17220</v>
      </c>
      <c r="J1184" s="2" t="s">
        <v>33</v>
      </c>
      <c r="K1184" s="2">
        <v>8</v>
      </c>
      <c r="L1184" s="2" t="s">
        <v>2865</v>
      </c>
      <c r="Q1184" s="4" t="str">
        <f ca="1">IFERROR(__xludf.DUMMYFUNCTION("TRIM(SUBSTITUTE(SUBSTITUTE(D1184, index(SPLIT(D1184, "" ""), COLUMNS(SPLIT(D1184, "" ""))), """"), index(SPLIT(D1184, "" ""), COLUMNS(SPLIT(D1184, "" ""))-1), """"))"),"Чаплинська")</f>
        <v>Чаплинська</v>
      </c>
    </row>
    <row r="1185" spans="1:17" ht="38">
      <c r="A1185" s="2"/>
      <c r="B1185" s="2" t="s">
        <v>2793</v>
      </c>
      <c r="C1185" s="2" t="s">
        <v>2866</v>
      </c>
      <c r="D1185" s="2" t="s">
        <v>2867</v>
      </c>
      <c r="E1185" s="2"/>
      <c r="F1185" s="2" t="s">
        <v>28</v>
      </c>
      <c r="G1185" s="2">
        <v>15</v>
      </c>
      <c r="H1185" s="2">
        <v>523.29999999999995</v>
      </c>
      <c r="I1185" s="2">
        <v>10335</v>
      </c>
      <c r="J1185" s="2" t="s">
        <v>39</v>
      </c>
      <c r="K1185" s="2">
        <v>6</v>
      </c>
      <c r="L1185" s="2" t="s">
        <v>2868</v>
      </c>
      <c r="Q1185" s="4" t="str">
        <f ca="1">IFERROR(__xludf.DUMMYFUNCTION("TRIM(SUBSTITUTE(SUBSTITUTE(D1185, index(SPLIT(D1185, "" ""), COLUMNS(SPLIT(D1185, "" ""))), """"), index(SPLIT(D1185, "" ""), COLUMNS(SPLIT(D1185, "" ""))-1), """"))"),"Бехтерська")</f>
        <v>Бехтерська</v>
      </c>
    </row>
    <row r="1186" spans="1:17" ht="50.5">
      <c r="A1186" s="2"/>
      <c r="B1186" s="2" t="s">
        <v>2793</v>
      </c>
      <c r="C1186" s="2" t="s">
        <v>2866</v>
      </c>
      <c r="D1186" s="2" t="s">
        <v>2869</v>
      </c>
      <c r="E1186" s="2"/>
      <c r="F1186" s="2" t="s">
        <v>20</v>
      </c>
      <c r="G1186" s="2">
        <v>14</v>
      </c>
      <c r="H1186" s="2">
        <v>927.9</v>
      </c>
      <c r="I1186" s="2">
        <v>34032</v>
      </c>
      <c r="J1186" s="2" t="s">
        <v>2870</v>
      </c>
      <c r="K1186" s="2">
        <v>7</v>
      </c>
      <c r="L1186" s="2" t="s">
        <v>2871</v>
      </c>
      <c r="Q1186" s="4" t="str">
        <f ca="1">IFERROR(__xludf.DUMMYFUNCTION("TRIM(SUBSTITUTE(SUBSTITUTE(D1186, index(SPLIT(D1186, "" ""), COLUMNS(SPLIT(D1186, "" ""))), """"), index(SPLIT(D1186, "" ""), COLUMNS(SPLIT(D1186, "" ""))-1), """"))"),"Голопристанська")</f>
        <v>Голопристанська</v>
      </c>
    </row>
    <row r="1187" spans="1:17" ht="50.5">
      <c r="A1187" s="2"/>
      <c r="B1187" s="2" t="s">
        <v>2793</v>
      </c>
      <c r="C1187" s="2" t="s">
        <v>2866</v>
      </c>
      <c r="D1187" s="2" t="s">
        <v>2872</v>
      </c>
      <c r="E1187" s="2"/>
      <c r="F1187" s="2" t="s">
        <v>28</v>
      </c>
      <c r="G1187" s="2">
        <v>8</v>
      </c>
      <c r="H1187" s="2">
        <v>274.8</v>
      </c>
      <c r="I1187" s="2">
        <v>4558</v>
      </c>
      <c r="J1187" s="2" t="s">
        <v>178</v>
      </c>
      <c r="K1187" s="2">
        <v>3</v>
      </c>
      <c r="L1187" s="2" t="s">
        <v>2873</v>
      </c>
      <c r="Q1187" s="4" t="str">
        <f ca="1">IFERROR(__xludf.DUMMYFUNCTION("TRIM(SUBSTITUTE(SUBSTITUTE(D1187, index(SPLIT(D1187, "" ""), COLUMNS(SPLIT(D1187, "" ""))), """"), index(SPLIT(D1187, "" ""), COLUMNS(SPLIT(D1187, "" ""))-1), """"))"),"Долматівська")</f>
        <v>Долматівська</v>
      </c>
    </row>
    <row r="1188" spans="1:17" ht="50.5">
      <c r="A1188" s="2"/>
      <c r="B1188" s="2" t="s">
        <v>2793</v>
      </c>
      <c r="C1188" s="2" t="s">
        <v>2866</v>
      </c>
      <c r="D1188" s="2" t="s">
        <v>2874</v>
      </c>
      <c r="E1188" s="2"/>
      <c r="F1188" s="2" t="s">
        <v>32</v>
      </c>
      <c r="G1188" s="2">
        <v>15</v>
      </c>
      <c r="H1188" s="2">
        <v>723.7</v>
      </c>
      <c r="I1188" s="2">
        <v>17003</v>
      </c>
      <c r="J1188" s="2" t="s">
        <v>72</v>
      </c>
      <c r="K1188" s="2">
        <v>11</v>
      </c>
      <c r="L1188" s="2" t="s">
        <v>2875</v>
      </c>
      <c r="Q1188" s="4" t="str">
        <f ca="1">IFERROR(__xludf.DUMMYFUNCTION("TRIM(SUBSTITUTE(SUBSTITUTE(D1188, index(SPLIT(D1188, "" ""), COLUMNS(SPLIT(D1188, "" ""))), """"), index(SPLIT(D1188, "" ""), COLUMNS(SPLIT(D1188, "" ""))-1), """"))"),"Каланчацька")</f>
        <v>Каланчацька</v>
      </c>
    </row>
    <row r="1189" spans="1:17" ht="50.5">
      <c r="A1189" s="2"/>
      <c r="B1189" s="2" t="s">
        <v>2793</v>
      </c>
      <c r="C1189" s="2" t="s">
        <v>2866</v>
      </c>
      <c r="D1189" s="2" t="s">
        <v>2876</v>
      </c>
      <c r="E1189" s="2"/>
      <c r="F1189" s="2" t="s">
        <v>32</v>
      </c>
      <c r="G1189" s="2">
        <v>7</v>
      </c>
      <c r="H1189" s="2">
        <v>191.8</v>
      </c>
      <c r="I1189" s="2">
        <v>6508</v>
      </c>
      <c r="J1189" s="2" t="s">
        <v>2877</v>
      </c>
      <c r="K1189" s="2">
        <v>3</v>
      </c>
      <c r="L1189" s="2" t="s">
        <v>2878</v>
      </c>
      <c r="Q1189" s="4" t="str">
        <f ca="1">IFERROR(__xludf.DUMMYFUNCTION("TRIM(SUBSTITUTE(SUBSTITUTE(D1189, index(SPLIT(D1189, "" ""), COLUMNS(SPLIT(D1189, "" ""))), """"), index(SPLIT(D1189, "" ""), COLUMNS(SPLIT(D1189, "" ""))-1), """"))"),"Лазурненська")</f>
        <v>Лазурненська</v>
      </c>
    </row>
    <row r="1190" spans="1:17" ht="38">
      <c r="A1190" s="2"/>
      <c r="B1190" s="2" t="s">
        <v>2793</v>
      </c>
      <c r="C1190" s="2" t="s">
        <v>2866</v>
      </c>
      <c r="D1190" s="2" t="s">
        <v>494</v>
      </c>
      <c r="E1190" s="2"/>
      <c r="F1190" s="2" t="s">
        <v>32</v>
      </c>
      <c r="G1190" s="2">
        <v>7</v>
      </c>
      <c r="H1190" s="2">
        <v>181.6</v>
      </c>
      <c r="I1190" s="2">
        <v>3787</v>
      </c>
      <c r="J1190" s="2" t="s">
        <v>33</v>
      </c>
      <c r="K1190" s="2">
        <v>2</v>
      </c>
      <c r="L1190" s="2" t="s">
        <v>2879</v>
      </c>
      <c r="Q1190" s="4" t="str">
        <f ca="1">IFERROR(__xludf.DUMMYFUNCTION("TRIM(SUBSTITUTE(SUBSTITUTE(D1190, index(SPLIT(D1190, "" ""), COLUMNS(SPLIT(D1190, "" ""))), """"), index(SPLIT(D1190, "" ""), COLUMNS(SPLIT(D1190, "" ""))-1), """"))"),"Мирненська")</f>
        <v>Мирненська</v>
      </c>
    </row>
    <row r="1191" spans="1:17" ht="50.5">
      <c r="A1191" s="2"/>
      <c r="B1191" s="2" t="s">
        <v>2793</v>
      </c>
      <c r="C1191" s="2" t="s">
        <v>2866</v>
      </c>
      <c r="D1191" s="2" t="s">
        <v>985</v>
      </c>
      <c r="E1191" s="2"/>
      <c r="F1191" s="2" t="s">
        <v>28</v>
      </c>
      <c r="G1191" s="2">
        <v>7</v>
      </c>
      <c r="H1191" s="2">
        <v>242</v>
      </c>
      <c r="I1191" s="2">
        <v>5919</v>
      </c>
      <c r="J1191" s="2" t="s">
        <v>986</v>
      </c>
      <c r="K1191" s="2">
        <v>2</v>
      </c>
      <c r="L1191" s="2" t="s">
        <v>2880</v>
      </c>
      <c r="Q1191" s="4" t="str">
        <f ca="1">IFERROR(__xludf.DUMMYFUNCTION("TRIM(SUBSTITUTE(SUBSTITUTE(D1191, index(SPLIT(D1191, "" ""), COLUMNS(SPLIT(D1191, "" ""))), """"), index(SPLIT(D1191, "" ""), COLUMNS(SPLIT(D1191, "" ""))-1), """"))"),"Новомиколаївська")</f>
        <v>Новомиколаївська</v>
      </c>
    </row>
    <row r="1192" spans="1:17" ht="50.5">
      <c r="A1192" s="2"/>
      <c r="B1192" s="2" t="s">
        <v>2793</v>
      </c>
      <c r="C1192" s="2" t="s">
        <v>2866</v>
      </c>
      <c r="D1192" s="2" t="s">
        <v>2881</v>
      </c>
      <c r="E1192" s="2"/>
      <c r="F1192" s="2" t="s">
        <v>20</v>
      </c>
      <c r="G1192" s="2">
        <v>28</v>
      </c>
      <c r="H1192" s="2">
        <v>776.3</v>
      </c>
      <c r="I1192" s="2">
        <v>34758</v>
      </c>
      <c r="J1192" s="2" t="s">
        <v>2882</v>
      </c>
      <c r="K1192" s="2">
        <v>11</v>
      </c>
      <c r="L1192" s="2" t="s">
        <v>2883</v>
      </c>
      <c r="Q1192" s="4" t="str">
        <f ca="1">IFERROR(__xludf.DUMMYFUNCTION("TRIM(SUBSTITUTE(SUBSTITUTE(D1192, index(SPLIT(D1192, "" ""), COLUMNS(SPLIT(D1192, "" ""))), """"), index(SPLIT(D1192, "" ""), COLUMNS(SPLIT(D1192, "" ""))-1), """"))"),"Скадовська")</f>
        <v>Скадовська</v>
      </c>
    </row>
    <row r="1193" spans="1:17" ht="38">
      <c r="A1193" s="2"/>
      <c r="B1193" s="2" t="s">
        <v>2793</v>
      </c>
      <c r="C1193" s="2" t="s">
        <v>2866</v>
      </c>
      <c r="D1193" s="2" t="s">
        <v>2884</v>
      </c>
      <c r="E1193" s="2"/>
      <c r="F1193" s="2" t="s">
        <v>28</v>
      </c>
      <c r="G1193" s="2">
        <v>13</v>
      </c>
      <c r="H1193" s="2">
        <v>1413.6</v>
      </c>
      <c r="I1193" s="2">
        <v>7608</v>
      </c>
      <c r="J1193" s="2" t="s">
        <v>39</v>
      </c>
      <c r="K1193" s="2">
        <v>5</v>
      </c>
      <c r="L1193" s="2" t="s">
        <v>2885</v>
      </c>
      <c r="Q1193" s="4" t="str">
        <f ca="1">IFERROR(__xludf.DUMMYFUNCTION("TRIM(SUBSTITUTE(SUBSTITUTE(D1193, index(SPLIT(D1193, "" ""), COLUMNS(SPLIT(D1193, "" ""))), """"), index(SPLIT(D1193, "" ""), COLUMNS(SPLIT(D1193, "" ""))-1), """"))"),"Чулаківська")</f>
        <v>Чулаківська</v>
      </c>
    </row>
    <row r="1194" spans="1:17" ht="38">
      <c r="A1194" s="2"/>
      <c r="B1194" s="2" t="s">
        <v>2793</v>
      </c>
      <c r="C1194" s="2" t="s">
        <v>2886</v>
      </c>
      <c r="D1194" s="2" t="s">
        <v>551</v>
      </c>
      <c r="E1194" s="2"/>
      <c r="F1194" s="2" t="s">
        <v>32</v>
      </c>
      <c r="G1194" s="2">
        <v>25</v>
      </c>
      <c r="H1194" s="2">
        <v>407.5</v>
      </c>
      <c r="I1194" s="2">
        <v>21926</v>
      </c>
      <c r="J1194" s="2" t="s">
        <v>39</v>
      </c>
      <c r="K1194" s="2">
        <v>7</v>
      </c>
      <c r="L1194" s="2" t="s">
        <v>2887</v>
      </c>
      <c r="Q1194" s="4" t="str">
        <f ca="1">IFERROR(__xludf.DUMMYFUNCTION("TRIM(SUBSTITUTE(SUBSTITUTE(D1194, index(SPLIT(D1194, "" ""), COLUMNS(SPLIT(D1194, "" ""))), """"), index(SPLIT(D1194, "" ""), COLUMNS(SPLIT(D1194, "" ""))-1), """"))"),"Білозерська")</f>
        <v>Білозерська</v>
      </c>
    </row>
    <row r="1195" spans="1:17" ht="50.5">
      <c r="A1195" s="2"/>
      <c r="B1195" s="2" t="s">
        <v>2793</v>
      </c>
      <c r="C1195" s="2" t="s">
        <v>2886</v>
      </c>
      <c r="D1195" s="2" t="s">
        <v>2888</v>
      </c>
      <c r="E1195" s="2"/>
      <c r="F1195" s="2" t="s">
        <v>28</v>
      </c>
      <c r="G1195" s="2">
        <v>3</v>
      </c>
      <c r="H1195" s="2">
        <v>112.8</v>
      </c>
      <c r="I1195" s="2">
        <v>6887</v>
      </c>
      <c r="J1195" s="2" t="s">
        <v>33</v>
      </c>
      <c r="K1195" s="2">
        <v>2</v>
      </c>
      <c r="L1195" s="2" t="s">
        <v>2889</v>
      </c>
      <c r="Q1195" s="4" t="str">
        <f ca="1">IFERROR(__xludf.DUMMYFUNCTION("TRIM(SUBSTITUTE(SUBSTITUTE(D1195, index(SPLIT(D1195, "" ""), COLUMNS(SPLIT(D1195, "" ""))), """"), index(SPLIT(D1195, "" ""), COLUMNS(SPLIT(D1195, "" ""))-1), """"))"),"Великокопанівська")</f>
        <v>Великокопанівська</v>
      </c>
    </row>
    <row r="1196" spans="1:17" ht="50.5">
      <c r="A1196" s="2"/>
      <c r="B1196" s="2" t="s">
        <v>2793</v>
      </c>
      <c r="C1196" s="2" t="s">
        <v>2886</v>
      </c>
      <c r="D1196" s="2" t="s">
        <v>750</v>
      </c>
      <c r="E1196" s="2"/>
      <c r="F1196" s="2" t="s">
        <v>28</v>
      </c>
      <c r="G1196" s="2">
        <v>7</v>
      </c>
      <c r="H1196" s="2">
        <v>362.1</v>
      </c>
      <c r="I1196" s="2">
        <v>12042</v>
      </c>
      <c r="J1196" s="2" t="s">
        <v>63</v>
      </c>
      <c r="K1196" s="2">
        <v>3</v>
      </c>
      <c r="L1196" s="2" t="s">
        <v>2890</v>
      </c>
      <c r="Q1196" s="4" t="str">
        <f ca="1">IFERROR(__xludf.DUMMYFUNCTION("TRIM(SUBSTITUTE(SUBSTITUTE(D1196, index(SPLIT(D1196, "" ""), COLUMNS(SPLIT(D1196, "" ""))), """"), index(SPLIT(D1196, "" ""), COLUMNS(SPLIT(D1196, "" ""))-1), """"))"),"Виноградівська")</f>
        <v>Виноградівська</v>
      </c>
    </row>
    <row r="1197" spans="1:17" ht="38">
      <c r="A1197" s="2"/>
      <c r="B1197" s="2" t="s">
        <v>2793</v>
      </c>
      <c r="C1197" s="2" t="s">
        <v>2886</v>
      </c>
      <c r="D1197" s="2" t="s">
        <v>2891</v>
      </c>
      <c r="E1197" s="2"/>
      <c r="F1197" s="2" t="s">
        <v>28</v>
      </c>
      <c r="G1197" s="2">
        <v>15</v>
      </c>
      <c r="H1197" s="2">
        <v>442</v>
      </c>
      <c r="I1197" s="2">
        <v>13909</v>
      </c>
      <c r="J1197" s="2" t="s">
        <v>2892</v>
      </c>
      <c r="K1197" s="2">
        <v>6</v>
      </c>
      <c r="L1197" s="2" t="s">
        <v>2893</v>
      </c>
      <c r="Q1197" s="4" t="str">
        <f ca="1">IFERROR(__xludf.DUMMYFUNCTION("TRIM(SUBSTITUTE(SUBSTITUTE(D1197, index(SPLIT(D1197, "" ""), COLUMNS(SPLIT(D1197, "" ""))), """"), index(SPLIT(D1197, "" ""), COLUMNS(SPLIT(D1197, "" ""))-1), """"))"),"Дар’ївська")</f>
        <v>Дар’ївська</v>
      </c>
    </row>
    <row r="1198" spans="1:17" ht="38">
      <c r="A1198" s="2"/>
      <c r="B1198" s="2" t="s">
        <v>2793</v>
      </c>
      <c r="C1198" s="2" t="s">
        <v>2886</v>
      </c>
      <c r="D1198" s="2" t="s">
        <v>2894</v>
      </c>
      <c r="E1198" s="2"/>
      <c r="F1198" s="2" t="s">
        <v>28</v>
      </c>
      <c r="G1198" s="2">
        <v>5</v>
      </c>
      <c r="H1198" s="2">
        <v>126.8</v>
      </c>
      <c r="I1198" s="2">
        <v>3693</v>
      </c>
      <c r="J1198" s="2" t="s">
        <v>72</v>
      </c>
      <c r="K1198" s="2">
        <v>2</v>
      </c>
      <c r="L1198" s="2" t="s">
        <v>2895</v>
      </c>
      <c r="Q1198" s="4" t="str">
        <f ca="1">IFERROR(__xludf.DUMMYFUNCTION("TRIM(SUBSTITUTE(SUBSTITUTE(D1198, index(SPLIT(D1198, "" ""), COLUMNS(SPLIT(D1198, "" ""))), """"), index(SPLIT(D1198, "" ""), COLUMNS(SPLIT(D1198, "" ""))-1), """"))"),"Музиківська")</f>
        <v>Музиківська</v>
      </c>
    </row>
    <row r="1199" spans="1:17" ht="38">
      <c r="A1199" s="2"/>
      <c r="B1199" s="2" t="s">
        <v>2793</v>
      </c>
      <c r="C1199" s="2" t="s">
        <v>2886</v>
      </c>
      <c r="D1199" s="2" t="s">
        <v>2896</v>
      </c>
      <c r="E1199" s="2"/>
      <c r="F1199" s="2" t="s">
        <v>20</v>
      </c>
      <c r="G1199" s="2">
        <v>13</v>
      </c>
      <c r="H1199" s="2">
        <v>799.2</v>
      </c>
      <c r="I1199" s="2">
        <v>38313</v>
      </c>
      <c r="J1199" s="2" t="s">
        <v>2897</v>
      </c>
      <c r="K1199" s="2">
        <v>6</v>
      </c>
      <c r="L1199" s="2" t="s">
        <v>2898</v>
      </c>
      <c r="Q1199" s="4" t="str">
        <f ca="1">IFERROR(__xludf.DUMMYFUNCTION("TRIM(SUBSTITUTE(SUBSTITUTE(D1199, index(SPLIT(D1199, "" ""), COLUMNS(SPLIT(D1199, "" ""))), """"), index(SPLIT(D1199, "" ""), COLUMNS(SPLIT(D1199, "" ""))-1), """"))"),"Олешківська")</f>
        <v>Олешківська</v>
      </c>
    </row>
    <row r="1200" spans="1:17" ht="50.5">
      <c r="A1200" s="2"/>
      <c r="B1200" s="2" t="s">
        <v>2793</v>
      </c>
      <c r="C1200" s="2" t="s">
        <v>2886</v>
      </c>
      <c r="D1200" s="2" t="s">
        <v>2899</v>
      </c>
      <c r="E1200" s="2"/>
      <c r="F1200" s="2" t="s">
        <v>28</v>
      </c>
      <c r="G1200" s="2">
        <v>4</v>
      </c>
      <c r="H1200" s="2">
        <v>412.3</v>
      </c>
      <c r="I1200" s="2">
        <v>9936</v>
      </c>
      <c r="J1200" s="2" t="s">
        <v>39</v>
      </c>
      <c r="K1200" s="2">
        <v>3</v>
      </c>
      <c r="L1200" s="2" t="s">
        <v>2900</v>
      </c>
      <c r="Q1200" s="4" t="str">
        <f ca="1">IFERROR(__xludf.DUMMYFUNCTION("TRIM(SUBSTITUTE(SUBSTITUTE(D1200, index(SPLIT(D1200, "" ""), COLUMNS(SPLIT(D1200, "" ""))), """"), index(SPLIT(D1200, "" ""), COLUMNS(SPLIT(D1200, "" ""))-1), """"))"),"Станіславська")</f>
        <v>Станіславська</v>
      </c>
    </row>
    <row r="1201" spans="1:17" ht="38">
      <c r="A1201" s="2"/>
      <c r="B1201" s="2" t="s">
        <v>2793</v>
      </c>
      <c r="C1201" s="2" t="s">
        <v>2886</v>
      </c>
      <c r="D1201" s="2" t="s">
        <v>2901</v>
      </c>
      <c r="E1201" s="2"/>
      <c r="F1201" s="2" t="s">
        <v>20</v>
      </c>
      <c r="G1201" s="2">
        <v>16</v>
      </c>
      <c r="H1201" s="2">
        <v>452.6</v>
      </c>
      <c r="I1201" s="2">
        <v>322557</v>
      </c>
      <c r="J1201" s="2" t="s">
        <v>2902</v>
      </c>
      <c r="K1201" s="2">
        <v>7</v>
      </c>
      <c r="L1201" s="2" t="s">
        <v>2903</v>
      </c>
      <c r="Q1201" s="4" t="str">
        <f ca="1">IFERROR(__xludf.DUMMYFUNCTION("TRIM(SUBSTITUTE(SUBSTITUTE(D1201, index(SPLIT(D1201, "" ""), COLUMNS(SPLIT(D1201, "" ""))), """"), index(SPLIT(D1201, "" ""), COLUMNS(SPLIT(D1201, "" ""))-1), """"))"),"Херсонська")</f>
        <v>Херсонська</v>
      </c>
    </row>
    <row r="1202" spans="1:17" ht="50.5">
      <c r="A1202" s="2"/>
      <c r="B1202" s="2" t="s">
        <v>2793</v>
      </c>
      <c r="C1202" s="2" t="s">
        <v>2886</v>
      </c>
      <c r="D1202" s="2" t="s">
        <v>2904</v>
      </c>
      <c r="E1202" s="2"/>
      <c r="F1202" s="2" t="s">
        <v>28</v>
      </c>
      <c r="G1202" s="2">
        <v>10</v>
      </c>
      <c r="H1202" s="2">
        <v>241.9</v>
      </c>
      <c r="I1202" s="2">
        <v>14943</v>
      </c>
      <c r="J1202" s="2" t="s">
        <v>2905</v>
      </c>
      <c r="K1202" s="2">
        <v>4</v>
      </c>
      <c r="L1202" s="2" t="s">
        <v>2906</v>
      </c>
      <c r="Q1202" s="4" t="str">
        <f ca="1">IFERROR(__xludf.DUMMYFUNCTION("TRIM(SUBSTITUTE(SUBSTITUTE(D1202, index(SPLIT(D1202, "" ""), COLUMNS(SPLIT(D1202, "" ""))), """"), index(SPLIT(D1202, "" ""), COLUMNS(SPLIT(D1202, "" ""))-1), """"))"),"Чорнобаївська")</f>
        <v>Чорнобаївська</v>
      </c>
    </row>
    <row r="1203" spans="1:17" ht="38">
      <c r="A1203" s="2"/>
      <c r="B1203" s="2" t="s">
        <v>2793</v>
      </c>
      <c r="C1203" s="2" t="s">
        <v>2886</v>
      </c>
      <c r="D1203" s="2" t="s">
        <v>2907</v>
      </c>
      <c r="E1203" s="2"/>
      <c r="F1203" s="2" t="s">
        <v>28</v>
      </c>
      <c r="G1203" s="2">
        <v>8</v>
      </c>
      <c r="H1203" s="2">
        <v>484.7</v>
      </c>
      <c r="I1203" s="2">
        <v>12342</v>
      </c>
      <c r="J1203" s="2" t="s">
        <v>39</v>
      </c>
      <c r="K1203" s="2">
        <v>4</v>
      </c>
      <c r="L1203" s="2" t="s">
        <v>2908</v>
      </c>
      <c r="Q1203" s="4" t="str">
        <f ca="1">IFERROR(__xludf.DUMMYFUNCTION("TRIM(SUBSTITUTE(SUBSTITUTE(D1203, index(SPLIT(D1203, "" ""), COLUMNS(SPLIT(D1203, "" ""))), """"), index(SPLIT(D1203, "" ""), COLUMNS(SPLIT(D1203, "" ""))-1), """"))"),"Ювілейна")</f>
        <v>Ювілейна</v>
      </c>
    </row>
    <row r="1204" spans="1:17" ht="38">
      <c r="A1204" s="2"/>
      <c r="B1204" s="2" t="s">
        <v>2909</v>
      </c>
      <c r="C1204" s="2" t="s">
        <v>2910</v>
      </c>
      <c r="D1204" s="2" t="s">
        <v>2911</v>
      </c>
      <c r="E1204" s="2"/>
      <c r="F1204" s="2" t="s">
        <v>28</v>
      </c>
      <c r="G1204" s="2">
        <v>8</v>
      </c>
      <c r="H1204" s="2">
        <v>95.4</v>
      </c>
      <c r="I1204" s="2">
        <v>2662</v>
      </c>
      <c r="J1204" s="2" t="s">
        <v>33</v>
      </c>
      <c r="K1204" s="2">
        <v>4</v>
      </c>
      <c r="L1204" s="2" t="s">
        <v>2912</v>
      </c>
      <c r="Q1204" s="4" t="str">
        <f ca="1">IFERROR(__xludf.DUMMYFUNCTION("TRIM(SUBSTITUTE(SUBSTITUTE(D1204, index(SPLIT(D1204, "" ""), COLUMNS(SPLIT(D1204, "" ""))), """"), index(SPLIT(D1204, "" ""), COLUMNS(SPLIT(D1204, "" ""))-1), """"))"),"Гуківська")</f>
        <v>Гуківська</v>
      </c>
    </row>
    <row r="1205" spans="1:17" ht="38">
      <c r="A1205" s="2"/>
      <c r="B1205" s="2" t="s">
        <v>2909</v>
      </c>
      <c r="C1205" s="2" t="s">
        <v>2910</v>
      </c>
      <c r="D1205" s="2" t="s">
        <v>2913</v>
      </c>
      <c r="E1205" s="2"/>
      <c r="F1205" s="2" t="s">
        <v>28</v>
      </c>
      <c r="G1205" s="2">
        <v>23</v>
      </c>
      <c r="H1205" s="2">
        <v>285.3</v>
      </c>
      <c r="I1205" s="2">
        <v>12664</v>
      </c>
      <c r="J1205" s="2" t="s">
        <v>143</v>
      </c>
      <c r="K1205" s="2">
        <v>9</v>
      </c>
      <c r="L1205" s="2" t="s">
        <v>2914</v>
      </c>
      <c r="Q1205" s="4" t="str">
        <f ca="1">IFERROR(__xludf.DUMMYFUNCTION("TRIM(SUBSTITUTE(SUBSTITUTE(D1205, index(SPLIT(D1205, "" ""), COLUMNS(SPLIT(D1205, "" ""))), """"), index(SPLIT(D1205, "" ""), COLUMNS(SPLIT(D1205, "" ""))-1), """"))"),"Гуменецька")</f>
        <v>Гуменецька</v>
      </c>
    </row>
    <row r="1206" spans="1:17" ht="113">
      <c r="A1206" s="2"/>
      <c r="B1206" s="2" t="s">
        <v>2909</v>
      </c>
      <c r="C1206" s="2" t="s">
        <v>2910</v>
      </c>
      <c r="D1206" s="2" t="s">
        <v>2915</v>
      </c>
      <c r="E1206" s="2"/>
      <c r="F1206" s="2" t="s">
        <v>20</v>
      </c>
      <c r="G1206" s="2">
        <v>51</v>
      </c>
      <c r="H1206" s="2">
        <v>661.2</v>
      </c>
      <c r="I1206" s="2">
        <v>35924</v>
      </c>
      <c r="J1206" s="2" t="s">
        <v>143</v>
      </c>
      <c r="K1206" s="2">
        <v>26</v>
      </c>
      <c r="L1206" s="2" t="s">
        <v>2916</v>
      </c>
      <c r="Q1206" s="4" t="str">
        <f ca="1">IFERROR(__xludf.DUMMYFUNCTION("TRIM(SUBSTITUTE(SUBSTITUTE(D1206, index(SPLIT(D1206, "" ""), COLUMNS(SPLIT(D1206, "" ""))), """"), index(SPLIT(D1206, "" ""), COLUMNS(SPLIT(D1206, "" ""))-1), """"))"),"Дунаєвецька")</f>
        <v>Дунаєвецька</v>
      </c>
    </row>
    <row r="1207" spans="1:17" ht="38">
      <c r="A1207" s="2"/>
      <c r="B1207" s="2" t="s">
        <v>2909</v>
      </c>
      <c r="C1207" s="2" t="s">
        <v>2910</v>
      </c>
      <c r="D1207" s="2" t="s">
        <v>2917</v>
      </c>
      <c r="E1207" s="2"/>
      <c r="F1207" s="2" t="s">
        <v>28</v>
      </c>
      <c r="G1207" s="2">
        <v>23</v>
      </c>
      <c r="H1207" s="2">
        <v>249.6</v>
      </c>
      <c r="I1207" s="2">
        <v>8037</v>
      </c>
      <c r="J1207" s="2" t="s">
        <v>178</v>
      </c>
      <c r="K1207" s="2">
        <v>7</v>
      </c>
      <c r="L1207" s="2" t="s">
        <v>2918</v>
      </c>
      <c r="Q1207" s="4" t="str">
        <f ca="1">IFERROR(__xludf.DUMMYFUNCTION("TRIM(SUBSTITUTE(SUBSTITUTE(D1207, index(SPLIT(D1207, "" ""), COLUMNS(SPLIT(D1207, "" ""))), """"), index(SPLIT(D1207, "" ""), COLUMNS(SPLIT(D1207, "" ""))-1), """"))"),"Жванецька")</f>
        <v>Жванецька</v>
      </c>
    </row>
    <row r="1208" spans="1:17" ht="38">
      <c r="A1208" s="2"/>
      <c r="B1208" s="2" t="s">
        <v>2909</v>
      </c>
      <c r="C1208" s="2" t="s">
        <v>2910</v>
      </c>
      <c r="D1208" s="2" t="s">
        <v>2919</v>
      </c>
      <c r="E1208" s="2"/>
      <c r="F1208" s="2" t="s">
        <v>32</v>
      </c>
      <c r="G1208" s="2">
        <v>14</v>
      </c>
      <c r="H1208" s="2">
        <v>177.5</v>
      </c>
      <c r="I1208" s="2">
        <v>7242</v>
      </c>
      <c r="J1208" s="2" t="s">
        <v>2920</v>
      </c>
      <c r="K1208" s="2">
        <v>7</v>
      </c>
      <c r="L1208" s="2" t="s">
        <v>2921</v>
      </c>
      <c r="Q1208" s="4" t="str">
        <f ca="1">IFERROR(__xludf.DUMMYFUNCTION("TRIM(SUBSTITUTE(SUBSTITUTE(D1208, index(SPLIT(D1208, "" ""), COLUMNS(SPLIT(D1208, "" ""))), """"), index(SPLIT(D1208, "" ""), COLUMNS(SPLIT(D1208, "" ""))-1), """"))"),"Закупненська")</f>
        <v>Закупненська</v>
      </c>
    </row>
    <row r="1209" spans="1:17" ht="50.5">
      <c r="A1209" s="2"/>
      <c r="B1209" s="2" t="s">
        <v>2909</v>
      </c>
      <c r="C1209" s="2" t="s">
        <v>2910</v>
      </c>
      <c r="D1209" s="2" t="s">
        <v>2922</v>
      </c>
      <c r="E1209" s="2"/>
      <c r="F1209" s="2" t="s">
        <v>20</v>
      </c>
      <c r="G1209" s="2">
        <v>13</v>
      </c>
      <c r="H1209" s="2">
        <v>175.3</v>
      </c>
      <c r="I1209" s="2">
        <v>109064</v>
      </c>
      <c r="J1209" s="2" t="s">
        <v>2923</v>
      </c>
      <c r="K1209" s="2">
        <v>6</v>
      </c>
      <c r="L1209" s="2" t="s">
        <v>2924</v>
      </c>
      <c r="Q1209" s="4" t="str">
        <f ca="1">IFERROR(__xludf.DUMMYFUNCTION("TRIM(SUBSTITUTE(SUBSTITUTE(D1209, index(SPLIT(D1209, "" ""), COLUMNS(SPLIT(D1209, "" ""))), """"), index(SPLIT(D1209, "" ""), COLUMNS(SPLIT(D1209, "" ""))-1), """"))"),"Кам'янець-Подільська")</f>
        <v>Кам'янець-Подільська</v>
      </c>
    </row>
    <row r="1210" spans="1:17" ht="50.5">
      <c r="A1210" s="2"/>
      <c r="B1210" s="2" t="s">
        <v>2909</v>
      </c>
      <c r="C1210" s="2" t="s">
        <v>2910</v>
      </c>
      <c r="D1210" s="2" t="s">
        <v>291</v>
      </c>
      <c r="E1210" s="2"/>
      <c r="F1210" s="2" t="s">
        <v>28</v>
      </c>
      <c r="G1210" s="2">
        <v>13</v>
      </c>
      <c r="H1210" s="2">
        <v>189.3</v>
      </c>
      <c r="I1210" s="2">
        <v>4221</v>
      </c>
      <c r="J1210" s="2" t="s">
        <v>143</v>
      </c>
      <c r="K1210" s="2">
        <v>4</v>
      </c>
      <c r="L1210" s="2" t="s">
        <v>2925</v>
      </c>
      <c r="Q1210" s="4" t="str">
        <f ca="1">IFERROR(__xludf.DUMMYFUNCTION("TRIM(SUBSTITUTE(SUBSTITUTE(D1210, index(SPLIT(D1210, "" ""), COLUMNS(SPLIT(D1210, "" ""))), """"), index(SPLIT(D1210, "" ""), COLUMNS(SPLIT(D1210, "" ""))-1), """"))"),"Китайгородська")</f>
        <v>Китайгородська</v>
      </c>
    </row>
    <row r="1211" spans="1:17" ht="38">
      <c r="A1211" s="2"/>
      <c r="B1211" s="2" t="s">
        <v>2909</v>
      </c>
      <c r="C1211" s="2" t="s">
        <v>2910</v>
      </c>
      <c r="D1211" s="2" t="s">
        <v>2926</v>
      </c>
      <c r="E1211" s="2"/>
      <c r="F1211" s="2" t="s">
        <v>28</v>
      </c>
      <c r="G1211" s="2">
        <v>8</v>
      </c>
      <c r="H1211" s="2">
        <v>106</v>
      </c>
      <c r="I1211" s="2">
        <v>6666</v>
      </c>
      <c r="J1211" s="2" t="s">
        <v>143</v>
      </c>
      <c r="K1211" s="2">
        <v>3</v>
      </c>
      <c r="L1211" s="2" t="s">
        <v>2927</v>
      </c>
      <c r="Q1211" s="4" t="str">
        <f ca="1">IFERROR(__xludf.DUMMYFUNCTION("TRIM(SUBSTITUTE(SUBSTITUTE(D1211, index(SPLIT(D1211, "" ""), COLUMNS(SPLIT(D1211, "" ""))), """"), index(SPLIT(D1211, "" ""), COLUMNS(SPLIT(D1211, "" ""))-1), """"))"),"Маківська")</f>
        <v>Маківська</v>
      </c>
    </row>
    <row r="1212" spans="1:17" ht="63">
      <c r="A1212" s="2"/>
      <c r="B1212" s="2" t="s">
        <v>2909</v>
      </c>
      <c r="C1212" s="2" t="s">
        <v>2910</v>
      </c>
      <c r="D1212" s="2" t="s">
        <v>2928</v>
      </c>
      <c r="E1212" s="2"/>
      <c r="F1212" s="2" t="s">
        <v>32</v>
      </c>
      <c r="G1212" s="2">
        <v>18</v>
      </c>
      <c r="H1212" s="2">
        <v>256.2</v>
      </c>
      <c r="I1212" s="2">
        <v>9963</v>
      </c>
      <c r="J1212" s="2" t="s">
        <v>143</v>
      </c>
      <c r="K1212" s="2">
        <v>12</v>
      </c>
      <c r="L1212" s="2" t="s">
        <v>2929</v>
      </c>
      <c r="Q1212" s="4" t="str">
        <f ca="1">IFERROR(__xludf.DUMMYFUNCTION("TRIM(SUBSTITUTE(SUBSTITUTE(D1212, index(SPLIT(D1212, "" ""), COLUMNS(SPLIT(D1212, "" ""))), """"), index(SPLIT(D1212, "" ""), COLUMNS(SPLIT(D1212, "" ""))-1), """"))"),"Новодунаєвецька")</f>
        <v>Новодунаєвецька</v>
      </c>
    </row>
    <row r="1213" spans="1:17" ht="100.5">
      <c r="A1213" s="2"/>
      <c r="B1213" s="2" t="s">
        <v>2909</v>
      </c>
      <c r="C1213" s="2" t="s">
        <v>2910</v>
      </c>
      <c r="D1213" s="2" t="s">
        <v>2930</v>
      </c>
      <c r="E1213" s="2"/>
      <c r="F1213" s="2" t="s">
        <v>32</v>
      </c>
      <c r="G1213" s="2">
        <v>59</v>
      </c>
      <c r="H1213" s="2">
        <v>851.7</v>
      </c>
      <c r="I1213" s="2">
        <v>26541</v>
      </c>
      <c r="J1213" s="2" t="s">
        <v>143</v>
      </c>
      <c r="K1213" s="2">
        <v>22</v>
      </c>
      <c r="L1213" s="2" t="s">
        <v>2931</v>
      </c>
      <c r="Q1213" s="4" t="str">
        <f ca="1">IFERROR(__xludf.DUMMYFUNCTION("TRIM(SUBSTITUTE(SUBSTITUTE(D1213, index(SPLIT(D1213, "" ""), COLUMNS(SPLIT(D1213, "" ""))), """"), index(SPLIT(D1213, "" ""), COLUMNS(SPLIT(D1213, "" ""))-1), """"))"),"Новоушицька")</f>
        <v>Новоушицька</v>
      </c>
    </row>
    <row r="1214" spans="1:17" ht="38">
      <c r="A1214" s="2"/>
      <c r="B1214" s="2" t="s">
        <v>2909</v>
      </c>
      <c r="C1214" s="2" t="s">
        <v>2910</v>
      </c>
      <c r="D1214" s="2" t="s">
        <v>2932</v>
      </c>
      <c r="E1214" s="2"/>
      <c r="F1214" s="2" t="s">
        <v>28</v>
      </c>
      <c r="G1214" s="2">
        <v>17</v>
      </c>
      <c r="H1214" s="2">
        <v>231.3</v>
      </c>
      <c r="I1214" s="2">
        <v>8350</v>
      </c>
      <c r="J1214" s="2" t="s">
        <v>2933</v>
      </c>
      <c r="K1214" s="2">
        <v>6</v>
      </c>
      <c r="L1214" s="2" t="s">
        <v>2934</v>
      </c>
      <c r="Q1214" s="4" t="str">
        <f ca="1">IFERROR(__xludf.DUMMYFUNCTION("TRIM(SUBSTITUTE(SUBSTITUTE(D1214, index(SPLIT(D1214, "" ""), COLUMNS(SPLIT(D1214, "" ""))), """"), index(SPLIT(D1214, "" ""), COLUMNS(SPLIT(D1214, "" ""))-1), """"))"),"Орининська")</f>
        <v>Орининська</v>
      </c>
    </row>
    <row r="1215" spans="1:17" ht="63">
      <c r="A1215" s="2"/>
      <c r="B1215" s="2" t="s">
        <v>2909</v>
      </c>
      <c r="C1215" s="2" t="s">
        <v>2910</v>
      </c>
      <c r="D1215" s="2" t="s">
        <v>2935</v>
      </c>
      <c r="E1215" s="2"/>
      <c r="F1215" s="2" t="s">
        <v>28</v>
      </c>
      <c r="G1215" s="2">
        <v>23</v>
      </c>
      <c r="H1215" s="2">
        <v>253.5</v>
      </c>
      <c r="I1215" s="2">
        <v>12162</v>
      </c>
      <c r="J1215" s="2" t="s">
        <v>39</v>
      </c>
      <c r="K1215" s="2">
        <v>7</v>
      </c>
      <c r="L1215" s="2" t="s">
        <v>2936</v>
      </c>
      <c r="Q1215" s="4" t="str">
        <f ca="1">IFERROR(__xludf.DUMMYFUNCTION("TRIM(SUBSTITUTE(SUBSTITUTE(D1215, index(SPLIT(D1215, "" ""), COLUMNS(SPLIT(D1215, "" ""))), """"), index(SPLIT(D1215, "" ""), COLUMNS(SPLIT(D1215, "" ""))-1), """"))"),"Слобідсько-Кульчієвецька")</f>
        <v>Слобідсько-Кульчієвецька</v>
      </c>
    </row>
    <row r="1216" spans="1:17" ht="38">
      <c r="A1216" s="2"/>
      <c r="B1216" s="2" t="s">
        <v>2909</v>
      </c>
      <c r="C1216" s="2" t="s">
        <v>2910</v>
      </c>
      <c r="D1216" s="2" t="s">
        <v>2937</v>
      </c>
      <c r="E1216" s="2"/>
      <c r="F1216" s="2" t="s">
        <v>32</v>
      </c>
      <c r="G1216" s="2">
        <v>9</v>
      </c>
      <c r="H1216" s="2">
        <v>156.1</v>
      </c>
      <c r="I1216" s="2">
        <v>6161</v>
      </c>
      <c r="J1216" s="2" t="s">
        <v>178</v>
      </c>
      <c r="K1216" s="2">
        <v>5</v>
      </c>
      <c r="L1216" s="2" t="s">
        <v>2938</v>
      </c>
      <c r="Q1216" s="4" t="str">
        <f ca="1">IFERROR(__xludf.DUMMYFUNCTION("TRIM(SUBSTITUTE(SUBSTITUTE(D1216, index(SPLIT(D1216, "" ""), COLUMNS(SPLIT(D1216, "" ""))), """"), index(SPLIT(D1216, "" ""), COLUMNS(SPLIT(D1216, "" ""))-1), """"))"),"Смотрицька")</f>
        <v>Смотрицька</v>
      </c>
    </row>
    <row r="1217" spans="1:17" ht="50.5">
      <c r="A1217" s="2"/>
      <c r="B1217" s="2" t="s">
        <v>2909</v>
      </c>
      <c r="C1217" s="2" t="s">
        <v>2910</v>
      </c>
      <c r="D1217" s="2" t="s">
        <v>2939</v>
      </c>
      <c r="E1217" s="2"/>
      <c r="F1217" s="2" t="s">
        <v>32</v>
      </c>
      <c r="G1217" s="2">
        <v>13</v>
      </c>
      <c r="H1217" s="2">
        <v>215.6</v>
      </c>
      <c r="I1217" s="2">
        <v>6985</v>
      </c>
      <c r="J1217" s="2" t="s">
        <v>178</v>
      </c>
      <c r="K1217" s="2">
        <v>6</v>
      </c>
      <c r="L1217" s="2" t="s">
        <v>2940</v>
      </c>
      <c r="Q1217" s="4" t="str">
        <f ca="1">IFERROR(__xludf.DUMMYFUNCTION("TRIM(SUBSTITUTE(SUBSTITUTE(D1217, index(SPLIT(D1217, "" ""), COLUMNS(SPLIT(D1217, "" ""))), """"), index(SPLIT(D1217, "" ""), COLUMNS(SPLIT(D1217, "" ""))-1), """"))"),"Староушицька")</f>
        <v>Староушицька</v>
      </c>
    </row>
    <row r="1218" spans="1:17" ht="100.5">
      <c r="A1218" s="2"/>
      <c r="B1218" s="2" t="s">
        <v>2909</v>
      </c>
      <c r="C1218" s="2" t="s">
        <v>2910</v>
      </c>
      <c r="D1218" s="2" t="s">
        <v>2941</v>
      </c>
      <c r="E1218" s="2"/>
      <c r="F1218" s="2" t="s">
        <v>32</v>
      </c>
      <c r="G1218" s="2">
        <v>46</v>
      </c>
      <c r="H1218" s="2">
        <v>620.5</v>
      </c>
      <c r="I1218" s="2">
        <v>27368</v>
      </c>
      <c r="J1218" s="2" t="s">
        <v>33</v>
      </c>
      <c r="K1218" s="2">
        <v>23</v>
      </c>
      <c r="L1218" s="2" t="s">
        <v>2942</v>
      </c>
      <c r="Q1218" s="4" t="str">
        <f ca="1">IFERROR(__xludf.DUMMYFUNCTION("TRIM(SUBSTITUTE(SUBSTITUTE(D1218, index(SPLIT(D1218, "" ""), COLUMNS(SPLIT(D1218, "" ""))), """"), index(SPLIT(D1218, "" ""), COLUMNS(SPLIT(D1218, "" ""))-1), """"))"),"Чемеровецька")</f>
        <v>Чемеровецька</v>
      </c>
    </row>
    <row r="1219" spans="1:17" ht="63">
      <c r="A1219" s="2"/>
      <c r="B1219" s="2" t="s">
        <v>2909</v>
      </c>
      <c r="C1219" s="2" t="s">
        <v>2943</v>
      </c>
      <c r="D1219" s="2" t="s">
        <v>2944</v>
      </c>
      <c r="E1219" s="2"/>
      <c r="F1219" s="2" t="s">
        <v>32</v>
      </c>
      <c r="G1219" s="2">
        <v>34</v>
      </c>
      <c r="H1219" s="2">
        <v>392.7</v>
      </c>
      <c r="I1219" s="2">
        <v>10339</v>
      </c>
      <c r="J1219" s="2" t="s">
        <v>39</v>
      </c>
      <c r="K1219" s="2">
        <v>12</v>
      </c>
      <c r="L1219" s="2" t="s">
        <v>2945</v>
      </c>
      <c r="Q1219" s="4" t="str">
        <f ca="1">IFERROR(__xludf.DUMMYFUNCTION("TRIM(SUBSTITUTE(SUBSTITUTE(D1219, index(SPLIT(D1219, "" ""), COLUMNS(SPLIT(D1219, "" ""))), """"), index(SPLIT(D1219, "" ""), COLUMNS(SPLIT(D1219, "" ""))-1), """"))"),"Антонінська")</f>
        <v>Антонінська</v>
      </c>
    </row>
    <row r="1220" spans="1:17" ht="50.5">
      <c r="A1220" s="2"/>
      <c r="B1220" s="2" t="s">
        <v>2909</v>
      </c>
      <c r="C1220" s="2" t="s">
        <v>2943</v>
      </c>
      <c r="D1220" s="2" t="s">
        <v>2946</v>
      </c>
      <c r="E1220" s="2"/>
      <c r="F1220" s="2" t="s">
        <v>32</v>
      </c>
      <c r="G1220" s="2">
        <v>21</v>
      </c>
      <c r="H1220" s="2">
        <v>260.10000000000002</v>
      </c>
      <c r="I1220" s="2">
        <v>6135</v>
      </c>
      <c r="J1220" s="2" t="s">
        <v>178</v>
      </c>
      <c r="K1220" s="2">
        <v>8</v>
      </c>
      <c r="L1220" s="2" t="s">
        <v>2947</v>
      </c>
      <c r="Q1220" s="4" t="str">
        <f ca="1">IFERROR(__xludf.DUMMYFUNCTION("TRIM(SUBSTITUTE(SUBSTITUTE(D1220, index(SPLIT(D1220, "" ""), COLUMNS(SPLIT(D1220, "" ""))), """"), index(SPLIT(D1220, "" ""), COLUMNS(SPLIT(D1220, "" ""))-1), """"))"),"Вовковинецька")</f>
        <v>Вовковинецька</v>
      </c>
    </row>
    <row r="1221" spans="1:17" ht="100.5">
      <c r="A1221" s="2"/>
      <c r="B1221" s="2" t="s">
        <v>2909</v>
      </c>
      <c r="C1221" s="2" t="s">
        <v>2943</v>
      </c>
      <c r="D1221" s="2" t="s">
        <v>2948</v>
      </c>
      <c r="E1221" s="2"/>
      <c r="F1221" s="2" t="s">
        <v>20</v>
      </c>
      <c r="G1221" s="2">
        <v>53</v>
      </c>
      <c r="H1221" s="2">
        <v>619.70000000000005</v>
      </c>
      <c r="I1221" s="2">
        <v>34226</v>
      </c>
      <c r="J1221" s="2" t="s">
        <v>143</v>
      </c>
      <c r="K1221" s="2">
        <v>23</v>
      </c>
      <c r="L1221" s="2" t="s">
        <v>2949</v>
      </c>
      <c r="Q1221" s="4" t="str">
        <f ca="1">IFERROR(__xludf.DUMMYFUNCTION("TRIM(SUBSTITUTE(SUBSTITUTE(D1221, index(SPLIT(D1221, "" ""), COLUMNS(SPLIT(D1221, "" ""))), """"), index(SPLIT(D1221, "" ""), COLUMNS(SPLIT(D1221, "" ""))-1), """"))"),"Волочиська")</f>
        <v>Волочиська</v>
      </c>
    </row>
    <row r="1222" spans="1:17" ht="75.5">
      <c r="A1222" s="2"/>
      <c r="B1222" s="2" t="s">
        <v>2909</v>
      </c>
      <c r="C1222" s="2" t="s">
        <v>2943</v>
      </c>
      <c r="D1222" s="2" t="s">
        <v>2950</v>
      </c>
      <c r="E1222" s="2"/>
      <c r="F1222" s="2" t="s">
        <v>32</v>
      </c>
      <c r="G1222" s="2">
        <v>19</v>
      </c>
      <c r="H1222" s="2">
        <v>269.7</v>
      </c>
      <c r="I1222" s="2">
        <v>7976</v>
      </c>
      <c r="J1222" s="2" t="s">
        <v>143</v>
      </c>
      <c r="K1222" s="2">
        <v>18</v>
      </c>
      <c r="L1222" s="2" t="s">
        <v>2951</v>
      </c>
      <c r="Q1222" s="4" t="str">
        <f ca="1">IFERROR(__xludf.DUMMYFUNCTION("TRIM(SUBSTITUTE(SUBSTITUTE(D1222, index(SPLIT(D1222, "" ""), COLUMNS(SPLIT(D1222, "" ""))), """"), index(SPLIT(D1222, "" ""), COLUMNS(SPLIT(D1222, "" ""))-1), """"))"),"Війтовецька")</f>
        <v>Війтовецька</v>
      </c>
    </row>
    <row r="1223" spans="1:17" ht="75.5">
      <c r="A1223" s="2"/>
      <c r="B1223" s="2" t="s">
        <v>2909</v>
      </c>
      <c r="C1223" s="2" t="s">
        <v>2943</v>
      </c>
      <c r="D1223" s="2" t="s">
        <v>2952</v>
      </c>
      <c r="E1223" s="2"/>
      <c r="F1223" s="2" t="s">
        <v>32</v>
      </c>
      <c r="G1223" s="2">
        <v>30</v>
      </c>
      <c r="H1223" s="2">
        <v>521.29999999999995</v>
      </c>
      <c r="I1223" s="2">
        <v>18587</v>
      </c>
      <c r="J1223" s="2" t="s">
        <v>2953</v>
      </c>
      <c r="K1223" s="2">
        <v>14</v>
      </c>
      <c r="L1223" s="2" t="s">
        <v>2954</v>
      </c>
      <c r="Q1223" s="4" t="str">
        <f ca="1">IFERROR(__xludf.DUMMYFUNCTION("TRIM(SUBSTITUTE(SUBSTITUTE(D1223, index(SPLIT(D1223, "" ""), COLUMNS(SPLIT(D1223, "" ""))), """"), index(SPLIT(D1223, "" ""), COLUMNS(SPLIT(D1223, "" ""))-1), """"))"),"Віньковецька")</f>
        <v>Віньковецька</v>
      </c>
    </row>
    <row r="1224" spans="1:17" ht="38">
      <c r="A1224" s="2"/>
      <c r="B1224" s="2" t="s">
        <v>2909</v>
      </c>
      <c r="C1224" s="2" t="s">
        <v>2943</v>
      </c>
      <c r="D1224" s="2" t="s">
        <v>2955</v>
      </c>
      <c r="E1224" s="2"/>
      <c r="F1224" s="2" t="s">
        <v>28</v>
      </c>
      <c r="G1224" s="2">
        <v>11</v>
      </c>
      <c r="H1224" s="2">
        <v>170.9</v>
      </c>
      <c r="I1224" s="2">
        <v>7554</v>
      </c>
      <c r="J1224" s="2" t="s">
        <v>143</v>
      </c>
      <c r="K1224" s="2">
        <v>5</v>
      </c>
      <c r="L1224" s="2" t="s">
        <v>2956</v>
      </c>
      <c r="Q1224" s="4" t="str">
        <f ca="1">IFERROR(__xludf.DUMMYFUNCTION("TRIM(SUBSTITUTE(SUBSTITUTE(D1224, index(SPLIT(D1224, "" ""), COLUMNS(SPLIT(D1224, "" ""))), """"), index(SPLIT(D1224, "" ""), COLUMNS(SPLIT(D1224, "" ""))-1), """"))"),"Гвардійська")</f>
        <v>Гвардійська</v>
      </c>
    </row>
    <row r="1225" spans="1:17" ht="113">
      <c r="A1225" s="2"/>
      <c r="B1225" s="2" t="s">
        <v>2909</v>
      </c>
      <c r="C1225" s="2" t="s">
        <v>2943</v>
      </c>
      <c r="D1225" s="2" t="s">
        <v>626</v>
      </c>
      <c r="E1225" s="2"/>
      <c r="F1225" s="2" t="s">
        <v>20</v>
      </c>
      <c r="G1225" s="2">
        <v>48</v>
      </c>
      <c r="H1225" s="2">
        <v>772.8</v>
      </c>
      <c r="I1225" s="2">
        <v>34872</v>
      </c>
      <c r="J1225" s="2" t="s">
        <v>39</v>
      </c>
      <c r="K1225" s="2">
        <v>22</v>
      </c>
      <c r="L1225" s="2" t="s">
        <v>2957</v>
      </c>
      <c r="Q1225" s="4" t="str">
        <f ca="1">IFERROR(__xludf.DUMMYFUNCTION("TRIM(SUBSTITUTE(SUBSTITUTE(D1225, index(SPLIT(D1225, "" ""), COLUMNS(SPLIT(D1225, "" ""))), """"), index(SPLIT(D1225, "" ""), COLUMNS(SPLIT(D1225, "" ""))-1), """"))"),"Городоцька")</f>
        <v>Городоцька</v>
      </c>
    </row>
    <row r="1226" spans="1:17" ht="88">
      <c r="A1226" s="2"/>
      <c r="B1226" s="2" t="s">
        <v>2909</v>
      </c>
      <c r="C1226" s="2" t="s">
        <v>2943</v>
      </c>
      <c r="D1226" s="2" t="s">
        <v>2958</v>
      </c>
      <c r="E1226" s="2"/>
      <c r="F1226" s="2" t="s">
        <v>20</v>
      </c>
      <c r="G1226" s="2">
        <v>39</v>
      </c>
      <c r="H1226" s="2">
        <v>619.29999999999995</v>
      </c>
      <c r="I1226" s="2">
        <v>23360</v>
      </c>
      <c r="J1226" s="2" t="s">
        <v>2959</v>
      </c>
      <c r="K1226" s="2">
        <v>21</v>
      </c>
      <c r="L1226" s="2" t="s">
        <v>2960</v>
      </c>
      <c r="Q1226" s="4" t="str">
        <f ca="1">IFERROR(__xludf.DUMMYFUNCTION("TRIM(SUBSTITUTE(SUBSTITUTE(D1226, index(SPLIT(D1226, "" ""), COLUMNS(SPLIT(D1226, "" ""))), """"), index(SPLIT(D1226, "" ""), COLUMNS(SPLIT(D1226, "" ""))-1), """"))"),"Деражнянська")</f>
        <v>Деражнянська</v>
      </c>
    </row>
    <row r="1227" spans="1:17" ht="50.5">
      <c r="A1227" s="2"/>
      <c r="B1227" s="2" t="s">
        <v>2909</v>
      </c>
      <c r="C1227" s="2" t="s">
        <v>2943</v>
      </c>
      <c r="D1227" s="2" t="s">
        <v>2961</v>
      </c>
      <c r="E1227" s="2"/>
      <c r="F1227" s="2" t="s">
        <v>28</v>
      </c>
      <c r="G1227" s="2">
        <v>21</v>
      </c>
      <c r="H1227" s="2">
        <v>201.8</v>
      </c>
      <c r="I1227" s="2">
        <v>4305</v>
      </c>
      <c r="J1227" s="2" t="s">
        <v>163</v>
      </c>
      <c r="K1227" s="2">
        <v>5</v>
      </c>
      <c r="L1227" s="2" t="s">
        <v>2962</v>
      </c>
      <c r="Q1227" s="4" t="str">
        <f ca="1">IFERROR(__xludf.DUMMYFUNCTION("TRIM(SUBSTITUTE(SUBSTITUTE(D1227, index(SPLIT(D1227, "" ""), COLUMNS(SPLIT(D1227, "" ""))), """"), index(SPLIT(D1227, "" ""), COLUMNS(SPLIT(D1227, "" ""))-1), """"))"),"Заслучненська")</f>
        <v>Заслучненська</v>
      </c>
    </row>
    <row r="1228" spans="1:17" ht="38">
      <c r="A1228" s="2"/>
      <c r="B1228" s="2" t="s">
        <v>2909</v>
      </c>
      <c r="C1228" s="2" t="s">
        <v>2943</v>
      </c>
      <c r="D1228" s="2" t="s">
        <v>2219</v>
      </c>
      <c r="E1228" s="2"/>
      <c r="F1228" s="2" t="s">
        <v>28</v>
      </c>
      <c r="G1228" s="2">
        <v>6</v>
      </c>
      <c r="H1228" s="2">
        <v>142</v>
      </c>
      <c r="I1228" s="2">
        <v>3744</v>
      </c>
      <c r="J1228" s="2" t="s">
        <v>2963</v>
      </c>
      <c r="K1228" s="2">
        <v>4</v>
      </c>
      <c r="L1228" s="2" t="s">
        <v>2964</v>
      </c>
      <c r="Q1228" s="4" t="str">
        <f ca="1">IFERROR(__xludf.DUMMYFUNCTION("TRIM(SUBSTITUTE(SUBSTITUTE(D1228, index(SPLIT(D1228, "" ""), COLUMNS(SPLIT(D1228, "" ""))), """"), index(SPLIT(D1228, "" ""), COLUMNS(SPLIT(D1228, "" ""))-1), """"))"),"Зіньківська")</f>
        <v>Зіньківська</v>
      </c>
    </row>
    <row r="1229" spans="1:17" ht="75.5">
      <c r="A1229" s="2"/>
      <c r="B1229" s="2" t="s">
        <v>2909</v>
      </c>
      <c r="C1229" s="2" t="s">
        <v>2943</v>
      </c>
      <c r="D1229" s="2" t="s">
        <v>2965</v>
      </c>
      <c r="E1229" s="2"/>
      <c r="F1229" s="2" t="s">
        <v>20</v>
      </c>
      <c r="G1229" s="2">
        <v>31</v>
      </c>
      <c r="H1229" s="2">
        <v>445.2</v>
      </c>
      <c r="I1229" s="2">
        <v>29624</v>
      </c>
      <c r="J1229" s="2" t="s">
        <v>39</v>
      </c>
      <c r="K1229" s="2">
        <v>16</v>
      </c>
      <c r="L1229" s="2" t="s">
        <v>2966</v>
      </c>
      <c r="Q1229" s="4" t="str">
        <f ca="1">IFERROR(__xludf.DUMMYFUNCTION("TRIM(SUBSTITUTE(SUBSTITUTE(D1229, index(SPLIT(D1229, "" ""), COLUMNS(SPLIT(D1229, "" ""))), """"), index(SPLIT(D1229, "" ""), COLUMNS(SPLIT(D1229, "" ""))-1), """"))"),"Красилівська")</f>
        <v>Красилівська</v>
      </c>
    </row>
    <row r="1230" spans="1:17" ht="63">
      <c r="A1230" s="2"/>
      <c r="B1230" s="2" t="s">
        <v>2909</v>
      </c>
      <c r="C1230" s="2" t="s">
        <v>2943</v>
      </c>
      <c r="D1230" s="2" t="s">
        <v>2967</v>
      </c>
      <c r="E1230" s="2"/>
      <c r="F1230" s="2" t="s">
        <v>32</v>
      </c>
      <c r="G1230" s="2">
        <v>45</v>
      </c>
      <c r="H1230" s="2">
        <v>632.9</v>
      </c>
      <c r="I1230" s="2">
        <v>18694</v>
      </c>
      <c r="J1230" s="2" t="s">
        <v>143</v>
      </c>
      <c r="K1230" s="2">
        <v>14</v>
      </c>
      <c r="L1230" s="2" t="s">
        <v>2968</v>
      </c>
      <c r="Q1230" s="4" t="str">
        <f ca="1">IFERROR(__xludf.DUMMYFUNCTION("TRIM(SUBSTITUTE(SUBSTITUTE(D1230, index(SPLIT(D1230, "" ""), COLUMNS(SPLIT(D1230, "" ""))), """"), index(SPLIT(D1230, "" ""), COLUMNS(SPLIT(D1230, "" ""))-1), """"))"),"Летичівська")</f>
        <v>Летичівська</v>
      </c>
    </row>
    <row r="1231" spans="1:17" ht="50.5">
      <c r="A1231" s="2"/>
      <c r="B1231" s="2" t="s">
        <v>2909</v>
      </c>
      <c r="C1231" s="2" t="s">
        <v>2943</v>
      </c>
      <c r="D1231" s="2" t="s">
        <v>2969</v>
      </c>
      <c r="E1231" s="2"/>
      <c r="F1231" s="2" t="s">
        <v>28</v>
      </c>
      <c r="G1231" s="2">
        <v>14</v>
      </c>
      <c r="H1231" s="2">
        <v>254</v>
      </c>
      <c r="I1231" s="2">
        <v>7636</v>
      </c>
      <c r="J1231" s="2" t="s">
        <v>143</v>
      </c>
      <c r="K1231" s="2">
        <v>9</v>
      </c>
      <c r="L1231" s="2" t="s">
        <v>2970</v>
      </c>
      <c r="Q1231" s="4" t="str">
        <f ca="1">IFERROR(__xludf.DUMMYFUNCTION("TRIM(SUBSTITUTE(SUBSTITUTE(D1231, index(SPLIT(D1231, "" ""), COLUMNS(SPLIT(D1231, "" ""))), """"), index(SPLIT(D1231, "" ""), COLUMNS(SPLIT(D1231, "" ""))-1), """"))"),"Лісовогринівецька")</f>
        <v>Лісовогринівецька</v>
      </c>
    </row>
    <row r="1232" spans="1:17" ht="38">
      <c r="A1232" s="2"/>
      <c r="B1232" s="2" t="s">
        <v>2909</v>
      </c>
      <c r="C1232" s="2" t="s">
        <v>2943</v>
      </c>
      <c r="D1232" s="2" t="s">
        <v>2971</v>
      </c>
      <c r="E1232" s="2"/>
      <c r="F1232" s="2" t="s">
        <v>32</v>
      </c>
      <c r="G1232" s="2">
        <v>12</v>
      </c>
      <c r="H1232" s="2">
        <v>322.7</v>
      </c>
      <c r="I1232" s="2">
        <v>7438</v>
      </c>
      <c r="J1232" s="2" t="s">
        <v>143</v>
      </c>
      <c r="K1232" s="2">
        <v>7</v>
      </c>
      <c r="L1232" s="2" t="s">
        <v>2972</v>
      </c>
      <c r="Q1232" s="4" t="str">
        <f ca="1">IFERROR(__xludf.DUMMYFUNCTION("TRIM(SUBSTITUTE(SUBSTITUTE(D1232, index(SPLIT(D1232, "" ""), COLUMNS(SPLIT(D1232, "" ""))), """"), index(SPLIT(D1232, "" ""), COLUMNS(SPLIT(D1232, "" ""))-1), """"))"),"Меджибізька")</f>
        <v>Меджибізька</v>
      </c>
    </row>
    <row r="1233" spans="1:17" ht="50.5">
      <c r="A1233" s="2"/>
      <c r="B1233" s="2" t="s">
        <v>2909</v>
      </c>
      <c r="C1233" s="2" t="s">
        <v>2943</v>
      </c>
      <c r="D1233" s="2" t="s">
        <v>2973</v>
      </c>
      <c r="E1233" s="2"/>
      <c r="F1233" s="2" t="s">
        <v>28</v>
      </c>
      <c r="G1233" s="2">
        <v>15</v>
      </c>
      <c r="H1233" s="2">
        <v>214.4</v>
      </c>
      <c r="I1233" s="2">
        <v>4085</v>
      </c>
      <c r="J1233" s="2" t="s">
        <v>2974</v>
      </c>
      <c r="K1233" s="2">
        <v>5</v>
      </c>
      <c r="L1233" s="2" t="s">
        <v>2975</v>
      </c>
      <c r="Q1233" s="4" t="str">
        <f ca="1">IFERROR(__xludf.DUMMYFUNCTION("TRIM(SUBSTITUTE(SUBSTITUTE(D1233, index(SPLIT(D1233, "" ""), COLUMNS(SPLIT(D1233, "" ""))), """"), index(SPLIT(D1233, "" ""), COLUMNS(SPLIT(D1233, "" ""))-1), """"))"),"Миролюбненська")</f>
        <v>Миролюбненська</v>
      </c>
    </row>
    <row r="1234" spans="1:17" ht="38">
      <c r="A1234" s="2"/>
      <c r="B1234" s="2" t="s">
        <v>2909</v>
      </c>
      <c r="C1234" s="2" t="s">
        <v>2943</v>
      </c>
      <c r="D1234" s="2" t="s">
        <v>2976</v>
      </c>
      <c r="E1234" s="2"/>
      <c r="F1234" s="2" t="s">
        <v>32</v>
      </c>
      <c r="G1234" s="2">
        <v>16</v>
      </c>
      <c r="H1234" s="2">
        <v>216.9</v>
      </c>
      <c r="I1234" s="2">
        <v>5945</v>
      </c>
      <c r="J1234" s="2" t="s">
        <v>143</v>
      </c>
      <c r="K1234" s="2">
        <v>7</v>
      </c>
      <c r="L1234" s="2" t="s">
        <v>2977</v>
      </c>
      <c r="Q1234" s="4" t="str">
        <f ca="1">IFERROR(__xludf.DUMMYFUNCTION("TRIM(SUBSTITUTE(SUBSTITUTE(D1234, index(SPLIT(D1234, "" ""), COLUMNS(SPLIT(D1234, "" ""))), """"), index(SPLIT(D1234, "" ""), COLUMNS(SPLIT(D1234, "" ""))-1), """"))"),"Наркевицька")</f>
        <v>Наркевицька</v>
      </c>
    </row>
    <row r="1235" spans="1:17" ht="50.5">
      <c r="A1235" s="2"/>
      <c r="B1235" s="2" t="s">
        <v>2909</v>
      </c>
      <c r="C1235" s="2" t="s">
        <v>2943</v>
      </c>
      <c r="D1235" s="2" t="s">
        <v>2978</v>
      </c>
      <c r="E1235" s="2"/>
      <c r="F1235" s="2" t="s">
        <v>28</v>
      </c>
      <c r="G1235" s="2">
        <v>26</v>
      </c>
      <c r="H1235" s="2">
        <v>335.9</v>
      </c>
      <c r="I1235" s="2">
        <v>11420</v>
      </c>
      <c r="J1235" s="2" t="s">
        <v>143</v>
      </c>
      <c r="K1235" s="2">
        <v>10</v>
      </c>
      <c r="L1235" s="2" t="s">
        <v>2979</v>
      </c>
      <c r="Q1235" s="4" t="str">
        <f ca="1">IFERROR(__xludf.DUMMYFUNCTION("TRIM(SUBSTITUTE(SUBSTITUTE(D1235, index(SPLIT(D1235, "" ""), COLUMNS(SPLIT(D1235, "" ""))), """"), index(SPLIT(D1235, "" ""), COLUMNS(SPLIT(D1235, "" ""))-1), """"))"),"Розсошанська")</f>
        <v>Розсошанська</v>
      </c>
    </row>
    <row r="1236" spans="1:17" ht="38">
      <c r="A1236" s="2"/>
      <c r="B1236" s="2" t="s">
        <v>2909</v>
      </c>
      <c r="C1236" s="2" t="s">
        <v>2943</v>
      </c>
      <c r="D1236" s="2" t="s">
        <v>2980</v>
      </c>
      <c r="E1236" s="2"/>
      <c r="F1236" s="2" t="s">
        <v>32</v>
      </c>
      <c r="G1236" s="2">
        <v>26</v>
      </c>
      <c r="H1236" s="2">
        <v>339.1</v>
      </c>
      <c r="I1236" s="2">
        <v>9946</v>
      </c>
      <c r="J1236" s="2" t="s">
        <v>143</v>
      </c>
      <c r="K1236" s="2">
        <v>9</v>
      </c>
      <c r="L1236" s="2" t="s">
        <v>2981</v>
      </c>
      <c r="Q1236" s="4" t="str">
        <f ca="1">IFERROR(__xludf.DUMMYFUNCTION("TRIM(SUBSTITUTE(SUBSTITUTE(D1236, index(SPLIT(D1236, "" ""), COLUMNS(SPLIT(D1236, "" ""))), """"), index(SPLIT(D1236, "" ""), COLUMNS(SPLIT(D1236, "" ""))-1), """"))"),"Сатанівська")</f>
        <v>Сатанівська</v>
      </c>
    </row>
    <row r="1237" spans="1:17" ht="50.5">
      <c r="A1237" s="2"/>
      <c r="B1237" s="2" t="s">
        <v>2909</v>
      </c>
      <c r="C1237" s="2" t="s">
        <v>2943</v>
      </c>
      <c r="D1237" s="2" t="s">
        <v>2982</v>
      </c>
      <c r="E1237" s="2"/>
      <c r="F1237" s="2" t="s">
        <v>28</v>
      </c>
      <c r="G1237" s="2">
        <v>10</v>
      </c>
      <c r="H1237" s="2">
        <v>156.9</v>
      </c>
      <c r="I1237" s="2">
        <v>3984</v>
      </c>
      <c r="J1237" s="2" t="s">
        <v>39</v>
      </c>
      <c r="K1237" s="2">
        <v>5</v>
      </c>
      <c r="L1237" s="2" t="s">
        <v>2983</v>
      </c>
      <c r="Q1237" s="4" t="str">
        <f ca="1">IFERROR(__xludf.DUMMYFUNCTION("TRIM(SUBSTITUTE(SUBSTITUTE(D1237, index(SPLIT(D1237, "" ""), COLUMNS(SPLIT(D1237, "" ""))), """"), index(SPLIT(D1237, "" ""), COLUMNS(SPLIT(D1237, "" ""))-1), """"))"),"Солобковецька")</f>
        <v>Солобковецька</v>
      </c>
    </row>
    <row r="1238" spans="1:17" ht="100.5">
      <c r="A1238" s="2"/>
      <c r="B1238" s="2" t="s">
        <v>2909</v>
      </c>
      <c r="C1238" s="2" t="s">
        <v>2943</v>
      </c>
      <c r="D1238" s="2" t="s">
        <v>2984</v>
      </c>
      <c r="E1238" s="2"/>
      <c r="F1238" s="2" t="s">
        <v>20</v>
      </c>
      <c r="G1238" s="2">
        <v>67</v>
      </c>
      <c r="H1238" s="2">
        <v>795.1</v>
      </c>
      <c r="I1238" s="2">
        <v>51570</v>
      </c>
      <c r="J1238" s="2" t="s">
        <v>2985</v>
      </c>
      <c r="K1238" s="2">
        <v>21</v>
      </c>
      <c r="L1238" s="2" t="s">
        <v>2986</v>
      </c>
      <c r="Q1238" s="4" t="str">
        <f ca="1">IFERROR(__xludf.DUMMYFUNCTION("TRIM(SUBSTITUTE(SUBSTITUTE(D1238, index(SPLIT(D1238, "" ""), COLUMNS(SPLIT(D1238, "" ""))), """"), index(SPLIT(D1238, "" ""), COLUMNS(SPLIT(D1238, "" ""))-1), """"))"),"Старокостянтинівська")</f>
        <v>Старокостянтинівська</v>
      </c>
    </row>
    <row r="1239" spans="1:17" ht="50.5">
      <c r="A1239" s="2"/>
      <c r="B1239" s="2" t="s">
        <v>2909</v>
      </c>
      <c r="C1239" s="2" t="s">
        <v>2943</v>
      </c>
      <c r="D1239" s="2" t="s">
        <v>2987</v>
      </c>
      <c r="E1239" s="2"/>
      <c r="F1239" s="2" t="s">
        <v>28</v>
      </c>
      <c r="G1239" s="2">
        <v>17</v>
      </c>
      <c r="H1239" s="2">
        <v>261.60000000000002</v>
      </c>
      <c r="I1239" s="2">
        <v>5708</v>
      </c>
      <c r="J1239" s="2" t="s">
        <v>2988</v>
      </c>
      <c r="K1239" s="2">
        <v>6</v>
      </c>
      <c r="L1239" s="2" t="s">
        <v>2989</v>
      </c>
      <c r="Q1239" s="4" t="str">
        <f ca="1">IFERROR(__xludf.DUMMYFUNCTION("TRIM(SUBSTITUTE(SUBSTITUTE(D1239, index(SPLIT(D1239, "" ""), COLUMNS(SPLIT(D1239, "" ""))), """"), index(SPLIT(D1239, "" ""), COLUMNS(SPLIT(D1239, "" ""))-1), """"))"),"Староостропільська")</f>
        <v>Староостропільська</v>
      </c>
    </row>
    <row r="1240" spans="1:17" ht="75.5">
      <c r="A1240" s="2"/>
      <c r="B1240" s="2" t="s">
        <v>2909</v>
      </c>
      <c r="C1240" s="2" t="s">
        <v>2943</v>
      </c>
      <c r="D1240" s="2" t="s">
        <v>2990</v>
      </c>
      <c r="E1240" s="2"/>
      <c r="F1240" s="2" t="s">
        <v>32</v>
      </c>
      <c r="G1240" s="2">
        <v>45</v>
      </c>
      <c r="H1240" s="2">
        <v>662.8</v>
      </c>
      <c r="I1240" s="2">
        <v>18771</v>
      </c>
      <c r="J1240" s="2" t="s">
        <v>143</v>
      </c>
      <c r="K1240" s="2">
        <v>17</v>
      </c>
      <c r="L1240" s="2" t="s">
        <v>2991</v>
      </c>
      <c r="Q1240" s="4" t="str">
        <f ca="1">IFERROR(__xludf.DUMMYFUNCTION("TRIM(SUBSTITUTE(SUBSTITUTE(D1240, index(SPLIT(D1240, "" ""), COLUMNS(SPLIT(D1240, "" ""))), """"), index(SPLIT(D1240, "" ""), COLUMNS(SPLIT(D1240, "" ""))-1), """"))"),"Старосинявська")</f>
        <v>Старосинявська</v>
      </c>
    </row>
    <row r="1241" spans="1:17" ht="100.5">
      <c r="A1241" s="2"/>
      <c r="B1241" s="2" t="s">
        <v>2909</v>
      </c>
      <c r="C1241" s="2" t="s">
        <v>2943</v>
      </c>
      <c r="D1241" s="2" t="s">
        <v>2992</v>
      </c>
      <c r="E1241" s="2"/>
      <c r="F1241" s="2" t="s">
        <v>32</v>
      </c>
      <c r="G1241" s="2">
        <v>55</v>
      </c>
      <c r="H1241" s="2">
        <v>716.5</v>
      </c>
      <c r="I1241" s="2">
        <v>25019</v>
      </c>
      <c r="J1241" s="2" t="s">
        <v>2993</v>
      </c>
      <c r="K1241" s="2">
        <v>24</v>
      </c>
      <c r="L1241" s="2" t="s">
        <v>2994</v>
      </c>
      <c r="Q1241" s="4" t="str">
        <f ca="1">IFERROR(__xludf.DUMMYFUNCTION("TRIM(SUBSTITUTE(SUBSTITUTE(D1241, index(SPLIT(D1241, "" ""), COLUMNS(SPLIT(D1241, "" ""))), """"), index(SPLIT(D1241, "" ""), COLUMNS(SPLIT(D1241, "" ""))-1), """"))"),"Теофіпольська")</f>
        <v>Теофіпольська</v>
      </c>
    </row>
    <row r="1242" spans="1:17" ht="63">
      <c r="A1242" s="2"/>
      <c r="B1242" s="2" t="s">
        <v>2909</v>
      </c>
      <c r="C1242" s="2" t="s">
        <v>2943</v>
      </c>
      <c r="D1242" s="2" t="s">
        <v>2995</v>
      </c>
      <c r="E1242" s="2"/>
      <c r="F1242" s="2" t="s">
        <v>20</v>
      </c>
      <c r="G1242" s="2">
        <v>25</v>
      </c>
      <c r="H1242" s="2">
        <v>493.9</v>
      </c>
      <c r="I1242" s="2">
        <v>293223</v>
      </c>
      <c r="J1242" s="2" t="s">
        <v>2996</v>
      </c>
      <c r="K1242" s="2">
        <v>13</v>
      </c>
      <c r="L1242" s="2" t="s">
        <v>2997</v>
      </c>
      <c r="Q1242" s="4" t="str">
        <f ca="1">IFERROR(__xludf.DUMMYFUNCTION("TRIM(SUBSTITUTE(SUBSTITUTE(D1242, index(SPLIT(D1242, "" ""), COLUMNS(SPLIT(D1242, "" ""))), """"), index(SPLIT(D1242, "" ""), COLUMNS(SPLIT(D1242, "" ""))-1), """"))"),"Хмельницька")</f>
        <v>Хмельницька</v>
      </c>
    </row>
    <row r="1243" spans="1:17" ht="50.5">
      <c r="A1243" s="2"/>
      <c r="B1243" s="2" t="s">
        <v>2909</v>
      </c>
      <c r="C1243" s="2" t="s">
        <v>2943</v>
      </c>
      <c r="D1243" s="2" t="s">
        <v>2998</v>
      </c>
      <c r="E1243" s="2"/>
      <c r="F1243" s="2" t="s">
        <v>32</v>
      </c>
      <c r="G1243" s="2">
        <v>21</v>
      </c>
      <c r="H1243" s="2">
        <v>280.2</v>
      </c>
      <c r="I1243" s="2">
        <v>12364</v>
      </c>
      <c r="J1243" s="2" t="s">
        <v>143</v>
      </c>
      <c r="K1243" s="2">
        <v>10</v>
      </c>
      <c r="L1243" s="2" t="s">
        <v>2999</v>
      </c>
      <c r="Q1243" s="4" t="str">
        <f ca="1">IFERROR(__xludf.DUMMYFUNCTION("TRIM(SUBSTITUTE(SUBSTITUTE(D1243, index(SPLIT(D1243, "" ""), COLUMNS(SPLIT(D1243, "" ""))), """"), index(SPLIT(D1243, "" ""), COLUMNS(SPLIT(D1243, "" ""))-1), """"))"),"Чорноострівська")</f>
        <v>Чорноострівська</v>
      </c>
    </row>
    <row r="1244" spans="1:17" ht="38">
      <c r="A1244" s="2"/>
      <c r="B1244" s="2" t="s">
        <v>2909</v>
      </c>
      <c r="C1244" s="2" t="s">
        <v>2943</v>
      </c>
      <c r="D1244" s="2" t="s">
        <v>3000</v>
      </c>
      <c r="E1244" s="2"/>
      <c r="F1244" s="2" t="s">
        <v>28</v>
      </c>
      <c r="G1244" s="2">
        <v>8</v>
      </c>
      <c r="H1244" s="2">
        <v>121.5</v>
      </c>
      <c r="I1244" s="2">
        <v>3865</v>
      </c>
      <c r="J1244" s="2" t="s">
        <v>3001</v>
      </c>
      <c r="K1244" s="2">
        <v>3</v>
      </c>
      <c r="L1244" s="2" t="s">
        <v>3002</v>
      </c>
      <c r="Q1244" s="4" t="str">
        <f ca="1">IFERROR(__xludf.DUMMYFUNCTION("TRIM(SUBSTITUTE(SUBSTITUTE(D1244, index(SPLIT(D1244, "" ""), COLUMNS(SPLIT(D1244, "" ""))), """"), index(SPLIT(D1244, "" ""), COLUMNS(SPLIT(D1244, "" ""))-1), """"))"),"Щиборівська")</f>
        <v>Щиборівська</v>
      </c>
    </row>
    <row r="1245" spans="1:17" ht="88">
      <c r="A1245" s="2"/>
      <c r="B1245" s="2" t="s">
        <v>2909</v>
      </c>
      <c r="C1245" s="2" t="s">
        <v>2943</v>
      </c>
      <c r="D1245" s="2" t="s">
        <v>3003</v>
      </c>
      <c r="E1245" s="2"/>
      <c r="F1245" s="2" t="s">
        <v>32</v>
      </c>
      <c r="G1245" s="2">
        <v>34</v>
      </c>
      <c r="H1245" s="2">
        <v>548.4</v>
      </c>
      <c r="I1245" s="2">
        <v>18984</v>
      </c>
      <c r="J1245" s="2" t="s">
        <v>3004</v>
      </c>
      <c r="K1245" s="2">
        <v>20</v>
      </c>
      <c r="L1245" s="2" t="s">
        <v>3005</v>
      </c>
      <c r="Q1245" s="4" t="str">
        <f ca="1">IFERROR(__xludf.DUMMYFUNCTION("TRIM(SUBSTITUTE(SUBSTITUTE(D1245, index(SPLIT(D1245, "" ""), COLUMNS(SPLIT(D1245, "" ""))), """"), index(SPLIT(D1245, "" ""), COLUMNS(SPLIT(D1245, "" ""))-1), """"))"),"Ярмолинецька")</f>
        <v>Ярмолинецька</v>
      </c>
    </row>
    <row r="1246" spans="1:17" ht="75.5">
      <c r="A1246" s="2"/>
      <c r="B1246" s="2" t="s">
        <v>2909</v>
      </c>
      <c r="C1246" s="2" t="s">
        <v>3006</v>
      </c>
      <c r="D1246" s="2" t="s">
        <v>3007</v>
      </c>
      <c r="E1246" s="2"/>
      <c r="F1246" s="2" t="s">
        <v>20</v>
      </c>
      <c r="G1246" s="2">
        <v>46</v>
      </c>
      <c r="H1246" s="2">
        <v>645.70000000000005</v>
      </c>
      <c r="I1246" s="2">
        <v>29345</v>
      </c>
      <c r="J1246" s="2" t="s">
        <v>3008</v>
      </c>
      <c r="K1246" s="2">
        <v>17</v>
      </c>
      <c r="L1246" s="2" t="s">
        <v>3009</v>
      </c>
      <c r="Q1246" s="4" t="str">
        <f ca="1">IFERROR(__xludf.DUMMYFUNCTION("TRIM(SUBSTITUTE(SUBSTITUTE(D1246, index(SPLIT(D1246, "" ""), COLUMNS(SPLIT(D1246, "" ""))), """"), index(SPLIT(D1246, "" ""), COLUMNS(SPLIT(D1246, "" ""))-1), """"))"),"Ізяславська")</f>
        <v>Ізяславська</v>
      </c>
    </row>
    <row r="1247" spans="1:17" ht="63">
      <c r="A1247" s="2"/>
      <c r="B1247" s="2" t="s">
        <v>2909</v>
      </c>
      <c r="C1247" s="2" t="s">
        <v>3006</v>
      </c>
      <c r="D1247" s="2" t="s">
        <v>3010</v>
      </c>
      <c r="E1247" s="2"/>
      <c r="F1247" s="2" t="s">
        <v>28</v>
      </c>
      <c r="G1247" s="2">
        <v>27</v>
      </c>
      <c r="H1247" s="2">
        <v>318.3</v>
      </c>
      <c r="I1247" s="2">
        <v>8297</v>
      </c>
      <c r="J1247" s="2" t="s">
        <v>143</v>
      </c>
      <c r="K1247" s="2">
        <v>13</v>
      </c>
      <c r="L1247" s="2" t="s">
        <v>3011</v>
      </c>
      <c r="Q1247" s="4" t="str">
        <f ca="1">IFERROR(__xludf.DUMMYFUNCTION("TRIM(SUBSTITUTE(SUBSTITUTE(D1247, index(SPLIT(D1247, "" ""), COLUMNS(SPLIT(D1247, "" ""))), """"), index(SPLIT(D1247, "" ""), COLUMNS(SPLIT(D1247, "" ""))-1), """"))"),"Берездівська")</f>
        <v>Берездівська</v>
      </c>
    </row>
    <row r="1248" spans="1:17" ht="88">
      <c r="A1248" s="2"/>
      <c r="B1248" s="2" t="s">
        <v>2909</v>
      </c>
      <c r="C1248" s="2" t="s">
        <v>3006</v>
      </c>
      <c r="D1248" s="2" t="s">
        <v>3012</v>
      </c>
      <c r="E1248" s="2"/>
      <c r="F1248" s="2" t="s">
        <v>32</v>
      </c>
      <c r="G1248" s="2">
        <v>61</v>
      </c>
      <c r="H1248" s="2">
        <v>615.6</v>
      </c>
      <c r="I1248" s="2">
        <v>19086</v>
      </c>
      <c r="J1248" s="2" t="s">
        <v>93</v>
      </c>
      <c r="K1248" s="2">
        <v>20</v>
      </c>
      <c r="L1248" s="2" t="s">
        <v>3013</v>
      </c>
      <c r="Q1248" s="4" t="str">
        <f ca="1">IFERROR(__xludf.DUMMYFUNCTION("TRIM(SUBSTITUTE(SUBSTITUTE(D1248, index(SPLIT(D1248, "" ""), COLUMNS(SPLIT(D1248, "" ""))), """"), index(SPLIT(D1248, "" ""), COLUMNS(SPLIT(D1248, "" ""))-1), """"))"),"Білогірська")</f>
        <v>Білогірська</v>
      </c>
    </row>
    <row r="1249" spans="1:17" ht="50.5">
      <c r="A1249" s="2"/>
      <c r="B1249" s="2" t="s">
        <v>2909</v>
      </c>
      <c r="C1249" s="2" t="s">
        <v>3006</v>
      </c>
      <c r="D1249" s="2" t="s">
        <v>3014</v>
      </c>
      <c r="E1249" s="2"/>
      <c r="F1249" s="2" t="s">
        <v>28</v>
      </c>
      <c r="G1249" s="2">
        <v>16</v>
      </c>
      <c r="H1249" s="2">
        <v>199.6</v>
      </c>
      <c r="I1249" s="2">
        <v>6047</v>
      </c>
      <c r="J1249" s="2" t="s">
        <v>143</v>
      </c>
      <c r="K1249" s="2">
        <v>7</v>
      </c>
      <c r="L1249" s="2" t="s">
        <v>3015</v>
      </c>
      <c r="Q1249" s="4" t="str">
        <f ca="1">IFERROR(__xludf.DUMMYFUNCTION("TRIM(SUBSTITUTE(SUBSTITUTE(D1249, index(SPLIT(D1249, "" ""), COLUMNS(SPLIT(D1249, "" ""))), """"), index(SPLIT(D1249, "" ""), COLUMNS(SPLIT(D1249, "" ""))-1), """"))"),"Ганнопільська")</f>
        <v>Ганнопільська</v>
      </c>
    </row>
    <row r="1250" spans="1:17" ht="38">
      <c r="A1250" s="2"/>
      <c r="B1250" s="2" t="s">
        <v>2909</v>
      </c>
      <c r="C1250" s="2" t="s">
        <v>3006</v>
      </c>
      <c r="D1250" s="2" t="s">
        <v>3016</v>
      </c>
      <c r="E1250" s="2"/>
      <c r="F1250" s="2" t="s">
        <v>32</v>
      </c>
      <c r="G1250" s="2">
        <v>15</v>
      </c>
      <c r="H1250" s="2">
        <v>201.2</v>
      </c>
      <c r="I1250" s="2">
        <v>6978</v>
      </c>
      <c r="J1250" s="2" t="s">
        <v>39</v>
      </c>
      <c r="K1250" s="2">
        <v>7</v>
      </c>
      <c r="L1250" s="2" t="s">
        <v>3017</v>
      </c>
      <c r="Q1250" s="4" t="str">
        <f ca="1">IFERROR(__xludf.DUMMYFUNCTION("TRIM(SUBSTITUTE(SUBSTITUTE(D1250, index(SPLIT(D1250, "" ""), COLUMNS(SPLIT(D1250, "" ""))), """"), index(SPLIT(D1250, "" ""), COLUMNS(SPLIT(D1250, "" ""))-1), """"))"),"Грицівська")</f>
        <v>Грицівська</v>
      </c>
    </row>
    <row r="1251" spans="1:17" ht="38">
      <c r="A1251" s="2"/>
      <c r="B1251" s="2" t="s">
        <v>2909</v>
      </c>
      <c r="C1251" s="2" t="s">
        <v>3006</v>
      </c>
      <c r="D1251" s="2" t="s">
        <v>2302</v>
      </c>
      <c r="E1251" s="2"/>
      <c r="F1251" s="2" t="s">
        <v>28</v>
      </c>
      <c r="G1251" s="2">
        <v>11</v>
      </c>
      <c r="H1251" s="2">
        <v>190.9</v>
      </c>
      <c r="I1251" s="2">
        <v>3408</v>
      </c>
      <c r="J1251" s="2" t="s">
        <v>178</v>
      </c>
      <c r="K1251" s="2">
        <v>4</v>
      </c>
      <c r="L1251" s="2" t="s">
        <v>3018</v>
      </c>
      <c r="Q1251" s="4" t="str">
        <f ca="1">IFERROR(__xludf.DUMMYFUNCTION("TRIM(SUBSTITUTE(SUBSTITUTE(D1251, index(SPLIT(D1251, "" ""), COLUMNS(SPLIT(D1251, "" ""))), """"), index(SPLIT(D1251, "" ""), COLUMNS(SPLIT(D1251, "" ""))-1), """"))"),"Крупецька")</f>
        <v>Крупецька</v>
      </c>
    </row>
    <row r="1252" spans="1:17" ht="38">
      <c r="A1252" s="2"/>
      <c r="B1252" s="2" t="s">
        <v>2909</v>
      </c>
      <c r="C1252" s="2" t="s">
        <v>3006</v>
      </c>
      <c r="D1252" s="2" t="s">
        <v>3019</v>
      </c>
      <c r="E1252" s="2"/>
      <c r="F1252" s="2" t="s">
        <v>28</v>
      </c>
      <c r="G1252" s="2">
        <v>17</v>
      </c>
      <c r="H1252" s="2">
        <v>260.60000000000002</v>
      </c>
      <c r="I1252" s="2">
        <v>6400</v>
      </c>
      <c r="J1252" s="2" t="s">
        <v>33</v>
      </c>
      <c r="K1252" s="2">
        <v>7</v>
      </c>
      <c r="L1252" s="2" t="s">
        <v>3020</v>
      </c>
      <c r="Q1252" s="4" t="str">
        <f ca="1">IFERROR(__xludf.DUMMYFUNCTION("TRIM(SUBSTITUTE(SUBSTITUTE(D1252, index(SPLIT(D1252, "" ""), COLUMNS(SPLIT(D1252, "" ""))), """"), index(SPLIT(D1252, "" ""), COLUMNS(SPLIT(D1252, "" ""))-1), """"))"),"Ленковецька")</f>
        <v>Ленковецька</v>
      </c>
    </row>
    <row r="1253" spans="1:17" ht="50.5">
      <c r="A1253" s="2"/>
      <c r="B1253" s="2" t="s">
        <v>2909</v>
      </c>
      <c r="C1253" s="2" t="s">
        <v>3006</v>
      </c>
      <c r="D1253" s="2" t="s">
        <v>3021</v>
      </c>
      <c r="E1253" s="2"/>
      <c r="F1253" s="2" t="s">
        <v>28</v>
      </c>
      <c r="G1253" s="2">
        <v>18</v>
      </c>
      <c r="H1253" s="2">
        <v>268.39999999999998</v>
      </c>
      <c r="I1253" s="2">
        <v>5103</v>
      </c>
      <c r="J1253" s="2" t="s">
        <v>3022</v>
      </c>
      <c r="K1253" s="2">
        <v>4</v>
      </c>
      <c r="L1253" s="2" t="s">
        <v>3023</v>
      </c>
      <c r="Q1253" s="4" t="str">
        <f ca="1">IFERROR(__xludf.DUMMYFUNCTION("TRIM(SUBSTITUTE(SUBSTITUTE(D1253, index(SPLIT(D1253, "" ""), COLUMNS(SPLIT(D1253, "" ""))), """"), index(SPLIT(D1253, "" ""), COLUMNS(SPLIT(D1253, "" ""))-1), """"))"),"Михайлюцька")</f>
        <v>Михайлюцька</v>
      </c>
    </row>
    <row r="1254" spans="1:17" ht="38">
      <c r="A1254" s="2"/>
      <c r="B1254" s="2" t="s">
        <v>2909</v>
      </c>
      <c r="C1254" s="2" t="s">
        <v>3006</v>
      </c>
      <c r="D1254" s="2" t="s">
        <v>3024</v>
      </c>
      <c r="E1254" s="2"/>
      <c r="F1254" s="2" t="s">
        <v>20</v>
      </c>
      <c r="G1254" s="2">
        <v>3</v>
      </c>
      <c r="H1254" s="2">
        <v>95.4</v>
      </c>
      <c r="I1254" s="2">
        <v>37723</v>
      </c>
      <c r="J1254" s="2" t="s">
        <v>3025</v>
      </c>
      <c r="K1254" s="2">
        <v>2</v>
      </c>
      <c r="L1254" s="2" t="s">
        <v>3026</v>
      </c>
      <c r="Q1254" s="4" t="str">
        <f ca="1">IFERROR(__xludf.DUMMYFUNCTION("TRIM(SUBSTITUTE(SUBSTITUTE(D1254, index(SPLIT(D1254, "" ""), COLUMNS(SPLIT(D1254, "" ""))), """"), index(SPLIT(D1254, "" ""), COLUMNS(SPLIT(D1254, "" ""))-1), """"))"),"Нетішинська")</f>
        <v>Нетішинська</v>
      </c>
    </row>
    <row r="1255" spans="1:17" ht="38">
      <c r="A1255" s="2"/>
      <c r="B1255" s="2" t="s">
        <v>2909</v>
      </c>
      <c r="C1255" s="2" t="s">
        <v>3006</v>
      </c>
      <c r="D1255" s="2" t="s">
        <v>3027</v>
      </c>
      <c r="E1255" s="2"/>
      <c r="F1255" s="2" t="s">
        <v>28</v>
      </c>
      <c r="G1255" s="2">
        <v>23</v>
      </c>
      <c r="H1255" s="2">
        <v>354.7</v>
      </c>
      <c r="I1255" s="2">
        <v>7227</v>
      </c>
      <c r="J1255" s="2" t="s">
        <v>46</v>
      </c>
      <c r="K1255" s="2">
        <v>6</v>
      </c>
      <c r="L1255" s="2" t="s">
        <v>3028</v>
      </c>
      <c r="Q1255" s="4" t="str">
        <f ca="1">IFERROR(__xludf.DUMMYFUNCTION("TRIM(SUBSTITUTE(SUBSTITUTE(D1255, index(SPLIT(D1255, "" ""), COLUMNS(SPLIT(D1255, "" ""))), """"), index(SPLIT(D1255, "" ""), COLUMNS(SPLIT(D1255, "" ""))-1), """"))"),"Плужненська")</f>
        <v>Плужненська</v>
      </c>
    </row>
    <row r="1256" spans="1:17" ht="63">
      <c r="A1256" s="2"/>
      <c r="B1256" s="2" t="s">
        <v>2909</v>
      </c>
      <c r="C1256" s="2" t="s">
        <v>3006</v>
      </c>
      <c r="D1256" s="2" t="s">
        <v>3029</v>
      </c>
      <c r="E1256" s="2"/>
      <c r="F1256" s="2" t="s">
        <v>20</v>
      </c>
      <c r="G1256" s="2">
        <v>35</v>
      </c>
      <c r="H1256" s="2">
        <v>617.70000000000005</v>
      </c>
      <c r="I1256" s="2">
        <v>32658</v>
      </c>
      <c r="J1256" s="2" t="s">
        <v>143</v>
      </c>
      <c r="K1256" s="2">
        <v>14</v>
      </c>
      <c r="L1256" s="2" t="s">
        <v>3030</v>
      </c>
      <c r="Q1256" s="4" t="str">
        <f ca="1">IFERROR(__xludf.DUMMYFUNCTION("TRIM(SUBSTITUTE(SUBSTITUTE(D1256, index(SPLIT(D1256, "" ""), COLUMNS(SPLIT(D1256, "" ""))), """"), index(SPLIT(D1256, "" ""), COLUMNS(SPLIT(D1256, "" ""))-1), """"))"),"Полонська")</f>
        <v>Полонська</v>
      </c>
    </row>
    <row r="1257" spans="1:17" ht="38">
      <c r="A1257" s="2"/>
      <c r="B1257" s="2" t="s">
        <v>2909</v>
      </c>
      <c r="C1257" s="2" t="s">
        <v>3006</v>
      </c>
      <c r="D1257" s="2" t="s">
        <v>3031</v>
      </c>
      <c r="E1257" s="2"/>
      <c r="F1257" s="2" t="s">
        <v>32</v>
      </c>
      <c r="G1257" s="2">
        <v>7</v>
      </c>
      <c r="H1257" s="2">
        <v>170.3</v>
      </c>
      <c r="I1257" s="2">
        <v>7955</v>
      </c>
      <c r="J1257" s="2" t="s">
        <v>143</v>
      </c>
      <c r="K1257" s="2">
        <v>2</v>
      </c>
      <c r="L1257" s="2" t="s">
        <v>3032</v>
      </c>
      <c r="Q1257" s="4" t="str">
        <f ca="1">IFERROR(__xludf.DUMMYFUNCTION("TRIM(SUBSTITUTE(SUBSTITUTE(D1257, index(SPLIT(D1257, "" ""), COLUMNS(SPLIT(D1257, "" ""))), """"), index(SPLIT(D1257, "" ""), COLUMNS(SPLIT(D1257, "" ""))-1), """"))"),"Понінківська")</f>
        <v>Понінківська</v>
      </c>
    </row>
    <row r="1258" spans="1:17" ht="38">
      <c r="A1258" s="2"/>
      <c r="B1258" s="2" t="s">
        <v>2909</v>
      </c>
      <c r="C1258" s="2" t="s">
        <v>3006</v>
      </c>
      <c r="D1258" s="2" t="s">
        <v>3033</v>
      </c>
      <c r="E1258" s="2"/>
      <c r="F1258" s="2" t="s">
        <v>28</v>
      </c>
      <c r="G1258" s="2">
        <v>23</v>
      </c>
      <c r="H1258" s="2">
        <v>255.4</v>
      </c>
      <c r="I1258" s="2">
        <v>4845</v>
      </c>
      <c r="J1258" s="2" t="s">
        <v>163</v>
      </c>
      <c r="K1258" s="2">
        <v>7</v>
      </c>
      <c r="L1258" s="2" t="s">
        <v>3034</v>
      </c>
      <c r="Q1258" s="4" t="str">
        <f ca="1">IFERROR(__xludf.DUMMYFUNCTION("TRIM(SUBSTITUTE(SUBSTITUTE(D1258, index(SPLIT(D1258, "" ""), COLUMNS(SPLIT(D1258, "" ""))), """"), index(SPLIT(D1258, "" ""), COLUMNS(SPLIT(D1258, "" ""))-1), """"))"),"Сахновецька")</f>
        <v>Сахновецька</v>
      </c>
    </row>
    <row r="1259" spans="1:17" ht="38">
      <c r="A1259" s="2"/>
      <c r="B1259" s="2" t="s">
        <v>2909</v>
      </c>
      <c r="C1259" s="2" t="s">
        <v>3006</v>
      </c>
      <c r="D1259" s="2" t="s">
        <v>3035</v>
      </c>
      <c r="E1259" s="2"/>
      <c r="F1259" s="2" t="s">
        <v>20</v>
      </c>
      <c r="G1259" s="2">
        <v>3</v>
      </c>
      <c r="H1259" s="2">
        <v>72.7</v>
      </c>
      <c r="I1259" s="2">
        <v>35752</v>
      </c>
      <c r="J1259" s="2" t="s">
        <v>3036</v>
      </c>
      <c r="K1259" s="2">
        <v>2</v>
      </c>
      <c r="L1259" s="2" t="s">
        <v>3037</v>
      </c>
      <c r="Q1259" s="4" t="str">
        <f ca="1">IFERROR(__xludf.DUMMYFUNCTION("TRIM(SUBSTITUTE(SUBSTITUTE(D1259, index(SPLIT(D1259, "" ""), COLUMNS(SPLIT(D1259, "" ""))), """"), index(SPLIT(D1259, "" ""), COLUMNS(SPLIT(D1259, "" ""))-1), """"))"),"Славутська")</f>
        <v>Славутська</v>
      </c>
    </row>
    <row r="1260" spans="1:17" ht="38">
      <c r="A1260" s="2"/>
      <c r="B1260" s="2" t="s">
        <v>2909</v>
      </c>
      <c r="C1260" s="2" t="s">
        <v>3006</v>
      </c>
      <c r="D1260" s="2" t="s">
        <v>3038</v>
      </c>
      <c r="E1260" s="2"/>
      <c r="F1260" s="2" t="s">
        <v>28</v>
      </c>
      <c r="G1260" s="2">
        <v>21</v>
      </c>
      <c r="H1260" s="2">
        <v>374.5</v>
      </c>
      <c r="I1260" s="2">
        <v>12656</v>
      </c>
      <c r="J1260" s="2" t="s">
        <v>33</v>
      </c>
      <c r="K1260" s="2">
        <v>6</v>
      </c>
      <c r="L1260" s="2" t="s">
        <v>3039</v>
      </c>
      <c r="Q1260" s="4" t="str">
        <f ca="1">IFERROR(__xludf.DUMMYFUNCTION("TRIM(SUBSTITUTE(SUBSTITUTE(D1260, index(SPLIT(D1260, "" ""), COLUMNS(SPLIT(D1260, "" ""))), """"), index(SPLIT(D1260, "" ""), COLUMNS(SPLIT(D1260, "" ""))-1), """"))"),"Судилківська")</f>
        <v>Судилківська</v>
      </c>
    </row>
    <row r="1261" spans="1:17" ht="50.5">
      <c r="A1261" s="2"/>
      <c r="B1261" s="2" t="s">
        <v>2909</v>
      </c>
      <c r="C1261" s="2" t="s">
        <v>3006</v>
      </c>
      <c r="D1261" s="2" t="s">
        <v>3040</v>
      </c>
      <c r="E1261" s="2"/>
      <c r="F1261" s="2" t="s">
        <v>28</v>
      </c>
      <c r="G1261" s="2">
        <v>21</v>
      </c>
      <c r="H1261" s="2">
        <v>377.7</v>
      </c>
      <c r="I1261" s="2">
        <v>8112</v>
      </c>
      <c r="J1261" s="2" t="s">
        <v>249</v>
      </c>
      <c r="K1261" s="2">
        <v>10</v>
      </c>
      <c r="L1261" s="2" t="s">
        <v>3041</v>
      </c>
      <c r="Q1261" s="4" t="str">
        <f ca="1">IFERROR(__xludf.DUMMYFUNCTION("TRIM(SUBSTITUTE(SUBSTITUTE(D1261, index(SPLIT(D1261, "" ""), COLUMNS(SPLIT(D1261, "" ""))), """"), index(SPLIT(D1261, "" ""), COLUMNS(SPLIT(D1261, "" ""))-1), """"))"),"Улашанівська")</f>
        <v>Улашанівська</v>
      </c>
    </row>
    <row r="1262" spans="1:17" ht="38">
      <c r="A1262" s="2"/>
      <c r="B1262" s="2" t="s">
        <v>2909</v>
      </c>
      <c r="C1262" s="2" t="s">
        <v>3006</v>
      </c>
      <c r="D1262" s="2" t="s">
        <v>3042</v>
      </c>
      <c r="E1262" s="2"/>
      <c r="F1262" s="2" t="s">
        <v>20</v>
      </c>
      <c r="G1262" s="2">
        <v>4</v>
      </c>
      <c r="H1262" s="2">
        <v>172.8</v>
      </c>
      <c r="I1262" s="2">
        <v>42822</v>
      </c>
      <c r="J1262" s="2" t="s">
        <v>3043</v>
      </c>
      <c r="K1262" s="2">
        <v>3</v>
      </c>
      <c r="L1262" s="2" t="s">
        <v>3044</v>
      </c>
      <c r="Q1262" s="4" t="str">
        <f ca="1">IFERROR(__xludf.DUMMYFUNCTION("TRIM(SUBSTITUTE(SUBSTITUTE(D1262, index(SPLIT(D1262, "" ""), COLUMNS(SPLIT(D1262, "" ""))), """"), index(SPLIT(D1262, "" ""), COLUMNS(SPLIT(D1262, "" ""))-1), """"))"),"Шепетівська")</f>
        <v>Шепетівська</v>
      </c>
    </row>
    <row r="1263" spans="1:17" ht="38">
      <c r="A1263" s="2"/>
      <c r="B1263" s="2" t="s">
        <v>2909</v>
      </c>
      <c r="C1263" s="2" t="s">
        <v>3006</v>
      </c>
      <c r="D1263" s="2" t="s">
        <v>127</v>
      </c>
      <c r="E1263" s="2"/>
      <c r="F1263" s="2" t="s">
        <v>32</v>
      </c>
      <c r="G1263" s="2">
        <v>13</v>
      </c>
      <c r="H1263" s="2">
        <v>160.69999999999999</v>
      </c>
      <c r="I1263" s="2">
        <v>5989</v>
      </c>
      <c r="J1263" s="2" t="s">
        <v>249</v>
      </c>
      <c r="K1263" s="2">
        <v>5</v>
      </c>
      <c r="L1263" s="2" t="s">
        <v>3045</v>
      </c>
      <c r="Q1263" s="4" t="str">
        <f ca="1">IFERROR(__xludf.DUMMYFUNCTION("TRIM(SUBSTITUTE(SUBSTITUTE(D1263, index(SPLIT(D1263, "" ""), COLUMNS(SPLIT(D1263, "" ""))), """"), index(SPLIT(D1263, "" ""), COLUMNS(SPLIT(D1263, "" ""))-1), """"))"),"Ямпільська")</f>
        <v>Ямпільська</v>
      </c>
    </row>
    <row r="1264" spans="1:17" ht="38">
      <c r="A1264" s="2"/>
      <c r="B1264" s="2" t="s">
        <v>3046</v>
      </c>
      <c r="C1264" s="2" t="s">
        <v>3047</v>
      </c>
      <c r="D1264" s="2" t="s">
        <v>3048</v>
      </c>
      <c r="E1264" s="2"/>
      <c r="F1264" s="2" t="s">
        <v>32</v>
      </c>
      <c r="G1264" s="2">
        <v>3</v>
      </c>
      <c r="H1264" s="2">
        <v>52.5</v>
      </c>
      <c r="I1264" s="2">
        <v>4883</v>
      </c>
      <c r="J1264" s="2" t="s">
        <v>143</v>
      </c>
      <c r="K1264" s="2">
        <v>2</v>
      </c>
      <c r="L1264" s="2" t="s">
        <v>3049</v>
      </c>
      <c r="Q1264" s="4" t="str">
        <f ca="1">IFERROR(__xludf.DUMMYFUNCTION("TRIM(SUBSTITUTE(SUBSTITUTE(D1264, index(SPLIT(D1264, "" ""), COLUMNS(SPLIT(D1264, "" ""))), """"), index(SPLIT(D1264, "" ""), COLUMNS(SPLIT(D1264, "" ""))-1), """"))"),"Єрківська")</f>
        <v>Єрківська</v>
      </c>
    </row>
    <row r="1265" spans="1:17" ht="38">
      <c r="A1265" s="2"/>
      <c r="B1265" s="2" t="s">
        <v>3046</v>
      </c>
      <c r="C1265" s="2" t="s">
        <v>3047</v>
      </c>
      <c r="D1265" s="2" t="s">
        <v>3050</v>
      </c>
      <c r="E1265" s="2"/>
      <c r="F1265" s="2" t="s">
        <v>28</v>
      </c>
      <c r="G1265" s="2">
        <v>8</v>
      </c>
      <c r="H1265" s="2">
        <v>132.6</v>
      </c>
      <c r="I1265" s="2">
        <v>3476</v>
      </c>
      <c r="J1265" s="2" t="s">
        <v>249</v>
      </c>
      <c r="K1265" s="2">
        <v>6</v>
      </c>
      <c r="L1265" s="2" t="s">
        <v>3051</v>
      </c>
      <c r="Q1265" s="4" t="str">
        <f ca="1">IFERROR(__xludf.DUMMYFUNCTION("TRIM(SUBSTITUTE(SUBSTITUTE(D1265, index(SPLIT(D1265, "" ""), COLUMNS(SPLIT(D1265, "" ""))), """"), index(SPLIT(D1265, "" ""), COLUMNS(SPLIT(D1265, "" ""))-1), """"))"),"Бужанська")</f>
        <v>Бужанська</v>
      </c>
    </row>
    <row r="1266" spans="1:17" ht="38">
      <c r="A1266" s="2"/>
      <c r="B1266" s="2" t="s">
        <v>3046</v>
      </c>
      <c r="C1266" s="2" t="s">
        <v>3047</v>
      </c>
      <c r="D1266" s="2" t="s">
        <v>3052</v>
      </c>
      <c r="E1266" s="2"/>
      <c r="F1266" s="2" t="s">
        <v>20</v>
      </c>
      <c r="G1266" s="2">
        <v>5</v>
      </c>
      <c r="H1266" s="2">
        <v>107.7</v>
      </c>
      <c r="I1266" s="2">
        <v>20899</v>
      </c>
      <c r="J1266" s="2" t="s">
        <v>3053</v>
      </c>
      <c r="K1266" s="2">
        <v>4</v>
      </c>
      <c r="L1266" s="2" t="s">
        <v>3054</v>
      </c>
      <c r="Q1266" s="4" t="str">
        <f ca="1">IFERROR(__xludf.DUMMYFUNCTION("TRIM(SUBSTITUTE(SUBSTITUTE(D1266, index(SPLIT(D1266, "" ""), COLUMNS(SPLIT(D1266, "" ""))), """"), index(SPLIT(D1266, "" ""), COLUMNS(SPLIT(D1266, "" ""))-1), """"))"),"Ватутінська")</f>
        <v>Ватутінська</v>
      </c>
    </row>
    <row r="1267" spans="1:17" ht="50.5">
      <c r="A1267" s="2"/>
      <c r="B1267" s="2" t="s">
        <v>3046</v>
      </c>
      <c r="C1267" s="2" t="s">
        <v>3047</v>
      </c>
      <c r="D1267" s="2" t="s">
        <v>3055</v>
      </c>
      <c r="E1267" s="2"/>
      <c r="F1267" s="2" t="s">
        <v>28</v>
      </c>
      <c r="G1267" s="2">
        <v>9</v>
      </c>
      <c r="H1267" s="2">
        <v>209.1</v>
      </c>
      <c r="I1267" s="2">
        <v>3936</v>
      </c>
      <c r="J1267" s="2" t="s">
        <v>46</v>
      </c>
      <c r="K1267" s="2">
        <v>7</v>
      </c>
      <c r="L1267" s="2" t="s">
        <v>3056</v>
      </c>
      <c r="Q1267" s="4" t="str">
        <f ca="1">IFERROR(__xludf.DUMMYFUNCTION("TRIM(SUBSTITUTE(SUBSTITUTE(D1267, index(SPLIT(D1267, "" ""), COLUMNS(SPLIT(D1267, "" ""))), """"), index(SPLIT(D1267, "" ""), COLUMNS(SPLIT(D1267, "" ""))-1), """"))"),"Виноградська")</f>
        <v>Виноградська</v>
      </c>
    </row>
    <row r="1268" spans="1:17" ht="50.5">
      <c r="A1268" s="2"/>
      <c r="B1268" s="2" t="s">
        <v>3046</v>
      </c>
      <c r="C1268" s="2" t="s">
        <v>3047</v>
      </c>
      <c r="D1268" s="2" t="s">
        <v>3057</v>
      </c>
      <c r="E1268" s="2"/>
      <c r="F1268" s="2" t="s">
        <v>28</v>
      </c>
      <c r="G1268" s="2">
        <v>14</v>
      </c>
      <c r="H1268" s="2">
        <v>306.7</v>
      </c>
      <c r="I1268" s="2">
        <v>5830</v>
      </c>
      <c r="J1268" s="2" t="s">
        <v>249</v>
      </c>
      <c r="K1268" s="2">
        <v>10</v>
      </c>
      <c r="L1268" s="2" t="s">
        <v>3058</v>
      </c>
      <c r="Q1268" s="4" t="str">
        <f ca="1">IFERROR(__xludf.DUMMYFUNCTION("TRIM(SUBSTITUTE(SUBSTITUTE(D1268, index(SPLIT(D1268, "" ""), COLUMNS(SPLIT(D1268, "" ""))), """"), index(SPLIT(D1268, "" ""), COLUMNS(SPLIT(D1268, "" ""))-1), """"))"),"Водяницька")</f>
        <v>Водяницька</v>
      </c>
    </row>
    <row r="1269" spans="1:17" ht="38">
      <c r="A1269" s="2"/>
      <c r="B1269" s="2" t="s">
        <v>3046</v>
      </c>
      <c r="C1269" s="2" t="s">
        <v>3047</v>
      </c>
      <c r="D1269" s="2" t="s">
        <v>622</v>
      </c>
      <c r="E1269" s="2"/>
      <c r="F1269" s="2" t="s">
        <v>32</v>
      </c>
      <c r="G1269" s="2">
        <v>17</v>
      </c>
      <c r="H1269" s="2">
        <v>286.89999999999998</v>
      </c>
      <c r="I1269" s="2">
        <v>9145</v>
      </c>
      <c r="J1269" s="2" t="s">
        <v>249</v>
      </c>
      <c r="K1269" s="2">
        <v>7</v>
      </c>
      <c r="L1269" s="2" t="s">
        <v>3059</v>
      </c>
      <c r="Q1269" s="4" t="str">
        <f ca="1">IFERROR(__xludf.DUMMYFUNCTION("TRIM(SUBSTITUTE(SUBSTITUTE(D1269, index(SPLIT(D1269, "" ""), COLUMNS(SPLIT(D1269, "" ""))), """"), index(SPLIT(D1269, "" ""), COLUMNS(SPLIT(D1269, "" ""))-1), """"))"),"Вільшанська")</f>
        <v>Вільшанська</v>
      </c>
    </row>
    <row r="1270" spans="1:17" ht="50.5">
      <c r="A1270" s="2"/>
      <c r="B1270" s="2" t="s">
        <v>3046</v>
      </c>
      <c r="C1270" s="2" t="s">
        <v>3047</v>
      </c>
      <c r="D1270" s="2" t="s">
        <v>3060</v>
      </c>
      <c r="E1270" s="2"/>
      <c r="F1270" s="2" t="s">
        <v>20</v>
      </c>
      <c r="G1270" s="2">
        <v>16</v>
      </c>
      <c r="H1270" s="2">
        <v>492.9</v>
      </c>
      <c r="I1270" s="2">
        <v>27434</v>
      </c>
      <c r="J1270" s="2" t="s">
        <v>3061</v>
      </c>
      <c r="K1270" s="2">
        <v>11</v>
      </c>
      <c r="L1270" s="2" t="s">
        <v>3062</v>
      </c>
      <c r="Q1270" s="4" t="str">
        <f ca="1">IFERROR(__xludf.DUMMYFUNCTION("TRIM(SUBSTITUTE(SUBSTITUTE(D1270, index(SPLIT(D1270, "" ""), COLUMNS(SPLIT(D1270, "" ""))), """"), index(SPLIT(D1270, "" ""), COLUMNS(SPLIT(D1270, "" ""))-1), """"))"),"Звенигородська")</f>
        <v>Звенигородська</v>
      </c>
    </row>
    <row r="1271" spans="1:17" ht="75.5">
      <c r="A1271" s="2"/>
      <c r="B1271" s="2" t="s">
        <v>3046</v>
      </c>
      <c r="C1271" s="2" t="s">
        <v>3047</v>
      </c>
      <c r="D1271" s="2" t="s">
        <v>3063</v>
      </c>
      <c r="E1271" s="2"/>
      <c r="F1271" s="2" t="s">
        <v>32</v>
      </c>
      <c r="G1271" s="2">
        <v>21</v>
      </c>
      <c r="H1271" s="2">
        <v>441.8</v>
      </c>
      <c r="I1271" s="2">
        <v>12989</v>
      </c>
      <c r="J1271" s="2" t="s">
        <v>3064</v>
      </c>
      <c r="K1271" s="2">
        <v>16</v>
      </c>
      <c r="L1271" s="2" t="s">
        <v>3065</v>
      </c>
      <c r="Q1271" s="4" t="str">
        <f ca="1">IFERROR(__xludf.DUMMYFUNCTION("TRIM(SUBSTITUTE(SUBSTITUTE(D1271, index(SPLIT(D1271, "" ""), COLUMNS(SPLIT(D1271, "" ""))), """"), index(SPLIT(D1271, "" ""), COLUMNS(SPLIT(D1271, "" ""))-1), """"))"),"Катеринопільська")</f>
        <v>Катеринопільська</v>
      </c>
    </row>
    <row r="1272" spans="1:17" ht="38">
      <c r="A1272" s="2"/>
      <c r="B1272" s="2" t="s">
        <v>3046</v>
      </c>
      <c r="C1272" s="2" t="s">
        <v>3047</v>
      </c>
      <c r="D1272" s="2" t="s">
        <v>3066</v>
      </c>
      <c r="E1272" s="2"/>
      <c r="F1272" s="2" t="s">
        <v>28</v>
      </c>
      <c r="G1272" s="2">
        <v>13</v>
      </c>
      <c r="H1272" s="2">
        <v>216.4</v>
      </c>
      <c r="I1272" s="2">
        <v>3148</v>
      </c>
      <c r="J1272" s="2" t="s">
        <v>249</v>
      </c>
      <c r="K1272" s="2">
        <v>7</v>
      </c>
      <c r="L1272" s="2" t="s">
        <v>3067</v>
      </c>
      <c r="Q1272" s="4" t="str">
        <f ca="1">IFERROR(__xludf.DUMMYFUNCTION("TRIM(SUBSTITUTE(SUBSTITUTE(D1272, index(SPLIT(D1272, "" ""), COLUMNS(SPLIT(D1272, "" ""))), """"), index(SPLIT(D1272, "" ""), COLUMNS(SPLIT(D1272, "" ""))-1), """"))"),"Лип'янська")</f>
        <v>Лип'янська</v>
      </c>
    </row>
    <row r="1273" spans="1:17" ht="63">
      <c r="A1273" s="2"/>
      <c r="B1273" s="2" t="s">
        <v>3046</v>
      </c>
      <c r="C1273" s="2" t="s">
        <v>3047</v>
      </c>
      <c r="D1273" s="2" t="s">
        <v>3068</v>
      </c>
      <c r="E1273" s="2"/>
      <c r="F1273" s="2" t="s">
        <v>32</v>
      </c>
      <c r="G1273" s="2">
        <v>20</v>
      </c>
      <c r="H1273" s="2">
        <v>374.8</v>
      </c>
      <c r="I1273" s="2">
        <v>13899</v>
      </c>
      <c r="J1273" s="2" t="s">
        <v>249</v>
      </c>
      <c r="K1273" s="2">
        <v>14</v>
      </c>
      <c r="L1273" s="2" t="s">
        <v>3069</v>
      </c>
      <c r="Q1273" s="4" t="str">
        <f ca="1">IFERROR(__xludf.DUMMYFUNCTION("TRIM(SUBSTITUTE(SUBSTITUTE(D1273, index(SPLIT(D1273, "" ""), COLUMNS(SPLIT(D1273, "" ""))), """"), index(SPLIT(D1273, "" ""), COLUMNS(SPLIT(D1273, "" ""))-1), """"))"),"Лисянська")</f>
        <v>Лисянська</v>
      </c>
    </row>
    <row r="1274" spans="1:17" ht="38">
      <c r="A1274" s="2"/>
      <c r="B1274" s="2" t="s">
        <v>3046</v>
      </c>
      <c r="C1274" s="2" t="s">
        <v>3047</v>
      </c>
      <c r="D1274" s="2" t="s">
        <v>3070</v>
      </c>
      <c r="E1274" s="2"/>
      <c r="F1274" s="2" t="s">
        <v>28</v>
      </c>
      <c r="G1274" s="2">
        <v>2</v>
      </c>
      <c r="H1274" s="2">
        <v>104.9</v>
      </c>
      <c r="I1274" s="2">
        <v>3790</v>
      </c>
      <c r="J1274" s="2" t="s">
        <v>39</v>
      </c>
      <c r="K1274" s="2">
        <v>2</v>
      </c>
      <c r="L1274" s="2" t="s">
        <v>3071</v>
      </c>
      <c r="Q1274" s="4" t="str">
        <f ca="1">IFERROR(__xludf.DUMMYFUNCTION("TRIM(SUBSTITUTE(SUBSTITUTE(D1274, index(SPLIT(D1274, "" ""), COLUMNS(SPLIT(D1274, "" ""))), """"), index(SPLIT(D1274, "" ""), COLUMNS(SPLIT(D1274, "" ""))-1), """"))"),"Матусівська")</f>
        <v>Матусівська</v>
      </c>
    </row>
    <row r="1275" spans="1:17" ht="50.5">
      <c r="A1275" s="2"/>
      <c r="B1275" s="2" t="s">
        <v>3046</v>
      </c>
      <c r="C1275" s="2" t="s">
        <v>3047</v>
      </c>
      <c r="D1275" s="2" t="s">
        <v>3072</v>
      </c>
      <c r="E1275" s="2"/>
      <c r="F1275" s="2" t="s">
        <v>28</v>
      </c>
      <c r="G1275" s="2">
        <v>9</v>
      </c>
      <c r="H1275" s="2">
        <v>178</v>
      </c>
      <c r="I1275" s="2">
        <v>4838</v>
      </c>
      <c r="J1275" s="2" t="s">
        <v>143</v>
      </c>
      <c r="K1275" s="2">
        <v>6</v>
      </c>
      <c r="L1275" s="2" t="s">
        <v>3073</v>
      </c>
      <c r="Q1275" s="4" t="str">
        <f ca="1">IFERROR(__xludf.DUMMYFUNCTION("TRIM(SUBSTITUTE(SUBSTITUTE(D1275, index(SPLIT(D1275, "" ""), COLUMNS(SPLIT(D1275, "" ""))), """"), index(SPLIT(D1275, "" ""), COLUMNS(SPLIT(D1275, "" ""))-1), """"))"),"Мокрокалигірська")</f>
        <v>Мокрокалигірська</v>
      </c>
    </row>
    <row r="1276" spans="1:17" ht="38">
      <c r="A1276" s="2"/>
      <c r="B1276" s="2" t="s">
        <v>3046</v>
      </c>
      <c r="C1276" s="2" t="s">
        <v>3047</v>
      </c>
      <c r="D1276" s="2" t="s">
        <v>3074</v>
      </c>
      <c r="E1276" s="2"/>
      <c r="F1276" s="2" t="s">
        <v>28</v>
      </c>
      <c r="G1276" s="2">
        <v>16</v>
      </c>
      <c r="H1276" s="2">
        <v>267.39999999999998</v>
      </c>
      <c r="I1276" s="2">
        <v>6415</v>
      </c>
      <c r="J1276" s="2" t="s">
        <v>63</v>
      </c>
      <c r="K1276" s="2">
        <v>8</v>
      </c>
      <c r="L1276" s="2" t="s">
        <v>3075</v>
      </c>
      <c r="Q1276" s="4" t="str">
        <f ca="1">IFERROR(__xludf.DUMMYFUNCTION("TRIM(SUBSTITUTE(SUBSTITUTE(D1276, index(SPLIT(D1276, "" ""), COLUMNS(SPLIT(D1276, "" ""))), """"), index(SPLIT(D1276, "" ""), COLUMNS(SPLIT(D1276, "" ""))-1), """"))"),"Селищенська")</f>
        <v>Селищенська</v>
      </c>
    </row>
    <row r="1277" spans="1:17" ht="38">
      <c r="A1277" s="2"/>
      <c r="B1277" s="2" t="s">
        <v>3046</v>
      </c>
      <c r="C1277" s="2" t="s">
        <v>3047</v>
      </c>
      <c r="D1277" s="2" t="s">
        <v>3076</v>
      </c>
      <c r="E1277" s="2"/>
      <c r="F1277" s="2" t="s">
        <v>32</v>
      </c>
      <c r="G1277" s="2">
        <v>16</v>
      </c>
      <c r="H1277" s="2">
        <v>260.8</v>
      </c>
      <c r="I1277" s="2">
        <v>7261</v>
      </c>
      <c r="J1277" s="2" t="s">
        <v>33</v>
      </c>
      <c r="K1277" s="2">
        <v>6</v>
      </c>
      <c r="L1277" s="2" t="s">
        <v>3077</v>
      </c>
      <c r="Q1277" s="4" t="str">
        <f ca="1">IFERROR(__xludf.DUMMYFUNCTION("TRIM(SUBSTITUTE(SUBSTITUTE(D1277, index(SPLIT(D1277, "" ""), COLUMNS(SPLIT(D1277, "" ""))), """"), index(SPLIT(D1277, "" ""), COLUMNS(SPLIT(D1277, "" ""))-1), """"))"),"Стеблівська")</f>
        <v>Стеблівська</v>
      </c>
    </row>
    <row r="1278" spans="1:17" ht="125.5">
      <c r="A1278" s="2"/>
      <c r="B1278" s="2" t="s">
        <v>3046</v>
      </c>
      <c r="C1278" s="2" t="s">
        <v>3047</v>
      </c>
      <c r="D1278" s="2" t="s">
        <v>3078</v>
      </c>
      <c r="E1278" s="2"/>
      <c r="F1278" s="2" t="s">
        <v>20</v>
      </c>
      <c r="G1278" s="2">
        <v>43</v>
      </c>
      <c r="H1278" s="2">
        <v>916.6</v>
      </c>
      <c r="I1278" s="2">
        <v>31217</v>
      </c>
      <c r="J1278" s="2" t="s">
        <v>33</v>
      </c>
      <c r="K1278" s="2">
        <v>28</v>
      </c>
      <c r="L1278" s="2" t="s">
        <v>3079</v>
      </c>
      <c r="Q1278" s="4" t="str">
        <f ca="1">IFERROR(__xludf.DUMMYFUNCTION("TRIM(SUBSTITUTE(SUBSTITUTE(D1278, index(SPLIT(D1278, "" ""), COLUMNS(SPLIT(D1278, "" ""))), """"), index(SPLIT(D1278, "" ""), COLUMNS(SPLIT(D1278, "" ""))-1), """"))"),"Тальнівська")</f>
        <v>Тальнівська</v>
      </c>
    </row>
    <row r="1279" spans="1:17" ht="50.5">
      <c r="A1279" s="2"/>
      <c r="B1279" s="2" t="s">
        <v>3046</v>
      </c>
      <c r="C1279" s="2" t="s">
        <v>3047</v>
      </c>
      <c r="D1279" s="2" t="s">
        <v>1880</v>
      </c>
      <c r="E1279" s="2"/>
      <c r="F1279" s="2" t="s">
        <v>28</v>
      </c>
      <c r="G1279" s="2">
        <v>9</v>
      </c>
      <c r="H1279" s="2">
        <v>140.1</v>
      </c>
      <c r="I1279" s="2">
        <v>4642</v>
      </c>
      <c r="J1279" s="2" t="s">
        <v>249</v>
      </c>
      <c r="K1279" s="2">
        <v>5</v>
      </c>
      <c r="L1279" s="2" t="s">
        <v>3080</v>
      </c>
      <c r="Q1279" s="4" t="str">
        <f ca="1">IFERROR(__xludf.DUMMYFUNCTION("TRIM(SUBSTITUTE(SUBSTITUTE(D1279, index(SPLIT(D1279, "" ""), COLUMNS(SPLIT(D1279, "" ""))), """"), index(SPLIT(D1279, "" ""), COLUMNS(SPLIT(D1279, "" ""))-1), """"))"),"Шевченківська")</f>
        <v>Шевченківська</v>
      </c>
    </row>
    <row r="1280" spans="1:17" ht="88">
      <c r="A1280" s="2"/>
      <c r="B1280" s="2" t="s">
        <v>3046</v>
      </c>
      <c r="C1280" s="2" t="s">
        <v>3047</v>
      </c>
      <c r="D1280" s="2" t="s">
        <v>3081</v>
      </c>
      <c r="E1280" s="2"/>
      <c r="F1280" s="2" t="s">
        <v>20</v>
      </c>
      <c r="G1280" s="2">
        <v>22</v>
      </c>
      <c r="H1280" s="2">
        <v>782.3</v>
      </c>
      <c r="I1280" s="2">
        <v>33707</v>
      </c>
      <c r="J1280" s="2" t="s">
        <v>63</v>
      </c>
      <c r="K1280" s="2">
        <v>19</v>
      </c>
      <c r="L1280" s="2" t="s">
        <v>3082</v>
      </c>
      <c r="Q1280" s="4" t="str">
        <f ca="1">IFERROR(__xludf.DUMMYFUNCTION("TRIM(SUBSTITUTE(SUBSTITUTE(D1280, index(SPLIT(D1280, "" ""), COLUMNS(SPLIT(D1280, "" ""))), """"), index(SPLIT(D1280, "" ""), COLUMNS(SPLIT(D1280, "" ""))-1), """"))"),"Шполянська")</f>
        <v>Шполянська</v>
      </c>
    </row>
    <row r="1281" spans="1:17" ht="75.5">
      <c r="A1281" s="2"/>
      <c r="B1281" s="2" t="s">
        <v>3046</v>
      </c>
      <c r="C1281" s="2" t="s">
        <v>3083</v>
      </c>
      <c r="D1281" s="2" t="s">
        <v>3084</v>
      </c>
      <c r="E1281" s="2"/>
      <c r="F1281" s="2" t="s">
        <v>28</v>
      </c>
      <c r="G1281" s="2">
        <v>26</v>
      </c>
      <c r="H1281" s="2">
        <v>939.8</v>
      </c>
      <c r="I1281" s="2">
        <v>18395</v>
      </c>
      <c r="J1281" s="2" t="s">
        <v>39</v>
      </c>
      <c r="K1281" s="2">
        <v>16</v>
      </c>
      <c r="L1281" s="2" t="s">
        <v>3085</v>
      </c>
      <c r="Q1281" s="4" t="str">
        <f ca="1">IFERROR(__xludf.DUMMYFUNCTION("TRIM(SUBSTITUTE(SUBSTITUTE(D1281, index(SPLIT(D1281, "" ""), COLUMNS(SPLIT(D1281, "" ""))), """"), index(SPLIT(D1281, "" ""), COLUMNS(SPLIT(D1281, "" ""))-1), """"))"),"Іркліївська")</f>
        <v>Іркліївська</v>
      </c>
    </row>
    <row r="1282" spans="1:17" ht="50.5">
      <c r="A1282" s="2"/>
      <c r="B1282" s="2" t="s">
        <v>3046</v>
      </c>
      <c r="C1282" s="2" t="s">
        <v>3083</v>
      </c>
      <c r="D1282" s="2" t="s">
        <v>3086</v>
      </c>
      <c r="E1282" s="2"/>
      <c r="F1282" s="2" t="s">
        <v>28</v>
      </c>
      <c r="G1282" s="2">
        <v>5</v>
      </c>
      <c r="H1282" s="2">
        <v>150.6</v>
      </c>
      <c r="I1282" s="2">
        <v>3161</v>
      </c>
      <c r="J1282" s="2" t="s">
        <v>249</v>
      </c>
      <c r="K1282" s="2">
        <v>4</v>
      </c>
      <c r="L1282" s="2" t="s">
        <v>3087</v>
      </c>
      <c r="Q1282" s="4" t="str">
        <f ca="1">IFERROR(__xludf.DUMMYFUNCTION("TRIM(SUBSTITUTE(SUBSTITUTE(D1282, index(SPLIT(D1282, "" ""), COLUMNS(SPLIT(D1282, "" ""))), """"), index(SPLIT(D1282, "" ""), COLUMNS(SPLIT(D1282, "" ""))-1), """"))"),"Великохутірська")</f>
        <v>Великохутірська</v>
      </c>
    </row>
    <row r="1283" spans="1:17" ht="50.5">
      <c r="A1283" s="2"/>
      <c r="B1283" s="2" t="s">
        <v>3046</v>
      </c>
      <c r="C1283" s="2" t="s">
        <v>3083</v>
      </c>
      <c r="D1283" s="2" t="s">
        <v>1824</v>
      </c>
      <c r="E1283" s="2"/>
      <c r="F1283" s="2" t="s">
        <v>28</v>
      </c>
      <c r="G1283" s="2">
        <v>8</v>
      </c>
      <c r="H1283" s="2">
        <v>107.1</v>
      </c>
      <c r="I1283" s="2">
        <v>5024</v>
      </c>
      <c r="J1283" s="2" t="s">
        <v>3088</v>
      </c>
      <c r="K1283" s="2">
        <v>4</v>
      </c>
      <c r="L1283" s="2" t="s">
        <v>3089</v>
      </c>
      <c r="Q1283" s="4" t="str">
        <f ca="1">IFERROR(__xludf.DUMMYFUNCTION("TRIM(SUBSTITUTE(SUBSTITUTE(D1283, index(SPLIT(D1283, "" ""), COLUMNS(SPLIT(D1283, "" ""))), """"), index(SPLIT(D1283, "" ""), COLUMNS(SPLIT(D1283, "" ""))-1), """"))"),"Вознесенська")</f>
        <v>Вознесенська</v>
      </c>
    </row>
    <row r="1284" spans="1:17" ht="50.5">
      <c r="A1284" s="2"/>
      <c r="B1284" s="2" t="s">
        <v>3046</v>
      </c>
      <c r="C1284" s="2" t="s">
        <v>3083</v>
      </c>
      <c r="D1284" s="2" t="s">
        <v>3090</v>
      </c>
      <c r="E1284" s="2"/>
      <c r="F1284" s="2" t="s">
        <v>28</v>
      </c>
      <c r="G1284" s="2">
        <v>12</v>
      </c>
      <c r="H1284" s="2">
        <v>305.10000000000002</v>
      </c>
      <c r="I1284" s="2">
        <v>8167</v>
      </c>
      <c r="J1284" s="2" t="s">
        <v>3091</v>
      </c>
      <c r="K1284" s="2">
        <v>9</v>
      </c>
      <c r="L1284" s="2" t="s">
        <v>3092</v>
      </c>
      <c r="Q1284" s="4" t="str">
        <f ca="1">IFERROR(__xludf.DUMMYFUNCTION("TRIM(SUBSTITUTE(SUBSTITUTE(D1284, index(SPLIT(D1284, "" ""), COLUMNS(SPLIT(D1284, "" ""))), """"), index(SPLIT(D1284, "" ""), COLUMNS(SPLIT(D1284, "" ""))-1), """"))"),"Гельмязівська")</f>
        <v>Гельмязівська</v>
      </c>
    </row>
    <row r="1285" spans="1:17" ht="63">
      <c r="A1285" s="2"/>
      <c r="B1285" s="2" t="s">
        <v>3046</v>
      </c>
      <c r="C1285" s="2" t="s">
        <v>3083</v>
      </c>
      <c r="D1285" s="2" t="s">
        <v>3093</v>
      </c>
      <c r="E1285" s="2"/>
      <c r="F1285" s="2" t="s">
        <v>32</v>
      </c>
      <c r="G1285" s="2">
        <v>18</v>
      </c>
      <c r="H1285" s="2">
        <v>471.6</v>
      </c>
      <c r="I1285" s="2">
        <v>15815</v>
      </c>
      <c r="J1285" s="2" t="s">
        <v>46</v>
      </c>
      <c r="K1285" s="2">
        <v>12</v>
      </c>
      <c r="L1285" s="2" t="s">
        <v>3094</v>
      </c>
      <c r="Q1285" s="4" t="str">
        <f ca="1">IFERROR(__xludf.DUMMYFUNCTION("TRIM(SUBSTITUTE(SUBSTITUTE(D1285, index(SPLIT(D1285, "" ""), COLUMNS(SPLIT(D1285, "" ""))), """"), index(SPLIT(D1285, "" ""), COLUMNS(SPLIT(D1285, "" ""))-1), """"))"),"Драбівська")</f>
        <v>Драбівська</v>
      </c>
    </row>
    <row r="1286" spans="1:17" ht="38">
      <c r="A1286" s="2"/>
      <c r="B1286" s="2" t="s">
        <v>3046</v>
      </c>
      <c r="C1286" s="2" t="s">
        <v>3083</v>
      </c>
      <c r="D1286" s="2" t="s">
        <v>3095</v>
      </c>
      <c r="E1286" s="2"/>
      <c r="F1286" s="2" t="s">
        <v>20</v>
      </c>
      <c r="G1286" s="2">
        <v>15</v>
      </c>
      <c r="H1286" s="2">
        <v>410</v>
      </c>
      <c r="I1286" s="2">
        <v>35339</v>
      </c>
      <c r="J1286" s="2" t="s">
        <v>3096</v>
      </c>
      <c r="K1286" s="2">
        <v>6</v>
      </c>
      <c r="L1286" s="2" t="s">
        <v>3097</v>
      </c>
      <c r="Q1286" s="4" t="str">
        <f ca="1">IFERROR(__xludf.DUMMYFUNCTION("TRIM(SUBSTITUTE(SUBSTITUTE(D1286, index(SPLIT(D1286, "" ""), COLUMNS(SPLIT(D1286, "" ""))), """"), index(SPLIT(D1286, "" ""), COLUMNS(SPLIT(D1286, "" ""))-1), """"))"),"Золотоніська")</f>
        <v>Золотоніська</v>
      </c>
    </row>
    <row r="1287" spans="1:17" ht="38">
      <c r="A1287" s="2"/>
      <c r="B1287" s="2" t="s">
        <v>3046</v>
      </c>
      <c r="C1287" s="2" t="s">
        <v>3083</v>
      </c>
      <c r="D1287" s="2" t="s">
        <v>3098</v>
      </c>
      <c r="E1287" s="2"/>
      <c r="F1287" s="2" t="s">
        <v>28</v>
      </c>
      <c r="G1287" s="2">
        <v>9</v>
      </c>
      <c r="H1287" s="2">
        <v>173.8</v>
      </c>
      <c r="I1287" s="2">
        <v>3697</v>
      </c>
      <c r="J1287" s="2" t="s">
        <v>39</v>
      </c>
      <c r="K1287" s="2">
        <v>6</v>
      </c>
      <c r="L1287" s="2" t="s">
        <v>3099</v>
      </c>
      <c r="Q1287" s="4" t="str">
        <f ca="1">IFERROR(__xludf.DUMMYFUNCTION("TRIM(SUBSTITUTE(SUBSTITUTE(D1287, index(SPLIT(D1287, "" ""), COLUMNS(SPLIT(D1287, "" ""))), """"), index(SPLIT(D1287, "" ""), COLUMNS(SPLIT(D1287, "" ""))-1), """"))"),"Зорівська")</f>
        <v>Зорівська</v>
      </c>
    </row>
    <row r="1288" spans="1:17" ht="50.5">
      <c r="A1288" s="2"/>
      <c r="B1288" s="2" t="s">
        <v>3046</v>
      </c>
      <c r="C1288" s="2" t="s">
        <v>3083</v>
      </c>
      <c r="D1288" s="2" t="s">
        <v>3100</v>
      </c>
      <c r="E1288" s="2"/>
      <c r="F1288" s="2" t="s">
        <v>28</v>
      </c>
      <c r="G1288" s="2">
        <v>18</v>
      </c>
      <c r="H1288" s="2">
        <v>388.9</v>
      </c>
      <c r="I1288" s="2">
        <v>10032</v>
      </c>
      <c r="J1288" s="2" t="s">
        <v>3101</v>
      </c>
      <c r="K1288" s="2">
        <v>9</v>
      </c>
      <c r="L1288" s="2" t="s">
        <v>3102</v>
      </c>
      <c r="Q1288" s="4" t="str">
        <f ca="1">IFERROR(__xludf.DUMMYFUNCTION("TRIM(SUBSTITUTE(SUBSTITUTE(D1288, index(SPLIT(D1288, "" ""), COLUMNS(SPLIT(D1288, "" ""))), """"), index(SPLIT(D1288, "" ""), COLUMNS(SPLIT(D1288, "" ""))-1), """"))"),"Новодмитрівська")</f>
        <v>Новодмитрівська</v>
      </c>
    </row>
    <row r="1289" spans="1:17" ht="38">
      <c r="A1289" s="2"/>
      <c r="B1289" s="2" t="s">
        <v>3046</v>
      </c>
      <c r="C1289" s="2" t="s">
        <v>3083</v>
      </c>
      <c r="D1289" s="2" t="s">
        <v>140</v>
      </c>
      <c r="E1289" s="2"/>
      <c r="F1289" s="2" t="s">
        <v>28</v>
      </c>
      <c r="G1289" s="2">
        <v>8</v>
      </c>
      <c r="H1289" s="2">
        <v>239.5</v>
      </c>
      <c r="I1289" s="2">
        <v>6722</v>
      </c>
      <c r="J1289" s="2" t="s">
        <v>3103</v>
      </c>
      <c r="K1289" s="2">
        <v>5</v>
      </c>
      <c r="L1289" s="2" t="s">
        <v>3104</v>
      </c>
      <c r="Q1289" s="4" t="str">
        <f ca="1">IFERROR(__xludf.DUMMYFUNCTION("TRIM(SUBSTITUTE(SUBSTITUTE(D1289, index(SPLIT(D1289, "" ""), COLUMNS(SPLIT(D1289, "" ""))), """"), index(SPLIT(D1289, "" ""), COLUMNS(SPLIT(D1289, "" ""))-1), """"))"),"Піщанська")</f>
        <v>Піщанська</v>
      </c>
    </row>
    <row r="1290" spans="1:17" ht="63">
      <c r="A1290" s="2"/>
      <c r="B1290" s="2" t="s">
        <v>3046</v>
      </c>
      <c r="C1290" s="2" t="s">
        <v>3083</v>
      </c>
      <c r="D1290" s="2" t="s">
        <v>2904</v>
      </c>
      <c r="E1290" s="2"/>
      <c r="F1290" s="2" t="s">
        <v>32</v>
      </c>
      <c r="G1290" s="2">
        <v>26</v>
      </c>
      <c r="H1290" s="2">
        <v>639.9</v>
      </c>
      <c r="I1290" s="2">
        <v>20269</v>
      </c>
      <c r="J1290" s="2" t="s">
        <v>3105</v>
      </c>
      <c r="K1290" s="2">
        <v>14</v>
      </c>
      <c r="L1290" s="2" t="s">
        <v>3106</v>
      </c>
      <c r="Q1290" s="4" t="str">
        <f ca="1">IFERROR(__xludf.DUMMYFUNCTION("TRIM(SUBSTITUTE(SUBSTITUTE(D1290, index(SPLIT(D1290, "" ""), COLUMNS(SPLIT(D1290, "" ""))), """"), index(SPLIT(D1290, "" ""), COLUMNS(SPLIT(D1290, "" ""))-1), """"))"),"Чорнобаївська")</f>
        <v>Чорнобаївська</v>
      </c>
    </row>
    <row r="1291" spans="1:17" ht="63">
      <c r="A1291" s="2"/>
      <c r="B1291" s="2" t="s">
        <v>3046</v>
      </c>
      <c r="C1291" s="2" t="s">
        <v>3083</v>
      </c>
      <c r="D1291" s="2" t="s">
        <v>3107</v>
      </c>
      <c r="E1291" s="2"/>
      <c r="F1291" s="2" t="s">
        <v>28</v>
      </c>
      <c r="G1291" s="2">
        <v>23</v>
      </c>
      <c r="H1291" s="2">
        <v>419.8</v>
      </c>
      <c r="I1291" s="2">
        <v>11415</v>
      </c>
      <c r="J1291" s="2" t="s">
        <v>3108</v>
      </c>
      <c r="K1291" s="2">
        <v>13</v>
      </c>
      <c r="L1291" s="2" t="s">
        <v>3109</v>
      </c>
      <c r="Q1291" s="4" t="str">
        <f ca="1">IFERROR(__xludf.DUMMYFUNCTION("TRIM(SUBSTITUTE(SUBSTITUTE(D1291, index(SPLIT(D1291, "" ""), COLUMNS(SPLIT(D1291, "" ""))), """"), index(SPLIT(D1291, "" ""), COLUMNS(SPLIT(D1291, "" ""))-1), """"))"),"Шрамківська")</f>
        <v>Шрамківська</v>
      </c>
    </row>
    <row r="1292" spans="1:17" ht="38">
      <c r="A1292" s="2"/>
      <c r="B1292" s="2" t="s">
        <v>3046</v>
      </c>
      <c r="C1292" s="2" t="s">
        <v>3110</v>
      </c>
      <c r="D1292" s="2" t="s">
        <v>3111</v>
      </c>
      <c r="E1292" s="2"/>
      <c r="F1292" s="2" t="s">
        <v>28</v>
      </c>
      <c r="G1292" s="2">
        <v>6</v>
      </c>
      <c r="H1292" s="2">
        <v>154.69999999999999</v>
      </c>
      <c r="I1292" s="2">
        <v>4310</v>
      </c>
      <c r="J1292" s="2" t="s">
        <v>39</v>
      </c>
      <c r="K1292" s="2">
        <v>3</v>
      </c>
      <c r="L1292" s="2" t="s">
        <v>3112</v>
      </c>
      <c r="Q1292" s="4" t="str">
        <f ca="1">IFERROR(__xludf.DUMMYFUNCTION("TRIM(SUBSTITUTE(SUBSTITUTE(D1292, index(SPLIT(D1292, "" ""), COLUMNS(SPLIT(D1292, "" ""))), """"), index(SPLIT(D1292, "" ""), COLUMNS(SPLIT(D1292, "" ""))-1), """"))"),"Іваньківська")</f>
        <v>Іваньківська</v>
      </c>
    </row>
    <row r="1293" spans="1:17" ht="50.5">
      <c r="A1293" s="2"/>
      <c r="B1293" s="2" t="s">
        <v>3046</v>
      </c>
      <c r="C1293" s="2" t="s">
        <v>3110</v>
      </c>
      <c r="D1293" s="2" t="s">
        <v>3113</v>
      </c>
      <c r="E1293" s="2"/>
      <c r="F1293" s="2" t="s">
        <v>32</v>
      </c>
      <c r="G1293" s="2">
        <v>12</v>
      </c>
      <c r="H1293" s="2">
        <v>275.10000000000002</v>
      </c>
      <c r="I1293" s="2">
        <v>6566</v>
      </c>
      <c r="J1293" s="2" t="s">
        <v>3114</v>
      </c>
      <c r="K1293" s="2">
        <v>12</v>
      </c>
      <c r="L1293" s="2" t="s">
        <v>3115</v>
      </c>
      <c r="Q1293" s="4" t="str">
        <f ca="1">IFERROR(__xludf.DUMMYFUNCTION("TRIM(SUBSTITUTE(SUBSTITUTE(D1293, index(SPLIT(D1293, "" ""), COLUMNS(SPLIT(D1293, "" ""))), """"), index(SPLIT(D1293, "" ""), COLUMNS(SPLIT(D1293, "" ""))-1), """"))"),"Бабанська")</f>
        <v>Бабанська</v>
      </c>
    </row>
    <row r="1294" spans="1:17" ht="50.5">
      <c r="A1294" s="2"/>
      <c r="B1294" s="2" t="s">
        <v>3046</v>
      </c>
      <c r="C1294" s="2" t="s">
        <v>3110</v>
      </c>
      <c r="D1294" s="2" t="s">
        <v>3116</v>
      </c>
      <c r="E1294" s="2"/>
      <c r="F1294" s="2" t="s">
        <v>28</v>
      </c>
      <c r="G1294" s="2">
        <v>8</v>
      </c>
      <c r="H1294" s="2">
        <v>179.4</v>
      </c>
      <c r="I1294" s="2">
        <v>4026</v>
      </c>
      <c r="J1294" s="2" t="s">
        <v>46</v>
      </c>
      <c r="K1294" s="2">
        <v>6</v>
      </c>
      <c r="L1294" s="2" t="s">
        <v>3117</v>
      </c>
      <c r="Q1294" s="4" t="str">
        <f ca="1">IFERROR(__xludf.DUMMYFUNCTION("TRIM(SUBSTITUTE(SUBSTITUTE(D1294, index(SPLIT(D1294, "" ""), COLUMNS(SPLIT(D1294, "" ""))), """"), index(SPLIT(D1294, "" ""), COLUMNS(SPLIT(D1294, "" ""))-1), """"))"),"Баштечківська")</f>
        <v>Баштечківська</v>
      </c>
    </row>
    <row r="1295" spans="1:17" ht="38">
      <c r="A1295" s="2"/>
      <c r="B1295" s="2" t="s">
        <v>3046</v>
      </c>
      <c r="C1295" s="2" t="s">
        <v>3110</v>
      </c>
      <c r="D1295" s="2" t="s">
        <v>3118</v>
      </c>
      <c r="E1295" s="2"/>
      <c r="F1295" s="2" t="s">
        <v>32</v>
      </c>
      <c r="G1295" s="2">
        <v>8</v>
      </c>
      <c r="H1295" s="2">
        <v>190.1</v>
      </c>
      <c r="I1295" s="2">
        <v>5176</v>
      </c>
      <c r="J1295" s="2" t="s">
        <v>178</v>
      </c>
      <c r="K1295" s="2">
        <v>7</v>
      </c>
      <c r="L1295" s="2" t="s">
        <v>3119</v>
      </c>
      <c r="Q1295" s="4" t="str">
        <f ca="1">IFERROR(__xludf.DUMMYFUNCTION("TRIM(SUBSTITUTE(SUBSTITUTE(D1295, index(SPLIT(D1295, "" ""), COLUMNS(SPLIT(D1295, "" ""))), """"), index(SPLIT(D1295, "" ""), COLUMNS(SPLIT(D1295, "" ""))-1), """"))"),"Буцька")</f>
        <v>Буцька</v>
      </c>
    </row>
    <row r="1296" spans="1:17" ht="50.5">
      <c r="A1296" s="2"/>
      <c r="B1296" s="2" t="s">
        <v>3046</v>
      </c>
      <c r="C1296" s="2" t="s">
        <v>3110</v>
      </c>
      <c r="D1296" s="2" t="s">
        <v>3120</v>
      </c>
      <c r="E1296" s="2"/>
      <c r="F1296" s="2" t="s">
        <v>28</v>
      </c>
      <c r="G1296" s="2">
        <v>12</v>
      </c>
      <c r="H1296" s="2">
        <v>311.39999999999998</v>
      </c>
      <c r="I1296" s="2">
        <v>9535</v>
      </c>
      <c r="J1296" s="2" t="s">
        <v>249</v>
      </c>
      <c r="K1296" s="2">
        <v>11</v>
      </c>
      <c r="L1296" s="2" t="s">
        <v>3121</v>
      </c>
      <c r="Q1296" s="4" t="str">
        <f ca="1">IFERROR(__xludf.DUMMYFUNCTION("TRIM(SUBSTITUTE(SUBSTITUTE(D1296, index(SPLIT(D1296, "" ""), COLUMNS(SPLIT(D1296, "" ""))), """"), index(SPLIT(D1296, "" ""), COLUMNS(SPLIT(D1296, "" ""))-1), """"))"),"Дмитрушківська")</f>
        <v>Дмитрушківська</v>
      </c>
    </row>
    <row r="1297" spans="1:17" ht="113">
      <c r="A1297" s="2"/>
      <c r="B1297" s="2" t="s">
        <v>3046</v>
      </c>
      <c r="C1297" s="2" t="s">
        <v>3110</v>
      </c>
      <c r="D1297" s="2" t="s">
        <v>3122</v>
      </c>
      <c r="E1297" s="2"/>
      <c r="F1297" s="2" t="s">
        <v>20</v>
      </c>
      <c r="G1297" s="2">
        <v>28</v>
      </c>
      <c r="H1297" s="2">
        <v>724.9</v>
      </c>
      <c r="I1297" s="2">
        <v>28912</v>
      </c>
      <c r="J1297" s="2" t="s">
        <v>39</v>
      </c>
      <c r="K1297" s="2">
        <v>25</v>
      </c>
      <c r="L1297" s="2" t="s">
        <v>3123</v>
      </c>
      <c r="Q1297" s="4" t="str">
        <f ca="1">IFERROR(__xludf.DUMMYFUNCTION("TRIM(SUBSTITUTE(SUBSTITUTE(D1297, index(SPLIT(D1297, "" ""), COLUMNS(SPLIT(D1297, "" ""))), """"), index(SPLIT(D1297, "" ""), COLUMNS(SPLIT(D1297, "" ""))-1), """"))"),"Жашківська")</f>
        <v>Жашківська</v>
      </c>
    </row>
    <row r="1298" spans="1:17" ht="50.5">
      <c r="A1298" s="2"/>
      <c r="B1298" s="2" t="s">
        <v>3046</v>
      </c>
      <c r="C1298" s="2" t="s">
        <v>3110</v>
      </c>
      <c r="D1298" s="2" t="s">
        <v>80</v>
      </c>
      <c r="E1298" s="2"/>
      <c r="F1298" s="2" t="s">
        <v>28</v>
      </c>
      <c r="G1298" s="2">
        <v>11</v>
      </c>
      <c r="H1298" s="2">
        <v>322.3</v>
      </c>
      <c r="I1298" s="2">
        <v>10337</v>
      </c>
      <c r="J1298" s="2" t="s">
        <v>249</v>
      </c>
      <c r="K1298" s="2">
        <v>10</v>
      </c>
      <c r="L1298" s="2" t="s">
        <v>3124</v>
      </c>
      <c r="Q1298" s="4" t="str">
        <f ca="1">IFERROR(__xludf.DUMMYFUNCTION("TRIM(SUBSTITUTE(SUBSTITUTE(D1298, index(SPLIT(D1298, "" ""), COLUMNS(SPLIT(D1298, "" ""))), """"), index(SPLIT(D1298, "" ""), COLUMNS(SPLIT(D1298, "" ""))-1), """"))"),"Ладижинська")</f>
        <v>Ладижинська</v>
      </c>
    </row>
    <row r="1299" spans="1:17" ht="63">
      <c r="A1299" s="2"/>
      <c r="B1299" s="2" t="s">
        <v>3046</v>
      </c>
      <c r="C1299" s="2" t="s">
        <v>3110</v>
      </c>
      <c r="D1299" s="2" t="s">
        <v>3125</v>
      </c>
      <c r="E1299" s="2"/>
      <c r="F1299" s="2" t="s">
        <v>32</v>
      </c>
      <c r="G1299" s="2">
        <v>19</v>
      </c>
      <c r="H1299" s="2">
        <v>477.3</v>
      </c>
      <c r="I1299" s="2">
        <v>17912</v>
      </c>
      <c r="J1299" s="2" t="s">
        <v>3126</v>
      </c>
      <c r="K1299" s="2">
        <v>14</v>
      </c>
      <c r="L1299" s="2" t="s">
        <v>3127</v>
      </c>
      <c r="Q1299" s="4" t="str">
        <f ca="1">IFERROR(__xludf.DUMMYFUNCTION("TRIM(SUBSTITUTE(SUBSTITUTE(D1299, index(SPLIT(D1299, "" ""), COLUMNS(SPLIT(D1299, "" ""))), """"), index(SPLIT(D1299, "" ""), COLUMNS(SPLIT(D1299, "" ""))-1), """"))"),"Маньківська")</f>
        <v>Маньківська</v>
      </c>
    </row>
    <row r="1300" spans="1:17" ht="138">
      <c r="A1300" s="2"/>
      <c r="B1300" s="2" t="s">
        <v>3046</v>
      </c>
      <c r="C1300" s="2" t="s">
        <v>3110</v>
      </c>
      <c r="D1300" s="2" t="s">
        <v>3128</v>
      </c>
      <c r="E1300" s="2"/>
      <c r="F1300" s="2" t="s">
        <v>20</v>
      </c>
      <c r="G1300" s="2">
        <v>41</v>
      </c>
      <c r="H1300" s="2">
        <v>719.2</v>
      </c>
      <c r="I1300" s="2">
        <v>34413</v>
      </c>
      <c r="J1300" s="2" t="s">
        <v>3129</v>
      </c>
      <c r="K1300" s="2">
        <v>30</v>
      </c>
      <c r="L1300" s="2" t="s">
        <v>3130</v>
      </c>
      <c r="Q1300" s="4" t="str">
        <f ca="1">IFERROR(__xludf.DUMMYFUNCTION("TRIM(SUBSTITUTE(SUBSTITUTE(D1300, index(SPLIT(D1300, "" ""), COLUMNS(SPLIT(D1300, "" ""))), """"), index(SPLIT(D1300, "" ""), COLUMNS(SPLIT(D1300, "" ""))-1), """"))"),"Монастирищенська")</f>
        <v>Монастирищенська</v>
      </c>
    </row>
    <row r="1301" spans="1:17" ht="75.5">
      <c r="A1301" s="2"/>
      <c r="B1301" s="2" t="s">
        <v>3046</v>
      </c>
      <c r="C1301" s="2" t="s">
        <v>3110</v>
      </c>
      <c r="D1301" s="2" t="s">
        <v>3131</v>
      </c>
      <c r="E1301" s="2"/>
      <c r="F1301" s="2" t="s">
        <v>28</v>
      </c>
      <c r="G1301" s="2">
        <v>18</v>
      </c>
      <c r="H1301" s="2">
        <v>482.6</v>
      </c>
      <c r="I1301" s="2">
        <v>14789</v>
      </c>
      <c r="J1301" s="2" t="s">
        <v>39</v>
      </c>
      <c r="K1301" s="2">
        <v>17</v>
      </c>
      <c r="L1301" s="2" t="s">
        <v>3132</v>
      </c>
      <c r="Q1301" s="4" t="str">
        <f ca="1">IFERROR(__xludf.DUMMYFUNCTION("TRIM(SUBSTITUTE(SUBSTITUTE(D1301, index(SPLIT(D1301, "" ""), COLUMNS(SPLIT(D1301, "" ""))), """"), index(SPLIT(D1301, "" ""), COLUMNS(SPLIT(D1301, "" ""))-1), """"))"),"Паланська")</f>
        <v>Паланська</v>
      </c>
    </row>
    <row r="1302" spans="1:17" ht="38">
      <c r="A1302" s="2"/>
      <c r="B1302" s="2" t="s">
        <v>3046</v>
      </c>
      <c r="C1302" s="2" t="s">
        <v>3110</v>
      </c>
      <c r="D1302" s="2" t="s">
        <v>3133</v>
      </c>
      <c r="E1302" s="2"/>
      <c r="F1302" s="2" t="s">
        <v>20</v>
      </c>
      <c r="G1302" s="2">
        <v>2</v>
      </c>
      <c r="H1302" s="2">
        <v>67.2</v>
      </c>
      <c r="I1302" s="2">
        <v>83191</v>
      </c>
      <c r="J1302" s="2" t="s">
        <v>3134</v>
      </c>
      <c r="K1302" s="2">
        <v>2</v>
      </c>
      <c r="L1302" s="2" t="s">
        <v>3135</v>
      </c>
      <c r="Q1302" s="4" t="str">
        <f ca="1">IFERROR(__xludf.DUMMYFUNCTION("TRIM(SUBSTITUTE(SUBSTITUTE(D1302, index(SPLIT(D1302, "" ""), COLUMNS(SPLIT(D1302, "" ""))), """"), index(SPLIT(D1302, "" ""), COLUMNS(SPLIT(D1302, "" ""))-1), """"))"),"Уманська")</f>
        <v>Уманська</v>
      </c>
    </row>
    <row r="1303" spans="1:17" ht="100.5">
      <c r="A1303" s="2"/>
      <c r="B1303" s="2" t="s">
        <v>3046</v>
      </c>
      <c r="C1303" s="2" t="s">
        <v>3110</v>
      </c>
      <c r="D1303" s="2" t="s">
        <v>3136</v>
      </c>
      <c r="E1303" s="2"/>
      <c r="F1303" s="2" t="s">
        <v>20</v>
      </c>
      <c r="G1303" s="2">
        <v>34</v>
      </c>
      <c r="H1303" s="2">
        <v>607.4</v>
      </c>
      <c r="I1303" s="2">
        <v>32241</v>
      </c>
      <c r="J1303" s="2" t="s">
        <v>3137</v>
      </c>
      <c r="K1303" s="2">
        <v>22</v>
      </c>
      <c r="L1303" s="2" t="s">
        <v>3138</v>
      </c>
      <c r="Q1303" s="4" t="str">
        <f ca="1">IFERROR(__xludf.DUMMYFUNCTION("TRIM(SUBSTITUTE(SUBSTITUTE(D1303, index(SPLIT(D1303, "" ""), COLUMNS(SPLIT(D1303, "" ""))), """"), index(SPLIT(D1303, "" ""), COLUMNS(SPLIT(D1303, "" ""))-1), """"))"),"Христинівська")</f>
        <v>Христинівська</v>
      </c>
    </row>
    <row r="1304" spans="1:17" ht="50.5">
      <c r="A1304" s="2"/>
      <c r="B1304" s="2" t="s">
        <v>3046</v>
      </c>
      <c r="C1304" s="2" t="s">
        <v>3139</v>
      </c>
      <c r="D1304" s="2" t="s">
        <v>3140</v>
      </c>
      <c r="E1304" s="2"/>
      <c r="F1304" s="2" t="s">
        <v>28</v>
      </c>
      <c r="G1304" s="2">
        <v>6</v>
      </c>
      <c r="H1304" s="2">
        <v>206.4</v>
      </c>
      <c r="I1304" s="2">
        <v>9519</v>
      </c>
      <c r="J1304" s="2" t="s">
        <v>249</v>
      </c>
      <c r="K1304" s="2">
        <v>3</v>
      </c>
      <c r="L1304" s="2" t="s">
        <v>3141</v>
      </c>
      <c r="Q1304" s="4" t="str">
        <f ca="1">IFERROR(__xludf.DUMMYFUNCTION("TRIM(SUBSTITUTE(SUBSTITUTE(D1304, index(SPLIT(D1304, "" ""), COLUMNS(SPLIT(D1304, "" ""))), """"), index(SPLIT(D1304, "" ""), COLUMNS(SPLIT(D1304, "" ""))-1), """"))"),"Балаклеївська")</f>
        <v>Балаклеївська</v>
      </c>
    </row>
    <row r="1305" spans="1:17" ht="50.5">
      <c r="A1305" s="2"/>
      <c r="B1305" s="2" t="s">
        <v>3046</v>
      </c>
      <c r="C1305" s="2" t="s">
        <v>3139</v>
      </c>
      <c r="D1305" s="2" t="s">
        <v>3142</v>
      </c>
      <c r="E1305" s="2"/>
      <c r="F1305" s="2" t="s">
        <v>28</v>
      </c>
      <c r="G1305" s="2">
        <v>5</v>
      </c>
      <c r="H1305" s="2">
        <v>193.2</v>
      </c>
      <c r="I1305" s="2">
        <v>5495</v>
      </c>
      <c r="J1305" s="2" t="s">
        <v>249</v>
      </c>
      <c r="K1305" s="2">
        <v>4</v>
      </c>
      <c r="L1305" s="2" t="s">
        <v>3143</v>
      </c>
      <c r="Q1305" s="4" t="str">
        <f ca="1">IFERROR(__xludf.DUMMYFUNCTION("TRIM(SUBSTITUTE(SUBSTITUTE(D1305, index(SPLIT(D1305, "" ""), COLUMNS(SPLIT(D1305, "" ""))), """"), index(SPLIT(D1305, "" ""), COLUMNS(SPLIT(D1305, "" ""))-1), """"))"),"Березняківська")</f>
        <v>Березняківська</v>
      </c>
    </row>
    <row r="1306" spans="1:17" ht="50.5">
      <c r="A1306" s="2"/>
      <c r="B1306" s="2" t="s">
        <v>3046</v>
      </c>
      <c r="C1306" s="2" t="s">
        <v>3139</v>
      </c>
      <c r="D1306" s="2" t="s">
        <v>3144</v>
      </c>
      <c r="E1306" s="2"/>
      <c r="F1306" s="2" t="s">
        <v>28</v>
      </c>
      <c r="G1306" s="2">
        <v>24</v>
      </c>
      <c r="H1306" s="2">
        <v>399.5</v>
      </c>
      <c r="I1306" s="2">
        <v>4465</v>
      </c>
      <c r="J1306" s="2" t="s">
        <v>249</v>
      </c>
      <c r="K1306" s="2">
        <v>10</v>
      </c>
      <c r="L1306" s="2" t="s">
        <v>3145</v>
      </c>
      <c r="Q1306" s="4" t="str">
        <f ca="1">IFERROR(__xludf.DUMMYFUNCTION("TRIM(SUBSTITUTE(SUBSTITUTE(D1306, index(SPLIT(D1306, "" ""), COLUMNS(SPLIT(D1306, "" ""))), """"), index(SPLIT(D1306, "" ""), COLUMNS(SPLIT(D1306, "" ""))-1), """"))"),"Бобрицька")</f>
        <v>Бобрицька</v>
      </c>
    </row>
    <row r="1307" spans="1:17" ht="38">
      <c r="A1307" s="2"/>
      <c r="B1307" s="2" t="s">
        <v>3046</v>
      </c>
      <c r="C1307" s="2" t="s">
        <v>3139</v>
      </c>
      <c r="D1307" s="2" t="s">
        <v>3146</v>
      </c>
      <c r="E1307" s="2"/>
      <c r="F1307" s="2" t="s">
        <v>28</v>
      </c>
      <c r="G1307" s="2">
        <v>6</v>
      </c>
      <c r="H1307" s="2">
        <v>148.80000000000001</v>
      </c>
      <c r="I1307" s="2">
        <v>4849</v>
      </c>
      <c r="J1307" s="2" t="s">
        <v>3147</v>
      </c>
      <c r="K1307" s="2">
        <v>2</v>
      </c>
      <c r="L1307" s="2" t="s">
        <v>3148</v>
      </c>
      <c r="Q1307" s="4" t="str">
        <f ca="1">IFERROR(__xludf.DUMMYFUNCTION("TRIM(SUBSTITUTE(SUBSTITUTE(D1307, index(SPLIT(D1307, "" ""), COLUMNS(SPLIT(D1307, "" ""))), """"), index(SPLIT(D1307, "" ""), COLUMNS(SPLIT(D1307, "" ""))-1), """"))"),"Будищенська")</f>
        <v>Будищенська</v>
      </c>
    </row>
    <row r="1308" spans="1:17" ht="38">
      <c r="A1308" s="2"/>
      <c r="B1308" s="2" t="s">
        <v>3046</v>
      </c>
      <c r="C1308" s="2" t="s">
        <v>3139</v>
      </c>
      <c r="D1308" s="2" t="s">
        <v>3149</v>
      </c>
      <c r="E1308" s="2"/>
      <c r="F1308" s="2" t="s">
        <v>28</v>
      </c>
      <c r="G1308" s="2">
        <v>3</v>
      </c>
      <c r="H1308" s="2">
        <v>199.3</v>
      </c>
      <c r="I1308" s="2">
        <v>8698</v>
      </c>
      <c r="J1308" s="2" t="s">
        <v>143</v>
      </c>
      <c r="K1308" s="2">
        <v>2</v>
      </c>
      <c r="L1308" s="2" t="s">
        <v>3150</v>
      </c>
      <c r="Q1308" s="4" t="str">
        <f ca="1">IFERROR(__xludf.DUMMYFUNCTION("TRIM(SUBSTITUTE(SUBSTITUTE(D1308, index(SPLIT(D1308, "" ""), COLUMNS(SPLIT(D1308, "" ""))), """"), index(SPLIT(D1308, "" ""), COLUMNS(SPLIT(D1308, "" ""))-1), """"))"),"Білозірська")</f>
        <v>Білозірська</v>
      </c>
    </row>
    <row r="1309" spans="1:17" ht="50.5">
      <c r="A1309" s="2"/>
      <c r="B1309" s="2" t="s">
        <v>3046</v>
      </c>
      <c r="C1309" s="2" t="s">
        <v>3139</v>
      </c>
      <c r="D1309" s="2" t="s">
        <v>261</v>
      </c>
      <c r="E1309" s="2"/>
      <c r="F1309" s="2" t="s">
        <v>20</v>
      </c>
      <c r="G1309" s="2">
        <v>10</v>
      </c>
      <c r="H1309" s="2">
        <v>363.5</v>
      </c>
      <c r="I1309" s="2">
        <v>22866</v>
      </c>
      <c r="J1309" s="2" t="s">
        <v>3151</v>
      </c>
      <c r="K1309" s="2">
        <v>9</v>
      </c>
      <c r="L1309" s="2" t="s">
        <v>3152</v>
      </c>
      <c r="Q1309" s="4" t="str">
        <f ca="1">IFERROR(__xludf.DUMMYFUNCTION("TRIM(SUBSTITUTE(SUBSTITUTE(D1309, index(SPLIT(D1309, "" ""), COLUMNS(SPLIT(D1309, "" ""))), """"), index(SPLIT(D1309, "" ""), COLUMNS(SPLIT(D1309, "" ""))-1), """"))"),"Городищенська")</f>
        <v>Городищенська</v>
      </c>
    </row>
    <row r="1310" spans="1:17" ht="63">
      <c r="A1310" s="2"/>
      <c r="B1310" s="2" t="s">
        <v>3046</v>
      </c>
      <c r="C1310" s="2" t="s">
        <v>3139</v>
      </c>
      <c r="D1310" s="2" t="s">
        <v>3153</v>
      </c>
      <c r="E1310" s="2"/>
      <c r="F1310" s="2" t="s">
        <v>20</v>
      </c>
      <c r="G1310" s="2">
        <v>17</v>
      </c>
      <c r="H1310" s="2">
        <v>491.4</v>
      </c>
      <c r="I1310" s="2">
        <v>19458</v>
      </c>
      <c r="J1310" s="2" t="s">
        <v>39</v>
      </c>
      <c r="K1310" s="2">
        <v>13</v>
      </c>
      <c r="L1310" s="2" t="s">
        <v>3154</v>
      </c>
      <c r="Q1310" s="4" t="str">
        <f ca="1">IFERROR(__xludf.DUMMYFUNCTION("TRIM(SUBSTITUTE(SUBSTITUTE(D1310, index(SPLIT(D1310, "" ""), COLUMNS(SPLIT(D1310, "" ""))), """"), index(SPLIT(D1310, "" ""), COLUMNS(SPLIT(D1310, "" ""))-1), """"))"),"Кам’янська")</f>
        <v>Кам’янська</v>
      </c>
    </row>
    <row r="1311" spans="1:17" ht="38">
      <c r="A1311" s="2"/>
      <c r="B1311" s="2" t="s">
        <v>3046</v>
      </c>
      <c r="C1311" s="2" t="s">
        <v>3139</v>
      </c>
      <c r="D1311" s="2" t="s">
        <v>3155</v>
      </c>
      <c r="E1311" s="2"/>
      <c r="F1311" s="2" t="s">
        <v>20</v>
      </c>
      <c r="G1311" s="2">
        <v>11</v>
      </c>
      <c r="H1311" s="2">
        <v>246.7</v>
      </c>
      <c r="I1311" s="2">
        <v>26888</v>
      </c>
      <c r="J1311" s="2" t="s">
        <v>398</v>
      </c>
      <c r="K1311" s="2">
        <v>6</v>
      </c>
      <c r="L1311" s="2" t="s">
        <v>3156</v>
      </c>
      <c r="Q1311" s="4" t="str">
        <f ca="1">IFERROR(__xludf.DUMMYFUNCTION("TRIM(SUBSTITUTE(SUBSTITUTE(D1311, index(SPLIT(D1311, "" ""), COLUMNS(SPLIT(D1311, "" ""))), """"), index(SPLIT(D1311, "" ""), COLUMNS(SPLIT(D1311, "" ""))-1), """"))"),"Канівська")</f>
        <v>Канівська</v>
      </c>
    </row>
    <row r="1312" spans="1:17" ht="63">
      <c r="A1312" s="2"/>
      <c r="B1312" s="2" t="s">
        <v>3046</v>
      </c>
      <c r="C1312" s="2" t="s">
        <v>3139</v>
      </c>
      <c r="D1312" s="2" t="s">
        <v>3157</v>
      </c>
      <c r="E1312" s="2"/>
      <c r="F1312" s="2" t="s">
        <v>20</v>
      </c>
      <c r="G1312" s="2">
        <v>11</v>
      </c>
      <c r="H1312" s="2">
        <v>173.7</v>
      </c>
      <c r="I1312" s="2">
        <v>20733</v>
      </c>
      <c r="J1312" s="2" t="s">
        <v>3158</v>
      </c>
      <c r="K1312" s="2">
        <v>5</v>
      </c>
      <c r="L1312" s="2" t="s">
        <v>3159</v>
      </c>
      <c r="Q1312" s="4" t="str">
        <f ca="1">IFERROR(__xludf.DUMMYFUNCTION("TRIM(SUBSTITUTE(SUBSTITUTE(D1312, index(SPLIT(D1312, "" ""), COLUMNS(SPLIT(D1312, "" ""))), """"), index(SPLIT(D1312, "" ""), COLUMNS(SPLIT(D1312, "" ""))-1), """"))"),"Корсунь-Шевченківська")</f>
        <v>Корсунь-Шевченківська</v>
      </c>
    </row>
    <row r="1313" spans="1:17" ht="38">
      <c r="A1313" s="2"/>
      <c r="B1313" s="2" t="s">
        <v>3046</v>
      </c>
      <c r="C1313" s="2" t="s">
        <v>3139</v>
      </c>
      <c r="D1313" s="2" t="s">
        <v>3160</v>
      </c>
      <c r="E1313" s="2"/>
      <c r="F1313" s="2" t="s">
        <v>28</v>
      </c>
      <c r="G1313" s="2">
        <v>5</v>
      </c>
      <c r="H1313" s="2">
        <v>217.3</v>
      </c>
      <c r="I1313" s="2">
        <v>8207</v>
      </c>
      <c r="J1313" s="2" t="s">
        <v>249</v>
      </c>
      <c r="K1313" s="2">
        <v>4</v>
      </c>
      <c r="L1313" s="2" t="s">
        <v>3161</v>
      </c>
      <c r="Q1313" s="4" t="str">
        <f ca="1">IFERROR(__xludf.DUMMYFUNCTION("TRIM(SUBSTITUTE(SUBSTITUTE(D1313, index(SPLIT(D1313, "" ""), COLUMNS(SPLIT(D1313, "" ""))), """"), index(SPLIT(D1313, "" ""), COLUMNS(SPLIT(D1313, "" ""))-1), """"))"),"Леськівська")</f>
        <v>Леськівська</v>
      </c>
    </row>
    <row r="1314" spans="1:17" ht="38">
      <c r="A1314" s="2"/>
      <c r="B1314" s="2" t="s">
        <v>3046</v>
      </c>
      <c r="C1314" s="2" t="s">
        <v>3139</v>
      </c>
      <c r="D1314" s="2" t="s">
        <v>3162</v>
      </c>
      <c r="E1314" s="2"/>
      <c r="F1314" s="2" t="s">
        <v>28</v>
      </c>
      <c r="G1314" s="2">
        <v>5</v>
      </c>
      <c r="H1314" s="2">
        <v>279.39999999999998</v>
      </c>
      <c r="I1314" s="2">
        <v>3530</v>
      </c>
      <c r="J1314" s="2" t="s">
        <v>39</v>
      </c>
      <c r="K1314" s="2">
        <v>4</v>
      </c>
      <c r="L1314" s="2" t="s">
        <v>3163</v>
      </c>
      <c r="Q1314" s="4" t="str">
        <f ca="1">IFERROR(__xludf.DUMMYFUNCTION("TRIM(SUBSTITUTE(SUBSTITUTE(D1314, index(SPLIT(D1314, "" ""), COLUMNS(SPLIT(D1314, "" ""))), """"), index(SPLIT(D1314, "" ""), COLUMNS(SPLIT(D1314, "" ""))-1), """"))"),"Ліплявська")</f>
        <v>Ліплявська</v>
      </c>
    </row>
    <row r="1315" spans="1:17" ht="50.5">
      <c r="A1315" s="2"/>
      <c r="B1315" s="2" t="s">
        <v>3046</v>
      </c>
      <c r="C1315" s="2" t="s">
        <v>3139</v>
      </c>
      <c r="D1315" s="2" t="s">
        <v>3164</v>
      </c>
      <c r="E1315" s="2"/>
      <c r="F1315" s="2" t="s">
        <v>28</v>
      </c>
      <c r="G1315" s="2">
        <v>9</v>
      </c>
      <c r="H1315" s="2">
        <v>208.3</v>
      </c>
      <c r="I1315" s="2">
        <v>3693</v>
      </c>
      <c r="J1315" s="2" t="s">
        <v>249</v>
      </c>
      <c r="K1315" s="2">
        <v>5</v>
      </c>
      <c r="L1315" s="2" t="s">
        <v>3165</v>
      </c>
      <c r="Q1315" s="4" t="str">
        <f ca="1">IFERROR(__xludf.DUMMYFUNCTION("TRIM(SUBSTITUTE(SUBSTITUTE(D1315, index(SPLIT(D1315, "" ""), COLUMNS(SPLIT(D1315, "" ""))), """"), index(SPLIT(D1315, "" ""), COLUMNS(SPLIT(D1315, "" ""))-1), """"))"),"Медведівська")</f>
        <v>Медведівська</v>
      </c>
    </row>
    <row r="1316" spans="1:17" ht="38">
      <c r="A1316" s="2"/>
      <c r="B1316" s="2" t="s">
        <v>3046</v>
      </c>
      <c r="C1316" s="2" t="s">
        <v>3139</v>
      </c>
      <c r="D1316" s="2" t="s">
        <v>956</v>
      </c>
      <c r="E1316" s="2"/>
      <c r="F1316" s="2" t="s">
        <v>28</v>
      </c>
      <c r="G1316" s="2">
        <v>13</v>
      </c>
      <c r="H1316" s="2">
        <v>232.6</v>
      </c>
      <c r="I1316" s="2">
        <v>5886</v>
      </c>
      <c r="J1316" s="2" t="s">
        <v>178</v>
      </c>
      <c r="K1316" s="2">
        <v>6</v>
      </c>
      <c r="L1316" s="2" t="s">
        <v>3166</v>
      </c>
      <c r="Q1316" s="4" t="str">
        <f ca="1">IFERROR(__xludf.DUMMYFUNCTION("TRIM(SUBSTITUTE(SUBSTITUTE(D1316, index(SPLIT(D1316, "" ""), COLUMNS(SPLIT(D1316, "" ""))), """"), index(SPLIT(D1316, "" ""), COLUMNS(SPLIT(D1316, "" ""))-1), """"))"),"Михайлівська")</f>
        <v>Михайлівська</v>
      </c>
    </row>
    <row r="1317" spans="1:17" ht="38">
      <c r="A1317" s="2"/>
      <c r="B1317" s="2" t="s">
        <v>3046</v>
      </c>
      <c r="C1317" s="2" t="s">
        <v>3139</v>
      </c>
      <c r="D1317" s="2" t="s">
        <v>3167</v>
      </c>
      <c r="E1317" s="2"/>
      <c r="F1317" s="2" t="s">
        <v>28</v>
      </c>
      <c r="G1317" s="2">
        <v>3</v>
      </c>
      <c r="H1317" s="2">
        <v>201.3</v>
      </c>
      <c r="I1317" s="2">
        <v>5273</v>
      </c>
      <c r="J1317" s="2" t="s">
        <v>39</v>
      </c>
      <c r="K1317" s="2">
        <v>3</v>
      </c>
      <c r="L1317" s="2" t="s">
        <v>3168</v>
      </c>
      <c r="Q1317" s="4" t="str">
        <f ca="1">IFERROR(__xludf.DUMMYFUNCTION("TRIM(SUBSTITUTE(SUBSTITUTE(D1317, index(SPLIT(D1317, "" ""), COLUMNS(SPLIT(D1317, "" ""))), """"), index(SPLIT(D1317, "" ""), COLUMNS(SPLIT(D1317, "" ""))-1), """"))"),"Мліївська")</f>
        <v>Мліївська</v>
      </c>
    </row>
    <row r="1318" spans="1:17" ht="38">
      <c r="A1318" s="2"/>
      <c r="B1318" s="2" t="s">
        <v>3046</v>
      </c>
      <c r="C1318" s="2" t="s">
        <v>3139</v>
      </c>
      <c r="D1318" s="2" t="s">
        <v>3169</v>
      </c>
      <c r="E1318" s="2"/>
      <c r="F1318" s="2" t="s">
        <v>28</v>
      </c>
      <c r="G1318" s="2">
        <v>14</v>
      </c>
      <c r="H1318" s="2">
        <v>460.3</v>
      </c>
      <c r="I1318" s="2">
        <v>14702</v>
      </c>
      <c r="J1318" s="2" t="s">
        <v>3170</v>
      </c>
      <c r="K1318" s="2">
        <v>6</v>
      </c>
      <c r="L1318" s="2" t="s">
        <v>3171</v>
      </c>
      <c r="Q1318" s="4" t="str">
        <f ca="1">IFERROR(__xludf.DUMMYFUNCTION("TRIM(SUBSTITUTE(SUBSTITUTE(D1318, index(SPLIT(D1318, "" ""), COLUMNS(SPLIT(D1318, "" ""))), """"), index(SPLIT(D1318, "" ""), COLUMNS(SPLIT(D1318, "" ""))-1), """"))"),"Мошнівська")</f>
        <v>Мошнівська</v>
      </c>
    </row>
    <row r="1319" spans="1:17" ht="38">
      <c r="A1319" s="2"/>
      <c r="B1319" s="2" t="s">
        <v>3046</v>
      </c>
      <c r="C1319" s="2" t="s">
        <v>3139</v>
      </c>
      <c r="D1319" s="2" t="s">
        <v>3172</v>
      </c>
      <c r="E1319" s="2"/>
      <c r="F1319" s="2" t="s">
        <v>28</v>
      </c>
      <c r="G1319" s="2">
        <v>13</v>
      </c>
      <c r="H1319" s="2">
        <v>217.8</v>
      </c>
      <c r="I1319" s="2">
        <v>6204</v>
      </c>
      <c r="J1319" s="2" t="s">
        <v>33</v>
      </c>
      <c r="K1319" s="2">
        <v>8</v>
      </c>
      <c r="L1319" s="2" t="s">
        <v>3173</v>
      </c>
      <c r="Q1319" s="4" t="str">
        <f ca="1">IFERROR(__xludf.DUMMYFUNCTION("TRIM(SUBSTITUTE(SUBSTITUTE(D1319, index(SPLIT(D1319, "" ""), COLUMNS(SPLIT(D1319, "" ""))), """"), index(SPLIT(D1319, "" ""), COLUMNS(SPLIT(D1319, "" ""))-1), """"))"),"Набутівська")</f>
        <v>Набутівська</v>
      </c>
    </row>
    <row r="1320" spans="1:17" ht="50.5">
      <c r="A1320" s="2"/>
      <c r="B1320" s="2" t="s">
        <v>3046</v>
      </c>
      <c r="C1320" s="2" t="s">
        <v>3139</v>
      </c>
      <c r="D1320" s="2" t="s">
        <v>3174</v>
      </c>
      <c r="E1320" s="2"/>
      <c r="F1320" s="2" t="s">
        <v>28</v>
      </c>
      <c r="G1320" s="2">
        <v>13</v>
      </c>
      <c r="H1320" s="2">
        <v>310.5</v>
      </c>
      <c r="I1320" s="2">
        <v>9035</v>
      </c>
      <c r="J1320" s="2" t="s">
        <v>63</v>
      </c>
      <c r="K1320" s="2">
        <v>9</v>
      </c>
      <c r="L1320" s="2" t="s">
        <v>3175</v>
      </c>
      <c r="Q1320" s="4" t="str">
        <f ca="1">IFERROR(__xludf.DUMMYFUNCTION("TRIM(SUBSTITUTE(SUBSTITUTE(D1320, index(SPLIT(D1320, "" ""), COLUMNS(SPLIT(D1320, "" ""))), """"), index(SPLIT(D1320, "" ""), COLUMNS(SPLIT(D1320, "" ""))-1), """"))"),"Ротмістрівська")</f>
        <v>Ротмістрівська</v>
      </c>
    </row>
    <row r="1321" spans="1:17" ht="50.5">
      <c r="A1321" s="2"/>
      <c r="B1321" s="2" t="s">
        <v>3046</v>
      </c>
      <c r="C1321" s="2" t="s">
        <v>3139</v>
      </c>
      <c r="D1321" s="2" t="s">
        <v>3176</v>
      </c>
      <c r="E1321" s="2"/>
      <c r="F1321" s="2" t="s">
        <v>28</v>
      </c>
      <c r="G1321" s="2">
        <v>3</v>
      </c>
      <c r="H1321" s="2">
        <v>274</v>
      </c>
      <c r="I1321" s="2">
        <v>13793</v>
      </c>
      <c r="J1321" s="2" t="s">
        <v>249</v>
      </c>
      <c r="K1321" s="2">
        <v>3</v>
      </c>
      <c r="L1321" s="2" t="s">
        <v>3177</v>
      </c>
      <c r="Q1321" s="4" t="str">
        <f ca="1">IFERROR(__xludf.DUMMYFUNCTION("TRIM(SUBSTITUTE(SUBSTITUTE(D1321, index(SPLIT(D1321, "" ""), COLUMNS(SPLIT(D1321, "" ""))), """"), index(SPLIT(D1321, "" ""), COLUMNS(SPLIT(D1321, "" ""))-1), """"))"),"Русько-Полянська")</f>
        <v>Русько-Полянська</v>
      </c>
    </row>
    <row r="1322" spans="1:17" ht="38">
      <c r="A1322" s="2"/>
      <c r="B1322" s="2" t="s">
        <v>3046</v>
      </c>
      <c r="C1322" s="2" t="s">
        <v>3139</v>
      </c>
      <c r="D1322" s="2" t="s">
        <v>3178</v>
      </c>
      <c r="E1322" s="2"/>
      <c r="F1322" s="2" t="s">
        <v>28</v>
      </c>
      <c r="G1322" s="2">
        <v>3</v>
      </c>
      <c r="H1322" s="2">
        <v>194.5</v>
      </c>
      <c r="I1322" s="2">
        <v>5126</v>
      </c>
      <c r="J1322" s="2" t="s">
        <v>249</v>
      </c>
      <c r="K1322" s="2">
        <v>3</v>
      </c>
      <c r="L1322" s="2" t="s">
        <v>3179</v>
      </c>
      <c r="Q1322" s="4" t="str">
        <f ca="1">IFERROR(__xludf.DUMMYFUNCTION("TRIM(SUBSTITUTE(SUBSTITUTE(D1322, index(SPLIT(D1322, "" ""), COLUMNS(SPLIT(D1322, "" ""))), """"), index(SPLIT(D1322, "" ""), COLUMNS(SPLIT(D1322, "" ""))-1), """"))"),"Сагунівська")</f>
        <v>Сагунівська</v>
      </c>
    </row>
    <row r="1323" spans="1:17" ht="38">
      <c r="A1323" s="2"/>
      <c r="B1323" s="2" t="s">
        <v>3046</v>
      </c>
      <c r="C1323" s="2" t="s">
        <v>3139</v>
      </c>
      <c r="D1323" s="2" t="s">
        <v>3180</v>
      </c>
      <c r="E1323" s="2"/>
      <c r="F1323" s="2" t="s">
        <v>20</v>
      </c>
      <c r="G1323" s="2">
        <v>2</v>
      </c>
      <c r="H1323" s="2">
        <v>39.1</v>
      </c>
      <c r="I1323" s="2">
        <v>66481</v>
      </c>
      <c r="J1323" s="2" t="s">
        <v>3181</v>
      </c>
      <c r="K1323" s="2">
        <v>1</v>
      </c>
      <c r="L1323" s="2" t="s">
        <v>3182</v>
      </c>
      <c r="Q1323" s="4" t="str">
        <f ca="1">IFERROR(__xludf.DUMMYFUNCTION("TRIM(SUBSTITUTE(SUBSTITUTE(D1323, index(SPLIT(D1323, "" ""), COLUMNS(SPLIT(D1323, "" ""))), """"), index(SPLIT(D1323, "" ""), COLUMNS(SPLIT(D1323, "" ""))-1), """"))"),"Смілянська")</f>
        <v>Смілянська</v>
      </c>
    </row>
    <row r="1324" spans="1:17" ht="50.5">
      <c r="A1324" s="2"/>
      <c r="B1324" s="2" t="s">
        <v>3046</v>
      </c>
      <c r="C1324" s="2" t="s">
        <v>3139</v>
      </c>
      <c r="D1324" s="2" t="s">
        <v>3183</v>
      </c>
      <c r="E1324" s="2"/>
      <c r="F1324" s="2" t="s">
        <v>28</v>
      </c>
      <c r="G1324" s="2">
        <v>21</v>
      </c>
      <c r="H1324" s="2">
        <v>367.7</v>
      </c>
      <c r="I1324" s="2">
        <v>6903</v>
      </c>
      <c r="J1324" s="2" t="s">
        <v>63</v>
      </c>
      <c r="K1324" s="2">
        <v>10</v>
      </c>
      <c r="L1324" s="2" t="s">
        <v>3184</v>
      </c>
      <c r="Q1324" s="4" t="str">
        <f ca="1">IFERROR(__xludf.DUMMYFUNCTION("TRIM(SUBSTITUTE(SUBSTITUTE(D1324, index(SPLIT(D1324, "" ""), COLUMNS(SPLIT(D1324, "" ""))), """"), index(SPLIT(D1324, "" ""), COLUMNS(SPLIT(D1324, "" ""))-1), """"))"),"Степанецька")</f>
        <v>Степанецька</v>
      </c>
    </row>
    <row r="1325" spans="1:17" ht="50.5">
      <c r="A1325" s="2"/>
      <c r="B1325" s="2" t="s">
        <v>3046</v>
      </c>
      <c r="C1325" s="2" t="s">
        <v>3139</v>
      </c>
      <c r="D1325" s="2" t="s">
        <v>3185</v>
      </c>
      <c r="E1325" s="2"/>
      <c r="F1325" s="2" t="s">
        <v>28</v>
      </c>
      <c r="G1325" s="2">
        <v>7</v>
      </c>
      <c r="H1325" s="2">
        <v>134.9</v>
      </c>
      <c r="I1325" s="2">
        <v>7187</v>
      </c>
      <c r="J1325" s="2" t="s">
        <v>39</v>
      </c>
      <c r="K1325" s="2">
        <v>4</v>
      </c>
      <c r="L1325" s="2" t="s">
        <v>3186</v>
      </c>
      <c r="Q1325" s="4" t="str">
        <f ca="1">IFERROR(__xludf.DUMMYFUNCTION("TRIM(SUBSTITUTE(SUBSTITUTE(D1325, index(SPLIT(D1325, "" ""), COLUMNS(SPLIT(D1325, "" ""))), """"), index(SPLIT(D1325, "" ""), COLUMNS(SPLIT(D1325, "" ""))-1), """"))"),"Степанківська")</f>
        <v>Степанківська</v>
      </c>
    </row>
    <row r="1326" spans="1:17" ht="38">
      <c r="A1326" s="2"/>
      <c r="B1326" s="2" t="s">
        <v>3046</v>
      </c>
      <c r="C1326" s="2" t="s">
        <v>3139</v>
      </c>
      <c r="D1326" s="2" t="s">
        <v>422</v>
      </c>
      <c r="E1326" s="2"/>
      <c r="F1326" s="2" t="s">
        <v>28</v>
      </c>
      <c r="G1326" s="2">
        <v>9</v>
      </c>
      <c r="H1326" s="2">
        <v>155.69999999999999</v>
      </c>
      <c r="I1326" s="2">
        <v>5368</v>
      </c>
      <c r="J1326" s="2" t="s">
        <v>249</v>
      </c>
      <c r="K1326" s="2">
        <v>5</v>
      </c>
      <c r="L1326" s="2" t="s">
        <v>3187</v>
      </c>
      <c r="Q1326" s="4" t="str">
        <f ca="1">IFERROR(__xludf.DUMMYFUNCTION("TRIM(SUBSTITUTE(SUBSTITUTE(D1326, index(SPLIT(D1326, "" ""), COLUMNS(SPLIT(D1326, "" ""))), """"), index(SPLIT(D1326, "" ""), COLUMNS(SPLIT(D1326, "" ""))-1), """"))"),"Тернівська")</f>
        <v>Тернівська</v>
      </c>
    </row>
    <row r="1327" spans="1:17" ht="50.5">
      <c r="A1327" s="2"/>
      <c r="B1327" s="2" t="s">
        <v>3046</v>
      </c>
      <c r="C1327" s="2" t="s">
        <v>3139</v>
      </c>
      <c r="D1327" s="2" t="s">
        <v>3188</v>
      </c>
      <c r="E1327" s="2"/>
      <c r="F1327" s="2" t="s">
        <v>28</v>
      </c>
      <c r="G1327" s="2">
        <v>4</v>
      </c>
      <c r="H1327" s="2">
        <v>176.4</v>
      </c>
      <c r="I1327" s="2">
        <v>14282</v>
      </c>
      <c r="J1327" s="2" t="s">
        <v>249</v>
      </c>
      <c r="K1327" s="2">
        <v>3</v>
      </c>
      <c r="L1327" s="2" t="s">
        <v>3189</v>
      </c>
      <c r="Q1327" s="4" t="str">
        <f ca="1">IFERROR(__xludf.DUMMYFUNCTION("TRIM(SUBSTITUTE(SUBSTITUTE(D1327, index(SPLIT(D1327, "" ""), COLUMNS(SPLIT(D1327, "" ""))), """"), index(SPLIT(D1327, "" ""), COLUMNS(SPLIT(D1327, "" ""))-1), """"))"),"Червонослобідська")</f>
        <v>Червонослобідська</v>
      </c>
    </row>
    <row r="1328" spans="1:17" ht="38">
      <c r="A1328" s="2"/>
      <c r="B1328" s="2" t="s">
        <v>3046</v>
      </c>
      <c r="C1328" s="2" t="s">
        <v>3139</v>
      </c>
      <c r="D1328" s="2" t="s">
        <v>392</v>
      </c>
      <c r="E1328" s="2"/>
      <c r="F1328" s="2" t="s">
        <v>20</v>
      </c>
      <c r="G1328" s="2">
        <v>2</v>
      </c>
      <c r="H1328" s="2">
        <v>76.8</v>
      </c>
      <c r="I1328" s="2">
        <v>273533</v>
      </c>
      <c r="J1328" s="2" t="s">
        <v>3190</v>
      </c>
      <c r="K1328" s="2">
        <v>1</v>
      </c>
      <c r="L1328" s="2" t="s">
        <v>3191</v>
      </c>
      <c r="Q1328" s="4" t="str">
        <f ca="1">IFERROR(__xludf.DUMMYFUNCTION("TRIM(SUBSTITUTE(SUBSTITUTE(D1328, index(SPLIT(D1328, "" ""), COLUMNS(SPLIT(D1328, "" ""))), """"), index(SPLIT(D1328, "" ""), COLUMNS(SPLIT(D1328, "" ""))-1), """"))"),"Черкаська")</f>
        <v>Черкаська</v>
      </c>
    </row>
    <row r="1329" spans="1:17" ht="50.5">
      <c r="A1329" s="2"/>
      <c r="B1329" s="2" t="s">
        <v>3046</v>
      </c>
      <c r="C1329" s="2" t="s">
        <v>3139</v>
      </c>
      <c r="D1329" s="2" t="s">
        <v>3192</v>
      </c>
      <c r="E1329" s="2"/>
      <c r="F1329" s="2" t="s">
        <v>20</v>
      </c>
      <c r="G1329" s="2">
        <v>25</v>
      </c>
      <c r="H1329" s="2">
        <v>901.7</v>
      </c>
      <c r="I1329" s="2">
        <v>19139</v>
      </c>
      <c r="J1329" s="2" t="s">
        <v>249</v>
      </c>
      <c r="K1329" s="2">
        <v>12</v>
      </c>
      <c r="L1329" s="2" t="s">
        <v>3193</v>
      </c>
      <c r="Q1329" s="4" t="str">
        <f ca="1">IFERROR(__xludf.DUMMYFUNCTION("TRIM(SUBSTITUTE(SUBSTITUTE(D1329, index(SPLIT(D1329, "" ""), COLUMNS(SPLIT(D1329, "" ""))), """"), index(SPLIT(D1329, "" ""), COLUMNS(SPLIT(D1329, "" ""))-1), """"))"),"Чигиринська")</f>
        <v>Чигиринська</v>
      </c>
    </row>
    <row r="1330" spans="1:17" ht="38">
      <c r="A1330" s="2"/>
      <c r="B1330" s="2" t="s">
        <v>3194</v>
      </c>
      <c r="C1330" s="2" t="s">
        <v>3195</v>
      </c>
      <c r="D1330" s="2" t="s">
        <v>3196</v>
      </c>
      <c r="E1330" s="2"/>
      <c r="F1330" s="2" t="s">
        <v>28</v>
      </c>
      <c r="G1330" s="2">
        <v>4</v>
      </c>
      <c r="H1330" s="2">
        <v>81.3</v>
      </c>
      <c r="I1330" s="2">
        <v>7358</v>
      </c>
      <c r="J1330" s="2" t="s">
        <v>3197</v>
      </c>
      <c r="K1330" s="2">
        <v>2</v>
      </c>
      <c r="L1330" s="2" t="s">
        <v>3198</v>
      </c>
      <c r="Q1330" s="4" t="str">
        <f ca="1">IFERROR(__xludf.DUMMYFUNCTION("TRIM(SUBSTITUTE(SUBSTITUTE(D1330, index(SPLIT(D1330, "" ""), COLUMNS(SPLIT(D1330, "" ""))), """"), index(SPLIT(D1330, "" ""), COLUMNS(SPLIT(D1330, "" ""))-1), """"))"),"Банилівська")</f>
        <v>Банилівська</v>
      </c>
    </row>
    <row r="1331" spans="1:17" ht="50.5">
      <c r="A1331" s="2"/>
      <c r="B1331" s="2" t="s">
        <v>3194</v>
      </c>
      <c r="C1331" s="2" t="s">
        <v>3195</v>
      </c>
      <c r="D1331" s="2" t="s">
        <v>3199</v>
      </c>
      <c r="E1331" s="2"/>
      <c r="F1331" s="2" t="s">
        <v>32</v>
      </c>
      <c r="G1331" s="2">
        <v>13</v>
      </c>
      <c r="H1331" s="2">
        <v>491.9</v>
      </c>
      <c r="I1331" s="2">
        <v>18387</v>
      </c>
      <c r="J1331" s="2" t="s">
        <v>3200</v>
      </c>
      <c r="K1331" s="2">
        <v>4</v>
      </c>
      <c r="L1331" s="2" t="s">
        <v>3201</v>
      </c>
      <c r="Q1331" s="4" t="str">
        <f ca="1">IFERROR(__xludf.DUMMYFUNCTION("TRIM(SUBSTITUTE(SUBSTITUTE(D1331, index(SPLIT(D1331, "" ""), COLUMNS(SPLIT(D1331, "" ""))), """"), index(SPLIT(D1331, "" ""), COLUMNS(SPLIT(D1331, "" ""))-1), """"))"),"Берегометська")</f>
        <v>Берегометська</v>
      </c>
    </row>
    <row r="1332" spans="1:17" ht="38">
      <c r="A1332" s="2"/>
      <c r="B1332" s="2" t="s">
        <v>3194</v>
      </c>
      <c r="C1332" s="2" t="s">
        <v>3195</v>
      </c>
      <c r="D1332" s="2" t="s">
        <v>3202</v>
      </c>
      <c r="E1332" s="2"/>
      <c r="F1332" s="2" t="s">
        <v>28</v>
      </c>
      <c r="G1332" s="2">
        <v>10</v>
      </c>
      <c r="H1332" s="2">
        <v>98.1</v>
      </c>
      <c r="I1332" s="2">
        <v>9259</v>
      </c>
      <c r="J1332" s="2" t="s">
        <v>3203</v>
      </c>
      <c r="K1332" s="2">
        <v>3</v>
      </c>
      <c r="L1332" s="2" t="s">
        <v>3204</v>
      </c>
      <c r="Q1332" s="4" t="str">
        <f ca="1">IFERROR(__xludf.DUMMYFUNCTION("TRIM(SUBSTITUTE(SUBSTITUTE(D1332, index(SPLIT(D1332, "" ""), COLUMNS(SPLIT(D1332, "" ""))), """"), index(SPLIT(D1332, "" ""), COLUMNS(SPLIT(D1332, "" ""))-1), """"))"),"Брусницька")</f>
        <v>Брусницька</v>
      </c>
    </row>
    <row r="1333" spans="1:17" ht="38">
      <c r="A1333" s="2"/>
      <c r="B1333" s="2" t="s">
        <v>3194</v>
      </c>
      <c r="C1333" s="2" t="s">
        <v>3195</v>
      </c>
      <c r="D1333" s="2" t="s">
        <v>3205</v>
      </c>
      <c r="E1333" s="2"/>
      <c r="F1333" s="2" t="s">
        <v>20</v>
      </c>
      <c r="G1333" s="2">
        <v>7</v>
      </c>
      <c r="H1333" s="2">
        <v>146.1</v>
      </c>
      <c r="I1333" s="2">
        <v>12315</v>
      </c>
      <c r="J1333" s="2" t="s">
        <v>33</v>
      </c>
      <c r="K1333" s="2">
        <v>4</v>
      </c>
      <c r="L1333" s="2" t="s">
        <v>3206</v>
      </c>
      <c r="Q1333" s="4" t="str">
        <f ca="1">IFERROR(__xludf.DUMMYFUNCTION("TRIM(SUBSTITUTE(SUBSTITUTE(D1333, index(SPLIT(D1333, "" ""), COLUMNS(SPLIT(D1333, "" ""))), """"), index(SPLIT(D1333, "" ""), COLUMNS(SPLIT(D1333, "" ""))-1), """"))"),"Вашківецька")</f>
        <v>Вашківецька</v>
      </c>
    </row>
    <row r="1334" spans="1:17" ht="38">
      <c r="A1334" s="2"/>
      <c r="B1334" s="2" t="s">
        <v>3194</v>
      </c>
      <c r="C1334" s="2" t="s">
        <v>3195</v>
      </c>
      <c r="D1334" s="2" t="s">
        <v>3207</v>
      </c>
      <c r="E1334" s="2"/>
      <c r="F1334" s="2" t="s">
        <v>20</v>
      </c>
      <c r="G1334" s="2">
        <v>10</v>
      </c>
      <c r="H1334" s="2">
        <v>183.5</v>
      </c>
      <c r="I1334" s="2">
        <v>16794</v>
      </c>
      <c r="J1334" s="2" t="s">
        <v>33</v>
      </c>
      <c r="K1334" s="2">
        <v>7</v>
      </c>
      <c r="L1334" s="2" t="s">
        <v>3208</v>
      </c>
      <c r="Q1334" s="4" t="str">
        <f ca="1">IFERROR(__xludf.DUMMYFUNCTION("TRIM(SUBSTITUTE(SUBSTITUTE(D1334, index(SPLIT(D1334, "" ""), COLUMNS(SPLIT(D1334, "" ""))), """"), index(SPLIT(D1334, "" ""), COLUMNS(SPLIT(D1334, "" ""))-1), """"))"),"Вижницька")</f>
        <v>Вижницька</v>
      </c>
    </row>
    <row r="1335" spans="1:17" ht="38">
      <c r="A1335" s="2"/>
      <c r="B1335" s="2" t="s">
        <v>3194</v>
      </c>
      <c r="C1335" s="2" t="s">
        <v>3195</v>
      </c>
      <c r="D1335" s="2" t="s">
        <v>3209</v>
      </c>
      <c r="E1335" s="2"/>
      <c r="F1335" s="2" t="s">
        <v>28</v>
      </c>
      <c r="G1335" s="2">
        <v>10</v>
      </c>
      <c r="H1335" s="2">
        <v>122</v>
      </c>
      <c r="I1335" s="2">
        <v>4792</v>
      </c>
      <c r="J1335" s="2" t="s">
        <v>63</v>
      </c>
      <c r="K1335" s="2">
        <v>3</v>
      </c>
      <c r="L1335" s="2" t="s">
        <v>3210</v>
      </c>
      <c r="Q1335" s="4" t="str">
        <f ca="1">IFERROR(__xludf.DUMMYFUNCTION("TRIM(SUBSTITUTE(SUBSTITUTE(D1335, index(SPLIT(D1335, "" ""), COLUMNS(SPLIT(D1335, "" ""))), """"), index(SPLIT(D1335, "" ""), COLUMNS(SPLIT(D1335, "" ""))-1), """"))"),"Конятинська")</f>
        <v>Конятинська</v>
      </c>
    </row>
    <row r="1336" spans="1:17" ht="38">
      <c r="A1336" s="2"/>
      <c r="B1336" s="2" t="s">
        <v>3194</v>
      </c>
      <c r="C1336" s="2" t="s">
        <v>3195</v>
      </c>
      <c r="D1336" s="2" t="s">
        <v>3211</v>
      </c>
      <c r="E1336" s="2"/>
      <c r="F1336" s="2" t="s">
        <v>32</v>
      </c>
      <c r="G1336" s="2">
        <v>18</v>
      </c>
      <c r="H1336" s="2">
        <v>231.6</v>
      </c>
      <c r="I1336" s="2">
        <v>11289</v>
      </c>
      <c r="J1336" s="2" t="s">
        <v>3212</v>
      </c>
      <c r="K1336" s="2">
        <v>5</v>
      </c>
      <c r="L1336" s="2" t="s">
        <v>3213</v>
      </c>
      <c r="Q1336" s="4" t="str">
        <f ca="1">IFERROR(__xludf.DUMMYFUNCTION("TRIM(SUBSTITUTE(SUBSTITUTE(D1336, index(SPLIT(D1336, "" ""), COLUMNS(SPLIT(D1336, "" ""))), """"), index(SPLIT(D1336, "" ""), COLUMNS(SPLIT(D1336, "" ""))-1), """"))"),"Путильська")</f>
        <v>Путильська</v>
      </c>
    </row>
    <row r="1337" spans="1:17" ht="38">
      <c r="A1337" s="2"/>
      <c r="B1337" s="2" t="s">
        <v>3194</v>
      </c>
      <c r="C1337" s="2" t="s">
        <v>3195</v>
      </c>
      <c r="D1337" s="2" t="s">
        <v>3214</v>
      </c>
      <c r="E1337" s="2"/>
      <c r="F1337" s="2" t="s">
        <v>28</v>
      </c>
      <c r="G1337" s="2">
        <v>10</v>
      </c>
      <c r="H1337" s="2">
        <v>367.7</v>
      </c>
      <c r="I1337" s="2">
        <v>4709</v>
      </c>
      <c r="J1337" s="2" t="s">
        <v>63</v>
      </c>
      <c r="K1337" s="2">
        <v>3</v>
      </c>
      <c r="L1337" s="2" t="s">
        <v>3215</v>
      </c>
      <c r="Q1337" s="4" t="str">
        <f ca="1">IFERROR(__xludf.DUMMYFUNCTION("TRIM(SUBSTITUTE(SUBSTITUTE(D1337, index(SPLIT(D1337, "" ""), COLUMNS(SPLIT(D1337, "" ""))), """"), index(SPLIT(D1337, "" ""), COLUMNS(SPLIT(D1337, "" ""))-1), """"))"),"Селятинська")</f>
        <v>Селятинська</v>
      </c>
    </row>
    <row r="1338" spans="1:17" ht="50.5">
      <c r="A1338" s="2"/>
      <c r="B1338" s="2" t="s">
        <v>3194</v>
      </c>
      <c r="C1338" s="2" t="s">
        <v>3195</v>
      </c>
      <c r="D1338" s="2" t="s">
        <v>3216</v>
      </c>
      <c r="E1338" s="2"/>
      <c r="F1338" s="2" t="s">
        <v>28</v>
      </c>
      <c r="G1338" s="2">
        <v>13</v>
      </c>
      <c r="H1338" s="2">
        <v>156.6</v>
      </c>
      <c r="I1338" s="2">
        <v>5451</v>
      </c>
      <c r="J1338" s="2" t="s">
        <v>143</v>
      </c>
      <c r="K1338" s="2">
        <v>4</v>
      </c>
      <c r="L1338" s="2" t="s">
        <v>3217</v>
      </c>
      <c r="Q1338" s="4" t="str">
        <f ca="1">IFERROR(__xludf.DUMMYFUNCTION("TRIM(SUBSTITUTE(SUBSTITUTE(D1338, index(SPLIT(D1338, "" ""), COLUMNS(SPLIT(D1338, "" ""))), """"), index(SPLIT(D1338, "" ""), COLUMNS(SPLIT(D1338, "" ""))-1), """"))"),"Усть-Путильська")</f>
        <v>Усть-Путильська</v>
      </c>
    </row>
    <row r="1339" spans="1:17" ht="38">
      <c r="A1339" s="2"/>
      <c r="B1339" s="2" t="s">
        <v>3194</v>
      </c>
      <c r="C1339" s="2" t="s">
        <v>3218</v>
      </c>
      <c r="D1339" s="2" t="s">
        <v>3219</v>
      </c>
      <c r="E1339" s="2"/>
      <c r="F1339" s="2" t="s">
        <v>28</v>
      </c>
      <c r="G1339" s="2">
        <v>4</v>
      </c>
      <c r="H1339" s="2">
        <v>58.7</v>
      </c>
      <c r="I1339" s="2">
        <v>4680</v>
      </c>
      <c r="J1339" s="2" t="s">
        <v>143</v>
      </c>
      <c r="K1339" s="2">
        <v>2</v>
      </c>
      <c r="L1339" s="2" t="s">
        <v>3220</v>
      </c>
      <c r="Q1339" s="4" t="str">
        <f ca="1">IFERROR(__xludf.DUMMYFUNCTION("TRIM(SUBSTITUTE(SUBSTITUTE(D1339, index(SPLIT(D1339, "" ""), COLUMNS(SPLIT(D1339, "" ""))), """"), index(SPLIT(D1339, "" ""), COLUMNS(SPLIT(D1339, "" ""))-1), """"))"),"Вашковецька")</f>
        <v>Вашковецька</v>
      </c>
    </row>
    <row r="1340" spans="1:17" ht="88">
      <c r="A1340" s="2"/>
      <c r="B1340" s="2" t="s">
        <v>3194</v>
      </c>
      <c r="C1340" s="2" t="s">
        <v>3218</v>
      </c>
      <c r="D1340" s="2" t="s">
        <v>3221</v>
      </c>
      <c r="E1340" s="2"/>
      <c r="F1340" s="2" t="s">
        <v>32</v>
      </c>
      <c r="G1340" s="2">
        <v>26</v>
      </c>
      <c r="H1340" s="2">
        <v>540.6</v>
      </c>
      <c r="I1340" s="2">
        <v>32058</v>
      </c>
      <c r="J1340" s="2" t="s">
        <v>3222</v>
      </c>
      <c r="K1340" s="2">
        <v>20</v>
      </c>
      <c r="L1340" s="2" t="s">
        <v>3223</v>
      </c>
      <c r="Q1340" s="4" t="str">
        <f ca="1">IFERROR(__xludf.DUMMYFUNCTION("TRIM(SUBSTITUTE(SUBSTITUTE(D1340, index(SPLIT(D1340, "" ""), COLUMNS(SPLIT(D1340, "" ""))), """"), index(SPLIT(D1340, "" ""), COLUMNS(SPLIT(D1340, "" ""))-1), """"))"),"Кельменецька")</f>
        <v>Кельменецька</v>
      </c>
    </row>
    <row r="1341" spans="1:17" ht="50.5">
      <c r="A1341" s="2"/>
      <c r="B1341" s="2" t="s">
        <v>3194</v>
      </c>
      <c r="C1341" s="2" t="s">
        <v>3218</v>
      </c>
      <c r="D1341" s="2" t="s">
        <v>3224</v>
      </c>
      <c r="E1341" s="2"/>
      <c r="F1341" s="2" t="s">
        <v>28</v>
      </c>
      <c r="G1341" s="2">
        <v>12</v>
      </c>
      <c r="H1341" s="2">
        <v>212.4</v>
      </c>
      <c r="I1341" s="2">
        <v>14951</v>
      </c>
      <c r="J1341" s="2" t="s">
        <v>143</v>
      </c>
      <c r="K1341" s="2">
        <v>7</v>
      </c>
      <c r="L1341" s="2" t="s">
        <v>3225</v>
      </c>
      <c r="Q1341" s="4" t="str">
        <f ca="1">IFERROR(__xludf.DUMMYFUNCTION("TRIM(SUBSTITUTE(SUBSTITUTE(D1341, index(SPLIT(D1341, "" ""), COLUMNS(SPLIT(D1341, "" ""))), """"), index(SPLIT(D1341, "" ""), COLUMNS(SPLIT(D1341, "" ""))-1), """"))"),"Клішковецька")</f>
        <v>Клішковецька</v>
      </c>
    </row>
    <row r="1342" spans="1:17" ht="38">
      <c r="A1342" s="2"/>
      <c r="B1342" s="2" t="s">
        <v>3194</v>
      </c>
      <c r="C1342" s="2" t="s">
        <v>3218</v>
      </c>
      <c r="D1342" s="2" t="s">
        <v>3226</v>
      </c>
      <c r="E1342" s="2"/>
      <c r="F1342" s="2" t="s">
        <v>28</v>
      </c>
      <c r="G1342" s="2">
        <v>7</v>
      </c>
      <c r="H1342" s="2">
        <v>129.30000000000001</v>
      </c>
      <c r="I1342" s="2">
        <v>6679</v>
      </c>
      <c r="J1342" s="2" t="s">
        <v>3227</v>
      </c>
      <c r="K1342" s="2">
        <v>5</v>
      </c>
      <c r="L1342" s="2" t="s">
        <v>3228</v>
      </c>
      <c r="Q1342" s="4" t="str">
        <f ca="1">IFERROR(__xludf.DUMMYFUNCTION("TRIM(SUBSTITUTE(SUBSTITUTE(D1342, index(SPLIT(D1342, "" ""), COLUMNS(SPLIT(D1342, "" ""))), """"), index(SPLIT(D1342, "" ""), COLUMNS(SPLIT(D1342, "" ""))-1), """"))"),"Лівинецька")</f>
        <v>Лівинецька</v>
      </c>
    </row>
    <row r="1343" spans="1:17" ht="50.5">
      <c r="A1343" s="2"/>
      <c r="B1343" s="2" t="s">
        <v>3194</v>
      </c>
      <c r="C1343" s="2" t="s">
        <v>3218</v>
      </c>
      <c r="D1343" s="2" t="s">
        <v>3229</v>
      </c>
      <c r="E1343" s="2"/>
      <c r="F1343" s="2" t="s">
        <v>28</v>
      </c>
      <c r="G1343" s="2">
        <v>8</v>
      </c>
      <c r="H1343" s="2">
        <v>144.69999999999999</v>
      </c>
      <c r="I1343" s="2">
        <v>11863</v>
      </c>
      <c r="J1343" s="2" t="s">
        <v>143</v>
      </c>
      <c r="K1343" s="2">
        <v>6</v>
      </c>
      <c r="L1343" s="2" t="s">
        <v>3230</v>
      </c>
      <c r="Q1343" s="4" t="str">
        <f ca="1">IFERROR(__xludf.DUMMYFUNCTION("TRIM(SUBSTITUTE(SUBSTITUTE(D1343, index(SPLIT(D1343, "" ""), COLUMNS(SPLIT(D1343, "" ""))), """"), index(SPLIT(D1343, "" ""), COLUMNS(SPLIT(D1343, "" ""))-1), """"))"),"Мамалигівська")</f>
        <v>Мамалигівська</v>
      </c>
    </row>
    <row r="1344" spans="1:17" ht="50.5">
      <c r="A1344" s="2"/>
      <c r="B1344" s="2" t="s">
        <v>3194</v>
      </c>
      <c r="C1344" s="2" t="s">
        <v>3218</v>
      </c>
      <c r="D1344" s="2" t="s">
        <v>3231</v>
      </c>
      <c r="E1344" s="2"/>
      <c r="F1344" s="2" t="s">
        <v>28</v>
      </c>
      <c r="G1344" s="2">
        <v>7</v>
      </c>
      <c r="H1344" s="2">
        <v>129.5</v>
      </c>
      <c r="I1344" s="2">
        <v>12438</v>
      </c>
      <c r="J1344" s="2" t="s">
        <v>143</v>
      </c>
      <c r="K1344" s="2">
        <v>6</v>
      </c>
      <c r="L1344" s="2" t="s">
        <v>3232</v>
      </c>
      <c r="Q1344" s="4" t="str">
        <f ca="1">IFERROR(__xludf.DUMMYFUNCTION("TRIM(SUBSTITUTE(SUBSTITUTE(D1344, index(SPLIT(D1344, "" ""), COLUMNS(SPLIT(D1344, "" ""))), """"), index(SPLIT(D1344, "" ""), COLUMNS(SPLIT(D1344, "" ""))-1), """"))"),"Недобоївська")</f>
        <v>Недобоївська</v>
      </c>
    </row>
    <row r="1345" spans="1:17" ht="50.5">
      <c r="A1345" s="2"/>
      <c r="B1345" s="2" t="s">
        <v>3194</v>
      </c>
      <c r="C1345" s="2" t="s">
        <v>3218</v>
      </c>
      <c r="D1345" s="2" t="s">
        <v>3233</v>
      </c>
      <c r="E1345" s="2"/>
      <c r="F1345" s="2" t="s">
        <v>20</v>
      </c>
      <c r="G1345" s="2">
        <v>1</v>
      </c>
      <c r="H1345" s="2">
        <v>7.1</v>
      </c>
      <c r="I1345" s="2">
        <v>10590</v>
      </c>
      <c r="J1345" s="2" t="s">
        <v>249</v>
      </c>
      <c r="K1345" s="2">
        <v>1</v>
      </c>
      <c r="L1345" s="2" t="s">
        <v>3234</v>
      </c>
      <c r="Q1345" s="4" t="str">
        <f ca="1">IFERROR(__xludf.DUMMYFUNCTION("TRIM(SUBSTITUTE(SUBSTITUTE(D1345, index(SPLIT(D1345, "" ""), COLUMNS(SPLIT(D1345, "" ""))), """"), index(SPLIT(D1345, "" ""), COLUMNS(SPLIT(D1345, "" ""))-1), """"))"),"Новодністровська")</f>
        <v>Новодністровська</v>
      </c>
    </row>
    <row r="1346" spans="1:17" ht="38">
      <c r="A1346" s="2"/>
      <c r="B1346" s="2" t="s">
        <v>3194</v>
      </c>
      <c r="C1346" s="2" t="s">
        <v>3218</v>
      </c>
      <c r="D1346" s="2" t="s">
        <v>3235</v>
      </c>
      <c r="E1346" s="2"/>
      <c r="F1346" s="2" t="s">
        <v>28</v>
      </c>
      <c r="G1346" s="2">
        <v>6</v>
      </c>
      <c r="H1346" s="2">
        <v>108.7</v>
      </c>
      <c r="I1346" s="2">
        <v>6505</v>
      </c>
      <c r="J1346" s="2" t="s">
        <v>143</v>
      </c>
      <c r="K1346" s="2">
        <v>5</v>
      </c>
      <c r="L1346" s="2" t="s">
        <v>3236</v>
      </c>
      <c r="Q1346" s="4" t="str">
        <f ca="1">IFERROR(__xludf.DUMMYFUNCTION("TRIM(SUBSTITUTE(SUBSTITUTE(D1346, index(SPLIT(D1346, "" ""), COLUMNS(SPLIT(D1346, "" ""))), """"), index(SPLIT(D1346, "" ""), COLUMNS(SPLIT(D1346, "" ""))-1), """"))"),"Рукшинська")</f>
        <v>Рукшинська</v>
      </c>
    </row>
    <row r="1347" spans="1:17" ht="88">
      <c r="A1347" s="2"/>
      <c r="B1347" s="2" t="s">
        <v>3194</v>
      </c>
      <c r="C1347" s="2" t="s">
        <v>3218</v>
      </c>
      <c r="D1347" s="2" t="s">
        <v>3237</v>
      </c>
      <c r="E1347" s="2"/>
      <c r="F1347" s="2" t="s">
        <v>20</v>
      </c>
      <c r="G1347" s="2">
        <v>25</v>
      </c>
      <c r="H1347" s="2">
        <v>606.5</v>
      </c>
      <c r="I1347" s="2">
        <v>36520</v>
      </c>
      <c r="J1347" s="2" t="s">
        <v>143</v>
      </c>
      <c r="K1347" s="2">
        <v>20</v>
      </c>
      <c r="L1347" s="2" t="s">
        <v>3238</v>
      </c>
      <c r="Q1347" s="4" t="str">
        <f ca="1">IFERROR(__xludf.DUMMYFUNCTION("TRIM(SUBSTITUTE(SUBSTITUTE(D1347, index(SPLIT(D1347, "" ""), COLUMNS(SPLIT(D1347, "" ""))), """"), index(SPLIT(D1347, "" ""), COLUMNS(SPLIT(D1347, "" ""))-1), """"))"),"Сокирянська")</f>
        <v>Сокирянська</v>
      </c>
    </row>
    <row r="1348" spans="1:17" ht="50.5">
      <c r="A1348" s="2"/>
      <c r="B1348" s="2" t="s">
        <v>3194</v>
      </c>
      <c r="C1348" s="2" t="s">
        <v>3218</v>
      </c>
      <c r="D1348" s="2" t="s">
        <v>3239</v>
      </c>
      <c r="E1348" s="2"/>
      <c r="F1348" s="2" t="s">
        <v>20</v>
      </c>
      <c r="G1348" s="2">
        <v>11</v>
      </c>
      <c r="H1348" s="2">
        <v>182.5</v>
      </c>
      <c r="I1348" s="2">
        <v>18156</v>
      </c>
      <c r="J1348" s="2" t="s">
        <v>249</v>
      </c>
      <c r="K1348" s="2">
        <v>11</v>
      </c>
      <c r="L1348" s="2" t="s">
        <v>3240</v>
      </c>
      <c r="Q1348" s="4" t="str">
        <f ca="1">IFERROR(__xludf.DUMMYFUNCTION("TRIM(SUBSTITUTE(SUBSTITUTE(D1348, index(SPLIT(D1348, "" ""), COLUMNS(SPLIT(D1348, "" ""))), """"), index(SPLIT(D1348, "" ""), COLUMNS(SPLIT(D1348, "" ""))-1), """"))"),"Хотинська")</f>
        <v>Хотинська</v>
      </c>
    </row>
    <row r="1349" spans="1:17" ht="38">
      <c r="A1349" s="2"/>
      <c r="B1349" s="2" t="s">
        <v>3194</v>
      </c>
      <c r="C1349" s="2" t="s">
        <v>3241</v>
      </c>
      <c r="D1349" s="2" t="s">
        <v>3242</v>
      </c>
      <c r="E1349" s="2"/>
      <c r="F1349" s="2" t="s">
        <v>28</v>
      </c>
      <c r="G1349" s="2">
        <v>4</v>
      </c>
      <c r="H1349" s="2">
        <v>63.9</v>
      </c>
      <c r="I1349" s="2">
        <v>6416</v>
      </c>
      <c r="J1349" s="2" t="s">
        <v>3243</v>
      </c>
      <c r="K1349" s="2">
        <v>2</v>
      </c>
      <c r="L1349" s="2" t="s">
        <v>3244</v>
      </c>
      <c r="Q1349" s="4" t="str">
        <f ca="1">IFERROR(__xludf.DUMMYFUNCTION("TRIM(SUBSTITUTE(SUBSTITUTE(D1349, index(SPLIT(D1349, "" ""), COLUMNS(SPLIT(D1349, "" ""))), """"), index(SPLIT(D1349, "" ""), COLUMNS(SPLIT(D1349, "" ""))-1), """"))"),"Боянська")</f>
        <v>Боянська</v>
      </c>
    </row>
    <row r="1350" spans="1:17" ht="50.5">
      <c r="A1350" s="2"/>
      <c r="B1350" s="2" t="s">
        <v>3194</v>
      </c>
      <c r="C1350" s="2" t="s">
        <v>3241</v>
      </c>
      <c r="D1350" s="2" t="s">
        <v>3245</v>
      </c>
      <c r="E1350" s="2"/>
      <c r="F1350" s="2" t="s">
        <v>28</v>
      </c>
      <c r="G1350" s="2">
        <v>10</v>
      </c>
      <c r="H1350" s="2">
        <v>170.8</v>
      </c>
      <c r="I1350" s="2">
        <v>14337</v>
      </c>
      <c r="J1350" s="2" t="s">
        <v>46</v>
      </c>
      <c r="K1350" s="2">
        <v>7</v>
      </c>
      <c r="L1350" s="2" t="s">
        <v>3246</v>
      </c>
      <c r="Q1350" s="4" t="str">
        <f ca="1">IFERROR(__xludf.DUMMYFUNCTION("TRIM(SUBSTITUTE(SUBSTITUTE(D1350, index(SPLIT(D1350, "" ""), COLUMNS(SPLIT(D1350, "" ""))), """"), index(SPLIT(D1350, "" ""), COLUMNS(SPLIT(D1350, "" ""))-1), """"))"),"Ванчиковецька")</f>
        <v>Ванчиковецька</v>
      </c>
    </row>
    <row r="1351" spans="1:17" ht="50.5">
      <c r="A1351" s="2"/>
      <c r="B1351" s="2" t="s">
        <v>3194</v>
      </c>
      <c r="C1351" s="2" t="s">
        <v>3241</v>
      </c>
      <c r="D1351" s="2" t="s">
        <v>3247</v>
      </c>
      <c r="E1351" s="2"/>
      <c r="F1351" s="2" t="s">
        <v>28</v>
      </c>
      <c r="G1351" s="2">
        <v>5</v>
      </c>
      <c r="H1351" s="2">
        <v>98.1</v>
      </c>
      <c r="I1351" s="2">
        <v>13914</v>
      </c>
      <c r="J1351" s="2" t="s">
        <v>143</v>
      </c>
      <c r="K1351" s="2">
        <v>3</v>
      </c>
      <c r="L1351" s="2" t="s">
        <v>3248</v>
      </c>
      <c r="Q1351" s="4" t="str">
        <f ca="1">IFERROR(__xludf.DUMMYFUNCTION("TRIM(SUBSTITUTE(SUBSTITUTE(D1351, index(SPLIT(D1351, "" ""), COLUMNS(SPLIT(D1351, "" ""))), """"), index(SPLIT(D1351, "" ""), COLUMNS(SPLIT(D1351, "" ""))-1), """"))"),"Великокучурівська")</f>
        <v>Великокучурівська</v>
      </c>
    </row>
    <row r="1352" spans="1:17" ht="38">
      <c r="A1352" s="2"/>
      <c r="B1352" s="2" t="s">
        <v>3194</v>
      </c>
      <c r="C1352" s="2" t="s">
        <v>3241</v>
      </c>
      <c r="D1352" s="2" t="s">
        <v>3249</v>
      </c>
      <c r="E1352" s="2"/>
      <c r="F1352" s="2" t="s">
        <v>28</v>
      </c>
      <c r="G1352" s="2">
        <v>7</v>
      </c>
      <c r="H1352" s="2">
        <v>103.6</v>
      </c>
      <c r="I1352" s="2">
        <v>8069</v>
      </c>
      <c r="J1352" s="2" t="s">
        <v>3250</v>
      </c>
      <c r="K1352" s="2">
        <v>4</v>
      </c>
      <c r="L1352" s="2" t="s">
        <v>3251</v>
      </c>
      <c r="Q1352" s="4" t="str">
        <f ca="1">IFERROR(__xludf.DUMMYFUNCTION("TRIM(SUBSTITUTE(SUBSTITUTE(D1352, index(SPLIT(D1352, "" ""), COLUMNS(SPLIT(D1352, "" ""))), """"), index(SPLIT(D1352, "" ""), COLUMNS(SPLIT(D1352, "" ""))-1), """"))"),"Веренчацька")</f>
        <v>Веренчацька</v>
      </c>
    </row>
    <row r="1353" spans="1:17" ht="38">
      <c r="A1353" s="2"/>
      <c r="B1353" s="2" t="s">
        <v>3194</v>
      </c>
      <c r="C1353" s="2" t="s">
        <v>3241</v>
      </c>
      <c r="D1353" s="2" t="s">
        <v>3252</v>
      </c>
      <c r="E1353" s="2"/>
      <c r="F1353" s="2" t="s">
        <v>28</v>
      </c>
      <c r="G1353" s="2">
        <v>4</v>
      </c>
      <c r="H1353" s="2">
        <v>60.9</v>
      </c>
      <c r="I1353" s="2">
        <v>6976</v>
      </c>
      <c r="J1353" s="2" t="s">
        <v>143</v>
      </c>
      <c r="K1353" s="2">
        <v>3</v>
      </c>
      <c r="L1353" s="2" t="s">
        <v>3253</v>
      </c>
      <c r="Q1353" s="4" t="str">
        <f ca="1">IFERROR(__xludf.DUMMYFUNCTION("TRIM(SUBSTITUTE(SUBSTITUTE(D1353, index(SPLIT(D1353, "" ""), COLUMNS(SPLIT(D1353, "" ""))), """"), index(SPLIT(D1353, "" ""), COLUMNS(SPLIT(D1353, "" ""))-1), """"))"),"Волоківська")</f>
        <v>Волоківська</v>
      </c>
    </row>
    <row r="1354" spans="1:17" ht="38">
      <c r="A1354" s="2"/>
      <c r="B1354" s="2" t="s">
        <v>3194</v>
      </c>
      <c r="C1354" s="2" t="s">
        <v>3241</v>
      </c>
      <c r="D1354" s="2" t="s">
        <v>3254</v>
      </c>
      <c r="E1354" s="2"/>
      <c r="F1354" s="2" t="s">
        <v>28</v>
      </c>
      <c r="G1354" s="2">
        <v>8</v>
      </c>
      <c r="H1354" s="2">
        <v>98.8</v>
      </c>
      <c r="I1354" s="2">
        <v>5865</v>
      </c>
      <c r="J1354" s="2" t="s">
        <v>178</v>
      </c>
      <c r="K1354" s="2">
        <v>8</v>
      </c>
      <c r="L1354" s="2" t="s">
        <v>3255</v>
      </c>
      <c r="Q1354" s="4" t="str">
        <f ca="1">IFERROR(__xludf.DUMMYFUNCTION("TRIM(SUBSTITUTE(SUBSTITUTE(D1354, index(SPLIT(D1354, "" ""), COLUMNS(SPLIT(D1354, "" ""))), """"), index(SPLIT(D1354, "" ""), COLUMNS(SPLIT(D1354, "" ""))-1), """"))"),"Вікнянська")</f>
        <v>Вікнянська</v>
      </c>
    </row>
    <row r="1355" spans="1:17" ht="38">
      <c r="A1355" s="2"/>
      <c r="B1355" s="2" t="s">
        <v>3194</v>
      </c>
      <c r="C1355" s="2" t="s">
        <v>3241</v>
      </c>
      <c r="D1355" s="2" t="s">
        <v>3256</v>
      </c>
      <c r="E1355" s="2"/>
      <c r="F1355" s="2" t="s">
        <v>20</v>
      </c>
      <c r="G1355" s="2">
        <v>12</v>
      </c>
      <c r="H1355" s="2">
        <v>192.1</v>
      </c>
      <c r="I1355" s="2">
        <v>17973</v>
      </c>
      <c r="J1355" s="2" t="s">
        <v>93</v>
      </c>
      <c r="K1355" s="2">
        <v>8</v>
      </c>
      <c r="L1355" s="2" t="s">
        <v>3257</v>
      </c>
      <c r="Q1355" s="4" t="str">
        <f ca="1">IFERROR(__xludf.DUMMYFUNCTION("TRIM(SUBSTITUTE(SUBSTITUTE(D1355, index(SPLIT(D1355, "" ""), COLUMNS(SPLIT(D1355, "" ""))), """"), index(SPLIT(D1355, "" ""), COLUMNS(SPLIT(D1355, "" ""))-1), """"))"),"Герцаївська")</f>
        <v>Герцаївська</v>
      </c>
    </row>
    <row r="1356" spans="1:17" ht="38">
      <c r="A1356" s="2"/>
      <c r="B1356" s="2" t="s">
        <v>3194</v>
      </c>
      <c r="C1356" s="2" t="s">
        <v>3241</v>
      </c>
      <c r="D1356" s="2" t="s">
        <v>3258</v>
      </c>
      <c r="E1356" s="2"/>
      <c r="F1356" s="2" t="s">
        <v>32</v>
      </c>
      <c r="G1356" s="2">
        <v>9</v>
      </c>
      <c r="H1356" s="2">
        <v>140.6</v>
      </c>
      <c r="I1356" s="2">
        <v>19271</v>
      </c>
      <c r="J1356" s="2" t="s">
        <v>143</v>
      </c>
      <c r="K1356" s="2">
        <v>6</v>
      </c>
      <c r="L1356" s="2" t="s">
        <v>3259</v>
      </c>
      <c r="Q1356" s="4" t="str">
        <f ca="1">IFERROR(__xludf.DUMMYFUNCTION("TRIM(SUBSTITUTE(SUBSTITUTE(D1356, index(SPLIT(D1356, "" ""), COLUMNS(SPLIT(D1356, "" ""))), """"), index(SPLIT(D1356, "" ""), COLUMNS(SPLIT(D1356, "" ""))-1), """"))"),"Глибоцька")</f>
        <v>Глибоцька</v>
      </c>
    </row>
    <row r="1357" spans="1:17" ht="50.5">
      <c r="A1357" s="2"/>
      <c r="B1357" s="2" t="s">
        <v>3194</v>
      </c>
      <c r="C1357" s="2" t="s">
        <v>3241</v>
      </c>
      <c r="D1357" s="2" t="s">
        <v>3260</v>
      </c>
      <c r="E1357" s="2"/>
      <c r="F1357" s="2" t="s">
        <v>28</v>
      </c>
      <c r="G1357" s="2">
        <v>4</v>
      </c>
      <c r="H1357" s="2">
        <v>86.1</v>
      </c>
      <c r="I1357" s="2">
        <v>5784</v>
      </c>
      <c r="J1357" s="2" t="s">
        <v>3261</v>
      </c>
      <c r="K1357" s="2">
        <v>4</v>
      </c>
      <c r="L1357" s="2" t="s">
        <v>3262</v>
      </c>
      <c r="Q1357" s="4" t="str">
        <f ca="1">IFERROR(__xludf.DUMMYFUNCTION("TRIM(SUBSTITUTE(SUBSTITUTE(D1357, index(SPLIT(D1357, "" ""), COLUMNS(SPLIT(D1357, "" ""))), """"), index(SPLIT(D1357, "" ""), COLUMNS(SPLIT(D1357, "" ""))-1), """"))"),"Горішньошеровецька")</f>
        <v>Горішньошеровецька</v>
      </c>
    </row>
    <row r="1358" spans="1:17" ht="50.5">
      <c r="A1358" s="2"/>
      <c r="B1358" s="2" t="s">
        <v>3194</v>
      </c>
      <c r="C1358" s="2" t="s">
        <v>3241</v>
      </c>
      <c r="D1358" s="2" t="s">
        <v>3263</v>
      </c>
      <c r="E1358" s="2"/>
      <c r="F1358" s="2" t="s">
        <v>20</v>
      </c>
      <c r="G1358" s="2">
        <v>3</v>
      </c>
      <c r="H1358" s="2">
        <v>75.8</v>
      </c>
      <c r="I1358" s="2">
        <v>9315</v>
      </c>
      <c r="J1358" s="2" t="s">
        <v>93</v>
      </c>
      <c r="K1358" s="2">
        <v>3</v>
      </c>
      <c r="L1358" s="2" t="s">
        <v>3264</v>
      </c>
      <c r="Q1358" s="4" t="str">
        <f ca="1">IFERROR(__xludf.DUMMYFUNCTION("TRIM(SUBSTITUTE(SUBSTITUTE(D1358, index(SPLIT(D1358, "" ""), COLUMNS(SPLIT(D1358, "" ""))), """"), index(SPLIT(D1358, "" ""), COLUMNS(SPLIT(D1358, "" ""))-1), """"))"),"Заставнівська")</f>
        <v>Заставнівська</v>
      </c>
    </row>
    <row r="1359" spans="1:17" ht="50.5">
      <c r="A1359" s="2"/>
      <c r="B1359" s="2" t="s">
        <v>3194</v>
      </c>
      <c r="C1359" s="2" t="s">
        <v>3241</v>
      </c>
      <c r="D1359" s="2" t="s">
        <v>3265</v>
      </c>
      <c r="E1359" s="2"/>
      <c r="F1359" s="2" t="s">
        <v>28</v>
      </c>
      <c r="G1359" s="2">
        <v>6</v>
      </c>
      <c r="H1359" s="2">
        <v>94.7</v>
      </c>
      <c r="I1359" s="2">
        <v>7870</v>
      </c>
      <c r="J1359" s="2" t="s">
        <v>310</v>
      </c>
      <c r="K1359" s="2">
        <v>6</v>
      </c>
      <c r="L1359" s="2" t="s">
        <v>3266</v>
      </c>
      <c r="Q1359" s="4" t="str">
        <f ca="1">IFERROR(__xludf.DUMMYFUNCTION("TRIM(SUBSTITUTE(SUBSTITUTE(D1359, index(SPLIT(D1359, "" ""), COLUMNS(SPLIT(D1359, "" ""))), """"), index(SPLIT(D1359, "" ""), COLUMNS(SPLIT(D1359, "" ""))-1), """"))"),"Кадубовецька")</f>
        <v>Кадубовецька</v>
      </c>
    </row>
    <row r="1360" spans="1:17" ht="38">
      <c r="A1360" s="2"/>
      <c r="B1360" s="2" t="s">
        <v>3194</v>
      </c>
      <c r="C1360" s="2" t="s">
        <v>3241</v>
      </c>
      <c r="D1360" s="2" t="s">
        <v>3267</v>
      </c>
      <c r="E1360" s="2"/>
      <c r="F1360" s="2" t="s">
        <v>28</v>
      </c>
      <c r="G1360" s="2">
        <v>4</v>
      </c>
      <c r="H1360" s="2">
        <v>102.4</v>
      </c>
      <c r="I1360" s="2">
        <v>10101</v>
      </c>
      <c r="J1360" s="2" t="s">
        <v>3268</v>
      </c>
      <c r="K1360" s="2">
        <v>3</v>
      </c>
      <c r="L1360" s="2" t="s">
        <v>3269</v>
      </c>
      <c r="Q1360" s="4" t="str">
        <f ca="1">IFERROR(__xludf.DUMMYFUNCTION("TRIM(SUBSTITUTE(SUBSTITUTE(D1360, index(SPLIT(D1360, "" ""), COLUMNS(SPLIT(D1360, "" ""))), """"), index(SPLIT(D1360, "" ""), COLUMNS(SPLIT(D1360, "" ""))-1), """"))"),"Кам'янецька")</f>
        <v>Кам'янецька</v>
      </c>
    </row>
    <row r="1361" spans="1:17" ht="38">
      <c r="A1361" s="2"/>
      <c r="B1361" s="2" t="s">
        <v>3194</v>
      </c>
      <c r="C1361" s="2" t="s">
        <v>3241</v>
      </c>
      <c r="D1361" s="2" t="s">
        <v>338</v>
      </c>
      <c r="E1361" s="2"/>
      <c r="F1361" s="2" t="s">
        <v>28</v>
      </c>
      <c r="G1361" s="2">
        <v>7</v>
      </c>
      <c r="H1361" s="2">
        <v>120.6</v>
      </c>
      <c r="I1361" s="2">
        <v>11100</v>
      </c>
      <c r="J1361" s="2" t="s">
        <v>3270</v>
      </c>
      <c r="K1361" s="2">
        <v>3</v>
      </c>
      <c r="L1361" s="2" t="s">
        <v>3271</v>
      </c>
      <c r="Q1361" s="4" t="str">
        <f ca="1">IFERROR(__xludf.DUMMYFUNCTION("TRIM(SUBSTITUTE(SUBSTITUTE(D1361, index(SPLIT(D1361, "" ""), COLUMNS(SPLIT(D1361, "" ""))), """"), index(SPLIT(D1361, "" ""), COLUMNS(SPLIT(D1361, "" ""))-1), """"))"),"Кам'янська")</f>
        <v>Кам'янська</v>
      </c>
    </row>
    <row r="1362" spans="1:17" ht="50.5">
      <c r="A1362" s="2"/>
      <c r="B1362" s="2" t="s">
        <v>3194</v>
      </c>
      <c r="C1362" s="2" t="s">
        <v>3241</v>
      </c>
      <c r="D1362" s="2" t="s">
        <v>3272</v>
      </c>
      <c r="E1362" s="2"/>
      <c r="F1362" s="2" t="s">
        <v>28</v>
      </c>
      <c r="G1362" s="2">
        <v>2</v>
      </c>
      <c r="H1362" s="2">
        <v>45.7</v>
      </c>
      <c r="I1362" s="2">
        <v>4439</v>
      </c>
      <c r="J1362" s="2" t="s">
        <v>46</v>
      </c>
      <c r="K1362" s="2">
        <v>2</v>
      </c>
      <c r="L1362" s="2" t="s">
        <v>3273</v>
      </c>
      <c r="Q1362" s="4" t="str">
        <f ca="1">IFERROR(__xludf.DUMMYFUNCTION("TRIM(SUBSTITUTE(SUBSTITUTE(D1362, index(SPLIT(D1362, "" ""), COLUMNS(SPLIT(D1362, "" ""))), """"), index(SPLIT(D1362, "" ""), COLUMNS(SPLIT(D1362, "" ""))-1), """"))"),"Карапачівська")</f>
        <v>Карапачівська</v>
      </c>
    </row>
    <row r="1363" spans="1:17" ht="50.5">
      <c r="A1363" s="2"/>
      <c r="B1363" s="2" t="s">
        <v>3194</v>
      </c>
      <c r="C1363" s="2" t="s">
        <v>3241</v>
      </c>
      <c r="D1363" s="2" t="s">
        <v>3274</v>
      </c>
      <c r="E1363" s="2"/>
      <c r="F1363" s="2" t="s">
        <v>32</v>
      </c>
      <c r="G1363" s="2">
        <v>5</v>
      </c>
      <c r="H1363" s="2">
        <v>37.299999999999997</v>
      </c>
      <c r="I1363" s="2">
        <v>4281</v>
      </c>
      <c r="J1363" s="2" t="s">
        <v>178</v>
      </c>
      <c r="K1363" s="2">
        <v>3</v>
      </c>
      <c r="L1363" s="2" t="s">
        <v>3275</v>
      </c>
      <c r="Q1363" s="4" t="str">
        <f ca="1">IFERROR(__xludf.DUMMYFUNCTION("TRIM(SUBSTITUTE(SUBSTITUTE(D1363, index(SPLIT(D1363, "" ""), COLUMNS(SPLIT(D1363, "" ""))), """"), index(SPLIT(D1363, "" ""), COLUMNS(SPLIT(D1363, "" ""))-1), """"))"),"Кострижівська")</f>
        <v>Кострижівська</v>
      </c>
    </row>
    <row r="1364" spans="1:17" ht="50.5">
      <c r="A1364" s="2"/>
      <c r="B1364" s="2" t="s">
        <v>3194</v>
      </c>
      <c r="C1364" s="2" t="s">
        <v>3241</v>
      </c>
      <c r="D1364" s="2" t="s">
        <v>3276</v>
      </c>
      <c r="E1364" s="2"/>
      <c r="F1364" s="2" t="s">
        <v>32</v>
      </c>
      <c r="G1364" s="2">
        <v>2</v>
      </c>
      <c r="H1364" s="2">
        <v>191.4</v>
      </c>
      <c r="I1364" s="2">
        <v>11221</v>
      </c>
      <c r="J1364" s="2" t="s">
        <v>72</v>
      </c>
      <c r="K1364" s="2">
        <v>3</v>
      </c>
      <c r="L1364" s="2" t="s">
        <v>3277</v>
      </c>
      <c r="Q1364" s="4" t="str">
        <f ca="1">IFERROR(__xludf.DUMMYFUNCTION("TRIM(SUBSTITUTE(SUBSTITUTE(D1364, index(SPLIT(D1364, "" ""), COLUMNS(SPLIT(D1364, "" ""))), """"), index(SPLIT(D1364, "" ""), COLUMNS(SPLIT(D1364, "" ""))-1), """"))"),"Красноїльська")</f>
        <v>Красноїльська</v>
      </c>
    </row>
    <row r="1365" spans="1:17" ht="38">
      <c r="A1365" s="2"/>
      <c r="B1365" s="2" t="s">
        <v>3194</v>
      </c>
      <c r="C1365" s="2" t="s">
        <v>3241</v>
      </c>
      <c r="D1365" s="2" t="s">
        <v>3278</v>
      </c>
      <c r="E1365" s="2"/>
      <c r="F1365" s="2" t="s">
        <v>20</v>
      </c>
      <c r="G1365" s="2">
        <v>11</v>
      </c>
      <c r="H1365" s="2">
        <v>180.1</v>
      </c>
      <c r="I1365" s="2">
        <v>20729</v>
      </c>
      <c r="J1365" s="2" t="s">
        <v>39</v>
      </c>
      <c r="K1365" s="2">
        <v>9</v>
      </c>
      <c r="L1365" s="2" t="s">
        <v>3279</v>
      </c>
      <c r="Q1365" s="4" t="str">
        <f ca="1">IFERROR(__xludf.DUMMYFUNCTION("TRIM(SUBSTITUTE(SUBSTITUTE(D1365, index(SPLIT(D1365, "" ""), COLUMNS(SPLIT(D1365, "" ""))), """"), index(SPLIT(D1365, "" ""), COLUMNS(SPLIT(D1365, "" ""))-1), """"))"),"Кіцманська")</f>
        <v>Кіцманська</v>
      </c>
    </row>
    <row r="1366" spans="1:17" ht="38">
      <c r="A1366" s="2"/>
      <c r="B1366" s="2" t="s">
        <v>3194</v>
      </c>
      <c r="C1366" s="2" t="s">
        <v>3241</v>
      </c>
      <c r="D1366" s="2" t="s">
        <v>3280</v>
      </c>
      <c r="E1366" s="2"/>
      <c r="F1366" s="2" t="s">
        <v>28</v>
      </c>
      <c r="G1366" s="2">
        <v>5</v>
      </c>
      <c r="H1366" s="2">
        <v>84.1</v>
      </c>
      <c r="I1366" s="2">
        <v>9499</v>
      </c>
      <c r="J1366" s="2" t="s">
        <v>39</v>
      </c>
      <c r="K1366" s="2">
        <v>2</v>
      </c>
      <c r="L1366" s="2" t="s">
        <v>3281</v>
      </c>
      <c r="Q1366" s="4" t="str">
        <f ca="1">IFERROR(__xludf.DUMMYFUNCTION("TRIM(SUBSTITUTE(SUBSTITUTE(D1366, index(SPLIT(D1366, "" ""), COLUMNS(SPLIT(D1366, "" ""))), """"), index(SPLIT(D1366, "" ""), COLUMNS(SPLIT(D1366, "" ""))-1), """"))"),"Магальська")</f>
        <v>Магальська</v>
      </c>
    </row>
    <row r="1367" spans="1:17" ht="38">
      <c r="A1367" s="2"/>
      <c r="B1367" s="2" t="s">
        <v>3194</v>
      </c>
      <c r="C1367" s="2" t="s">
        <v>3241</v>
      </c>
      <c r="D1367" s="2" t="s">
        <v>3282</v>
      </c>
      <c r="E1367" s="2"/>
      <c r="F1367" s="2" t="s">
        <v>28</v>
      </c>
      <c r="G1367" s="2">
        <v>12</v>
      </c>
      <c r="H1367" s="2">
        <v>155.5</v>
      </c>
      <c r="I1367" s="2">
        <v>19929</v>
      </c>
      <c r="J1367" s="2" t="s">
        <v>39</v>
      </c>
      <c r="K1367" s="2">
        <v>7</v>
      </c>
      <c r="L1367" s="2" t="s">
        <v>3283</v>
      </c>
      <c r="Q1367" s="4" t="str">
        <f ca="1">IFERROR(__xludf.DUMMYFUNCTION("TRIM(SUBSTITUTE(SUBSTITUTE(D1367, index(SPLIT(D1367, "" ""), COLUMNS(SPLIT(D1367, "" ""))), """"), index(SPLIT(D1367, "" ""), COLUMNS(SPLIT(D1367, "" ""))-1), """"))"),"Мамаївська")</f>
        <v>Мамаївська</v>
      </c>
    </row>
    <row r="1368" spans="1:17" ht="50.5">
      <c r="A1368" s="2"/>
      <c r="B1368" s="2" t="s">
        <v>3194</v>
      </c>
      <c r="C1368" s="2" t="s">
        <v>3241</v>
      </c>
      <c r="D1368" s="2" t="s">
        <v>3284</v>
      </c>
      <c r="E1368" s="2"/>
      <c r="F1368" s="2" t="s">
        <v>32</v>
      </c>
      <c r="G1368" s="2">
        <v>6</v>
      </c>
      <c r="H1368" s="2">
        <v>57.9</v>
      </c>
      <c r="I1368" s="2">
        <v>7446</v>
      </c>
      <c r="J1368" s="2" t="s">
        <v>249</v>
      </c>
      <c r="K1368" s="2">
        <v>3</v>
      </c>
      <c r="L1368" s="2" t="s">
        <v>3285</v>
      </c>
      <c r="Q1368" s="4" t="str">
        <f ca="1">IFERROR(__xludf.DUMMYFUNCTION("TRIM(SUBSTITUTE(SUBSTITUTE(D1368, index(SPLIT(D1368, "" ""), COLUMNS(SPLIT(D1368, "" ""))), """"), index(SPLIT(D1368, "" ""), COLUMNS(SPLIT(D1368, "" ""))-1), """"))"),"Неполоковецька")</f>
        <v>Неполоковецька</v>
      </c>
    </row>
    <row r="1369" spans="1:17" ht="50.5">
      <c r="A1369" s="2"/>
      <c r="B1369" s="2" t="s">
        <v>3194</v>
      </c>
      <c r="C1369" s="2" t="s">
        <v>3241</v>
      </c>
      <c r="D1369" s="2" t="s">
        <v>3286</v>
      </c>
      <c r="E1369" s="2"/>
      <c r="F1369" s="2" t="s">
        <v>20</v>
      </c>
      <c r="G1369" s="2">
        <v>14</v>
      </c>
      <c r="H1369" s="2">
        <v>220.7</v>
      </c>
      <c r="I1369" s="2">
        <v>28201</v>
      </c>
      <c r="J1369" s="2" t="s">
        <v>178</v>
      </c>
      <c r="K1369" s="2">
        <v>12</v>
      </c>
      <c r="L1369" s="2" t="s">
        <v>3287</v>
      </c>
      <c r="Q1369" s="4" t="str">
        <f ca="1">IFERROR(__xludf.DUMMYFUNCTION("TRIM(SUBSTITUTE(SUBSTITUTE(D1369, index(SPLIT(D1369, "" ""), COLUMNS(SPLIT(D1369, "" ""))), """"), index(SPLIT(D1369, "" ""), COLUMNS(SPLIT(D1369, "" ""))-1), """"))"),"Новоселицька")</f>
        <v>Новоселицька</v>
      </c>
    </row>
    <row r="1370" spans="1:17" ht="38">
      <c r="A1370" s="2"/>
      <c r="B1370" s="2" t="s">
        <v>3194</v>
      </c>
      <c r="C1370" s="2" t="s">
        <v>3241</v>
      </c>
      <c r="D1370" s="2" t="s">
        <v>3288</v>
      </c>
      <c r="E1370" s="2"/>
      <c r="F1370" s="2" t="s">
        <v>28</v>
      </c>
      <c r="G1370" s="2">
        <v>10</v>
      </c>
      <c r="H1370" s="2">
        <v>99.1</v>
      </c>
      <c r="I1370" s="2">
        <v>13453</v>
      </c>
      <c r="J1370" s="2" t="s">
        <v>39</v>
      </c>
      <c r="K1370" s="2">
        <v>5</v>
      </c>
      <c r="L1370" s="2" t="s">
        <v>3289</v>
      </c>
      <c r="Q1370" s="4" t="str">
        <f ca="1">IFERROR(__xludf.DUMMYFUNCTION("TRIM(SUBSTITUTE(SUBSTITUTE(D1370, index(SPLIT(D1370, "" ""), COLUMNS(SPLIT(D1370, "" ""))), """"), index(SPLIT(D1370, "" ""), COLUMNS(SPLIT(D1370, "" ""))-1), """"))"),"Острицька")</f>
        <v>Острицька</v>
      </c>
    </row>
    <row r="1371" spans="1:17" ht="38">
      <c r="A1371" s="2"/>
      <c r="B1371" s="2" t="s">
        <v>3194</v>
      </c>
      <c r="C1371" s="2" t="s">
        <v>3241</v>
      </c>
      <c r="D1371" s="2" t="s">
        <v>3290</v>
      </c>
      <c r="E1371" s="2"/>
      <c r="F1371" s="2" t="s">
        <v>28</v>
      </c>
      <c r="G1371" s="2">
        <v>3</v>
      </c>
      <c r="H1371" s="2">
        <v>81.599999999999994</v>
      </c>
      <c r="I1371" s="2">
        <v>8134</v>
      </c>
      <c r="J1371" s="2" t="s">
        <v>3291</v>
      </c>
      <c r="K1371" s="2">
        <v>2</v>
      </c>
      <c r="L1371" s="2" t="s">
        <v>3292</v>
      </c>
      <c r="Q1371" s="4" t="str">
        <f ca="1">IFERROR(__xludf.DUMMYFUNCTION("TRIM(SUBSTITUTE(SUBSTITUTE(D1371, index(SPLIT(D1371, "" ""), COLUMNS(SPLIT(D1371, "" ""))), """"), index(SPLIT(D1371, "" ""), COLUMNS(SPLIT(D1371, "" ""))-1), """"))"),"Петровецька")</f>
        <v>Петровецька</v>
      </c>
    </row>
    <row r="1372" spans="1:17" ht="38">
      <c r="A1372" s="2"/>
      <c r="B1372" s="2" t="s">
        <v>3194</v>
      </c>
      <c r="C1372" s="2" t="s">
        <v>3241</v>
      </c>
      <c r="D1372" s="2" t="s">
        <v>3293</v>
      </c>
      <c r="E1372" s="2"/>
      <c r="F1372" s="2" t="s">
        <v>28</v>
      </c>
      <c r="G1372" s="2">
        <v>5</v>
      </c>
      <c r="H1372" s="2">
        <v>75.400000000000006</v>
      </c>
      <c r="I1372" s="2">
        <v>6250</v>
      </c>
      <c r="J1372" s="2" t="s">
        <v>249</v>
      </c>
      <c r="K1372" s="2">
        <v>5</v>
      </c>
      <c r="L1372" s="2" t="s">
        <v>3294</v>
      </c>
      <c r="Q1372" s="4" t="str">
        <f ca="1">IFERROR(__xludf.DUMMYFUNCTION("TRIM(SUBSTITUTE(SUBSTITUTE(D1372, index(SPLIT(D1372, "" ""), COLUMNS(SPLIT(D1372, "" ""))), """"), index(SPLIT(D1372, "" ""), COLUMNS(SPLIT(D1372, "" ""))-1), """"))"),"Ставчанська")</f>
        <v>Ставчанська</v>
      </c>
    </row>
    <row r="1373" spans="1:17" ht="63">
      <c r="A1373" s="2"/>
      <c r="B1373" s="2" t="s">
        <v>3194</v>
      </c>
      <c r="C1373" s="2" t="s">
        <v>3241</v>
      </c>
      <c r="D1373" s="2" t="s">
        <v>3295</v>
      </c>
      <c r="E1373" s="2"/>
      <c r="F1373" s="2" t="s">
        <v>20</v>
      </c>
      <c r="G1373" s="2">
        <v>17</v>
      </c>
      <c r="H1373" s="2">
        <v>520.4</v>
      </c>
      <c r="I1373" s="2">
        <v>42154</v>
      </c>
      <c r="J1373" s="2" t="s">
        <v>33</v>
      </c>
      <c r="K1373" s="2">
        <v>12</v>
      </c>
      <c r="L1373" s="2" t="s">
        <v>3296</v>
      </c>
      <c r="Q1373" s="4" t="str">
        <f ca="1">IFERROR(__xludf.DUMMYFUNCTION("TRIM(SUBSTITUTE(SUBSTITUTE(D1373, index(SPLIT(D1373, "" ""), COLUMNS(SPLIT(D1373, "" ""))), """"), index(SPLIT(D1373, "" ""), COLUMNS(SPLIT(D1373, "" ""))-1), """"))"),"Сторожинецька")</f>
        <v>Сторожинецька</v>
      </c>
    </row>
    <row r="1374" spans="1:17" ht="38">
      <c r="A1374" s="2"/>
      <c r="B1374" s="2" t="s">
        <v>3194</v>
      </c>
      <c r="C1374" s="2" t="s">
        <v>3241</v>
      </c>
      <c r="D1374" s="2" t="s">
        <v>3297</v>
      </c>
      <c r="E1374" s="2"/>
      <c r="F1374" s="2" t="s">
        <v>28</v>
      </c>
      <c r="G1374" s="2">
        <v>6</v>
      </c>
      <c r="H1374" s="2">
        <v>106.9</v>
      </c>
      <c r="I1374" s="2">
        <v>7905</v>
      </c>
      <c r="J1374" s="2" t="s">
        <v>163</v>
      </c>
      <c r="K1374" s="2">
        <v>3</v>
      </c>
      <c r="L1374" s="2" t="s">
        <v>3298</v>
      </c>
      <c r="Q1374" s="4" t="str">
        <f ca="1">IFERROR(__xludf.DUMMYFUNCTION("TRIM(SUBSTITUTE(SUBSTITUTE(D1374, index(SPLIT(D1374, "" ""), COLUMNS(SPLIT(D1374, "" ""))), """"), index(SPLIT(D1374, "" ""), COLUMNS(SPLIT(D1374, "" ""))-1), """"))"),"Сучевенська")</f>
        <v>Сучевенська</v>
      </c>
    </row>
    <row r="1375" spans="1:17" ht="38">
      <c r="A1375" s="2"/>
      <c r="B1375" s="2" t="s">
        <v>3194</v>
      </c>
      <c r="C1375" s="2" t="s">
        <v>3241</v>
      </c>
      <c r="D1375" s="2" t="s">
        <v>3299</v>
      </c>
      <c r="E1375" s="2"/>
      <c r="F1375" s="2" t="s">
        <v>28</v>
      </c>
      <c r="G1375" s="2">
        <v>5</v>
      </c>
      <c r="H1375" s="2">
        <v>91.6</v>
      </c>
      <c r="I1375" s="2">
        <v>7593</v>
      </c>
      <c r="J1375" s="2" t="s">
        <v>3300</v>
      </c>
      <c r="K1375" s="2">
        <v>3</v>
      </c>
      <c r="L1375" s="2" t="s">
        <v>3301</v>
      </c>
      <c r="Q1375" s="4" t="str">
        <f ca="1">IFERROR(__xludf.DUMMYFUNCTION("TRIM(SUBSTITUTE(SUBSTITUTE(D1375, index(SPLIT(D1375, "" ""), COLUMNS(SPLIT(D1375, "" ""))), """"), index(SPLIT(D1375, "" ""), COLUMNS(SPLIT(D1375, "" ""))-1), """"))"),"Тарашанська")</f>
        <v>Тарашанська</v>
      </c>
    </row>
    <row r="1376" spans="1:17" ht="50.5">
      <c r="A1376" s="2"/>
      <c r="B1376" s="2" t="s">
        <v>3194</v>
      </c>
      <c r="C1376" s="2" t="s">
        <v>3241</v>
      </c>
      <c r="D1376" s="2" t="s">
        <v>3302</v>
      </c>
      <c r="E1376" s="2"/>
      <c r="F1376" s="2" t="s">
        <v>28</v>
      </c>
      <c r="G1376" s="2">
        <v>5</v>
      </c>
      <c r="H1376" s="2">
        <v>74.7</v>
      </c>
      <c r="I1376" s="2">
        <v>6311</v>
      </c>
      <c r="J1376" s="2" t="s">
        <v>33</v>
      </c>
      <c r="K1376" s="2">
        <v>3</v>
      </c>
      <c r="L1376" s="2" t="s">
        <v>3303</v>
      </c>
      <c r="Q1376" s="4" t="str">
        <f ca="1">IFERROR(__xludf.DUMMYFUNCTION("TRIM(SUBSTITUTE(SUBSTITUTE(D1376, index(SPLIT(D1376, "" ""), COLUMNS(SPLIT(D1376, "" ""))), """"), index(SPLIT(D1376, "" ""), COLUMNS(SPLIT(D1376, "" ""))-1), """"))"),"Тереблеченська")</f>
        <v>Тереблеченська</v>
      </c>
    </row>
    <row r="1377" spans="1:17" ht="38">
      <c r="A1377" s="2"/>
      <c r="B1377" s="2" t="s">
        <v>3194</v>
      </c>
      <c r="C1377" s="2" t="s">
        <v>3241</v>
      </c>
      <c r="D1377" s="2" t="s">
        <v>3304</v>
      </c>
      <c r="E1377" s="2"/>
      <c r="F1377" s="2" t="s">
        <v>28</v>
      </c>
      <c r="G1377" s="2">
        <v>4</v>
      </c>
      <c r="H1377" s="2">
        <v>123.9</v>
      </c>
      <c r="I1377" s="2">
        <v>11606</v>
      </c>
      <c r="J1377" s="2" t="s">
        <v>3305</v>
      </c>
      <c r="K1377" s="2">
        <v>4</v>
      </c>
      <c r="L1377" s="2" t="s">
        <v>3306</v>
      </c>
      <c r="Q1377" s="4" t="str">
        <f ca="1">IFERROR(__xludf.DUMMYFUNCTION("TRIM(SUBSTITUTE(SUBSTITUTE(D1377, index(SPLIT(D1377, "" ""), COLUMNS(SPLIT(D1377, "" ""))), """"), index(SPLIT(D1377, "" ""), COLUMNS(SPLIT(D1377, "" ""))-1), """"))"),"Топорівська")</f>
        <v>Топорівська</v>
      </c>
    </row>
    <row r="1378" spans="1:17" ht="38">
      <c r="A1378" s="2"/>
      <c r="B1378" s="2" t="s">
        <v>3194</v>
      </c>
      <c r="C1378" s="2" t="s">
        <v>3241</v>
      </c>
      <c r="D1378" s="2" t="s">
        <v>3307</v>
      </c>
      <c r="E1378" s="2"/>
      <c r="F1378" s="2" t="s">
        <v>28</v>
      </c>
      <c r="G1378" s="2">
        <v>4</v>
      </c>
      <c r="H1378" s="2">
        <v>50.2</v>
      </c>
      <c r="I1378" s="2">
        <v>10159</v>
      </c>
      <c r="J1378" s="2" t="s">
        <v>249</v>
      </c>
      <c r="K1378" s="2">
        <v>3</v>
      </c>
      <c r="L1378" s="2" t="s">
        <v>3308</v>
      </c>
      <c r="Q1378" s="4" t="str">
        <f ca="1">IFERROR(__xludf.DUMMYFUNCTION("TRIM(SUBSTITUTE(SUBSTITUTE(D1378, index(SPLIT(D1378, "" ""), COLUMNS(SPLIT(D1378, "" ""))), """"), index(SPLIT(D1378, "" ""), COLUMNS(SPLIT(D1378, "" ""))-1), """"))"),"Чагорська")</f>
        <v>Чагорська</v>
      </c>
    </row>
    <row r="1379" spans="1:17" ht="38">
      <c r="A1379" s="2"/>
      <c r="B1379" s="2" t="s">
        <v>3194</v>
      </c>
      <c r="C1379" s="2" t="s">
        <v>3241</v>
      </c>
      <c r="D1379" s="2" t="s">
        <v>124</v>
      </c>
      <c r="E1379" s="2"/>
      <c r="F1379" s="2" t="s">
        <v>20</v>
      </c>
      <c r="G1379" s="2">
        <v>3</v>
      </c>
      <c r="H1379" s="2">
        <v>180.4</v>
      </c>
      <c r="I1379" s="2">
        <v>270578</v>
      </c>
      <c r="J1379" s="2" t="s">
        <v>3309</v>
      </c>
      <c r="K1379" s="2">
        <v>3</v>
      </c>
      <c r="L1379" s="2" t="s">
        <v>3310</v>
      </c>
      <c r="Q1379" s="4" t="str">
        <f ca="1">IFERROR(__xludf.DUMMYFUNCTION("TRIM(SUBSTITUTE(SUBSTITUTE(D1379, index(SPLIT(D1379, "" ""), COLUMNS(SPLIT(D1379, "" ""))), """"), index(SPLIT(D1379, "" ""), COLUMNS(SPLIT(D1379, "" ""))-1), """"))"),"Чернівецька")</f>
        <v>Чернівецька</v>
      </c>
    </row>
    <row r="1380" spans="1:17" ht="38">
      <c r="A1380" s="2"/>
      <c r="B1380" s="2" t="s">
        <v>3194</v>
      </c>
      <c r="C1380" s="2" t="s">
        <v>3241</v>
      </c>
      <c r="D1380" s="2" t="s">
        <v>3311</v>
      </c>
      <c r="E1380" s="2"/>
      <c r="F1380" s="2" t="s">
        <v>28</v>
      </c>
      <c r="G1380" s="2">
        <v>5</v>
      </c>
      <c r="H1380" s="2">
        <v>147.6</v>
      </c>
      <c r="I1380" s="2">
        <v>14420</v>
      </c>
      <c r="J1380" s="2" t="s">
        <v>72</v>
      </c>
      <c r="K1380" s="2">
        <v>4</v>
      </c>
      <c r="L1380" s="2" t="s">
        <v>3312</v>
      </c>
      <c r="Q1380" s="4" t="str">
        <f ca="1">IFERROR(__xludf.DUMMYFUNCTION("TRIM(SUBSTITUTE(SUBSTITUTE(D1380, index(SPLIT(D1380, "" ""), COLUMNS(SPLIT(D1380, "" ""))), """"), index(SPLIT(D1380, "" ""), COLUMNS(SPLIT(D1380, "" ""))-1), """"))"),"Чудейська")</f>
        <v>Чудейська</v>
      </c>
    </row>
    <row r="1381" spans="1:17" ht="38">
      <c r="A1381" s="2"/>
      <c r="B1381" s="2" t="s">
        <v>3194</v>
      </c>
      <c r="C1381" s="2" t="s">
        <v>3241</v>
      </c>
      <c r="D1381" s="2" t="s">
        <v>3313</v>
      </c>
      <c r="E1381" s="2"/>
      <c r="F1381" s="2" t="s">
        <v>28</v>
      </c>
      <c r="G1381" s="2">
        <v>8</v>
      </c>
      <c r="H1381" s="2">
        <v>165.3</v>
      </c>
      <c r="I1381" s="2">
        <v>10473</v>
      </c>
      <c r="J1381" s="2" t="s">
        <v>178</v>
      </c>
      <c r="K1381" s="2">
        <v>8</v>
      </c>
      <c r="L1381" s="2" t="s">
        <v>3314</v>
      </c>
      <c r="Q1381" s="4" t="str">
        <f ca="1">IFERROR(__xludf.DUMMYFUNCTION("TRIM(SUBSTITUTE(SUBSTITUTE(D1381, index(SPLIT(D1381, "" ""), COLUMNS(SPLIT(D1381, "" ""))), """"), index(SPLIT(D1381, "" ""), COLUMNS(SPLIT(D1381, "" ""))-1), """"))"),"Юрковецька")</f>
        <v>Юрковецька</v>
      </c>
    </row>
    <row r="1382" spans="1:17" ht="75.5">
      <c r="A1382" s="2"/>
      <c r="B1382" s="2" t="s">
        <v>3315</v>
      </c>
      <c r="C1382" s="2" t="s">
        <v>3316</v>
      </c>
      <c r="D1382" s="2" t="s">
        <v>3317</v>
      </c>
      <c r="E1382" s="2"/>
      <c r="F1382" s="2" t="s">
        <v>20</v>
      </c>
      <c r="G1382" s="2">
        <v>66</v>
      </c>
      <c r="H1382" s="2">
        <v>1172.5999999999999</v>
      </c>
      <c r="I1382" s="2">
        <v>20915</v>
      </c>
      <c r="J1382" s="2" t="s">
        <v>33</v>
      </c>
      <c r="K1382" s="2">
        <v>18</v>
      </c>
      <c r="L1382" s="2" t="s">
        <v>3318</v>
      </c>
      <c r="Q1382" s="4" t="str">
        <f ca="1">IFERROR(__xludf.DUMMYFUNCTION("TRIM(SUBSTITUTE(SUBSTITUTE(D1382, index(SPLIT(D1382, "" ""), COLUMNS(SPLIT(D1382, "" ""))), """"), index(SPLIT(D1382, "" ""), COLUMNS(SPLIT(D1382, "" ""))-1), """"))"),"Корюківська")</f>
        <v>Корюківська</v>
      </c>
    </row>
    <row r="1383" spans="1:17" ht="88">
      <c r="A1383" s="2"/>
      <c r="B1383" s="2" t="s">
        <v>3315</v>
      </c>
      <c r="C1383" s="2" t="s">
        <v>3316</v>
      </c>
      <c r="D1383" s="2" t="s">
        <v>3319</v>
      </c>
      <c r="E1383" s="2"/>
      <c r="F1383" s="2" t="s">
        <v>20</v>
      </c>
      <c r="G1383" s="2">
        <v>39</v>
      </c>
      <c r="H1383" s="2">
        <v>1026.0999999999999</v>
      </c>
      <c r="I1383" s="2">
        <v>25581</v>
      </c>
      <c r="J1383" s="2" t="s">
        <v>63</v>
      </c>
      <c r="K1383" s="2">
        <v>21</v>
      </c>
      <c r="L1383" s="2" t="s">
        <v>3320</v>
      </c>
      <c r="Q1383" s="4" t="str">
        <f ca="1">IFERROR(__xludf.DUMMYFUNCTION("TRIM(SUBSTITUTE(SUBSTITUTE(D1383, index(SPLIT(D1383, "" ""), COLUMNS(SPLIT(D1383, "" ""))), """"), index(SPLIT(D1383, "" ""), COLUMNS(SPLIT(D1383, "" ""))-1), """"))"),"Менська")</f>
        <v>Менська</v>
      </c>
    </row>
    <row r="1384" spans="1:17" ht="113">
      <c r="A1384" s="2"/>
      <c r="B1384" s="2" t="s">
        <v>3315</v>
      </c>
      <c r="C1384" s="2" t="s">
        <v>3316</v>
      </c>
      <c r="D1384" s="2" t="s">
        <v>3321</v>
      </c>
      <c r="E1384" s="2"/>
      <c r="F1384" s="2" t="s">
        <v>20</v>
      </c>
      <c r="G1384" s="2">
        <v>57</v>
      </c>
      <c r="H1384" s="2">
        <v>1283.0999999999999</v>
      </c>
      <c r="I1384" s="2">
        <v>22026</v>
      </c>
      <c r="J1384" s="2" t="s">
        <v>33</v>
      </c>
      <c r="K1384" s="2">
        <v>25</v>
      </c>
      <c r="L1384" s="2" t="s">
        <v>3322</v>
      </c>
      <c r="Q1384" s="4" t="str">
        <f ca="1">IFERROR(__xludf.DUMMYFUNCTION("TRIM(SUBSTITUTE(SUBSTITUTE(D1384, index(SPLIT(D1384, "" ""), COLUMNS(SPLIT(D1384, "" ""))), """"), index(SPLIT(D1384, "" ""), COLUMNS(SPLIT(D1384, "" ""))-1), """"))"),"Сновська")</f>
        <v>Сновська</v>
      </c>
    </row>
    <row r="1385" spans="1:17" ht="75.5">
      <c r="A1385" s="2"/>
      <c r="B1385" s="2" t="s">
        <v>3315</v>
      </c>
      <c r="C1385" s="2" t="s">
        <v>3316</v>
      </c>
      <c r="D1385" s="2" t="s">
        <v>3323</v>
      </c>
      <c r="E1385" s="2"/>
      <c r="F1385" s="2" t="s">
        <v>32</v>
      </c>
      <c r="G1385" s="2">
        <v>41</v>
      </c>
      <c r="H1385" s="2">
        <v>798.8</v>
      </c>
      <c r="I1385" s="2">
        <v>15212</v>
      </c>
      <c r="J1385" s="2" t="s">
        <v>39</v>
      </c>
      <c r="K1385" s="2">
        <v>17</v>
      </c>
      <c r="L1385" s="2" t="s">
        <v>3324</v>
      </c>
      <c r="Q1385" s="4" t="str">
        <f ca="1">IFERROR(__xludf.DUMMYFUNCTION("TRIM(SUBSTITUTE(SUBSTITUTE(D1385, index(SPLIT(D1385, "" ""), COLUMNS(SPLIT(D1385, "" ""))), """"), index(SPLIT(D1385, "" ""), COLUMNS(SPLIT(D1385, "" ""))-1), """"))"),"Сосницька")</f>
        <v>Сосницька</v>
      </c>
    </row>
    <row r="1386" spans="1:17" ht="38">
      <c r="A1386" s="2"/>
      <c r="B1386" s="2" t="s">
        <v>3315</v>
      </c>
      <c r="C1386" s="2" t="s">
        <v>3316</v>
      </c>
      <c r="D1386" s="2" t="s">
        <v>3325</v>
      </c>
      <c r="E1386" s="2"/>
      <c r="F1386" s="2" t="s">
        <v>32</v>
      </c>
      <c r="G1386" s="2">
        <v>15</v>
      </c>
      <c r="H1386" s="2">
        <v>320.3</v>
      </c>
      <c r="I1386" s="2">
        <v>4595</v>
      </c>
      <c r="J1386" s="2" t="s">
        <v>39</v>
      </c>
      <c r="K1386" s="2">
        <v>5</v>
      </c>
      <c r="L1386" s="2" t="s">
        <v>3326</v>
      </c>
      <c r="Q1386" s="4" t="str">
        <f ca="1">IFERROR(__xludf.DUMMYFUNCTION("TRIM(SUBSTITUTE(SUBSTITUTE(D1386, index(SPLIT(D1386, "" ""), COLUMNS(SPLIT(D1386, "" ""))), """"), index(SPLIT(D1386, "" ""), COLUMNS(SPLIT(D1386, "" ""))-1), """"))"),"Холминська")</f>
        <v>Холминська</v>
      </c>
    </row>
    <row r="1387" spans="1:17" ht="88">
      <c r="A1387" s="2"/>
      <c r="B1387" s="2" t="s">
        <v>3315</v>
      </c>
      <c r="C1387" s="2" t="s">
        <v>3327</v>
      </c>
      <c r="D1387" s="2" t="s">
        <v>3328</v>
      </c>
      <c r="E1387" s="2"/>
      <c r="F1387" s="2" t="s">
        <v>32</v>
      </c>
      <c r="G1387" s="2">
        <v>50</v>
      </c>
      <c r="H1387" s="2">
        <v>910.1</v>
      </c>
      <c r="I1387" s="2">
        <v>15506</v>
      </c>
      <c r="J1387" s="2" t="s">
        <v>33</v>
      </c>
      <c r="K1387" s="2">
        <v>19</v>
      </c>
      <c r="L1387" s="2" t="s">
        <v>3329</v>
      </c>
      <c r="Q1387" s="4" t="str">
        <f ca="1">IFERROR(__xludf.DUMMYFUNCTION("TRIM(SUBSTITUTE(SUBSTITUTE(D1387, index(SPLIT(D1387, "" ""), COLUMNS(SPLIT(D1387, "" ""))), """"), index(SPLIT(D1387, "" ""), COLUMNS(SPLIT(D1387, "" ""))-1), """"))"),"Коропська")</f>
        <v>Коропська</v>
      </c>
    </row>
    <row r="1388" spans="1:17" ht="113">
      <c r="A1388" s="2"/>
      <c r="B1388" s="2" t="s">
        <v>3315</v>
      </c>
      <c r="C1388" s="2" t="s">
        <v>3327</v>
      </c>
      <c r="D1388" s="2" t="s">
        <v>3330</v>
      </c>
      <c r="E1388" s="2"/>
      <c r="F1388" s="2" t="s">
        <v>20</v>
      </c>
      <c r="G1388" s="2">
        <v>85</v>
      </c>
      <c r="H1388" s="2">
        <v>1803.5</v>
      </c>
      <c r="I1388" s="2">
        <v>24668</v>
      </c>
      <c r="J1388" s="2" t="s">
        <v>3331</v>
      </c>
      <c r="K1388" s="2">
        <v>26</v>
      </c>
      <c r="L1388" s="2" t="s">
        <v>3332</v>
      </c>
      <c r="Q1388" s="4" t="str">
        <f ca="1">IFERROR(__xludf.DUMMYFUNCTION("TRIM(SUBSTITUTE(SUBSTITUTE(D1388, index(SPLIT(D1388, "" ""), COLUMNS(SPLIT(D1388, "" ""))), """"), index(SPLIT(D1388, "" ""), COLUMNS(SPLIT(D1388, "" ""))-1), """"))"),"Новгород-Сіверська")</f>
        <v>Новгород-Сіверська</v>
      </c>
    </row>
    <row r="1389" spans="1:17" ht="50.5">
      <c r="A1389" s="2"/>
      <c r="B1389" s="2" t="s">
        <v>3315</v>
      </c>
      <c r="C1389" s="2" t="s">
        <v>3327</v>
      </c>
      <c r="D1389" s="2" t="s">
        <v>3333</v>
      </c>
      <c r="E1389" s="2"/>
      <c r="F1389" s="2" t="s">
        <v>32</v>
      </c>
      <c r="G1389" s="2">
        <v>17</v>
      </c>
      <c r="H1389" s="2">
        <v>517.79999999999995</v>
      </c>
      <c r="I1389" s="2">
        <v>7523</v>
      </c>
      <c r="J1389" s="2" t="s">
        <v>163</v>
      </c>
      <c r="K1389" s="2">
        <v>10</v>
      </c>
      <c r="L1389" s="2" t="s">
        <v>3334</v>
      </c>
      <c r="Q1389" s="4" t="str">
        <f ca="1">IFERROR(__xludf.DUMMYFUNCTION("TRIM(SUBSTITUTE(SUBSTITUTE(D1389, index(SPLIT(D1389, "" ""), COLUMNS(SPLIT(D1389, "" ""))), """"), index(SPLIT(D1389, "" ""), COLUMNS(SPLIT(D1389, "" ""))-1), """"))"),"Понорницька")</f>
        <v>Понорницька</v>
      </c>
    </row>
    <row r="1390" spans="1:17" ht="75.5">
      <c r="A1390" s="2"/>
      <c r="B1390" s="2" t="s">
        <v>3315</v>
      </c>
      <c r="C1390" s="2" t="s">
        <v>3327</v>
      </c>
      <c r="D1390" s="2" t="s">
        <v>601</v>
      </c>
      <c r="E1390" s="2"/>
      <c r="F1390" s="2" t="s">
        <v>20</v>
      </c>
      <c r="G1390" s="2">
        <v>70</v>
      </c>
      <c r="H1390" s="2">
        <v>1399</v>
      </c>
      <c r="I1390" s="2">
        <v>15973</v>
      </c>
      <c r="J1390" s="2" t="s">
        <v>39</v>
      </c>
      <c r="K1390" s="2">
        <v>17</v>
      </c>
      <c r="L1390" s="2" t="s">
        <v>3335</v>
      </c>
      <c r="Q1390" s="4" t="str">
        <f ca="1">IFERROR(__xludf.DUMMYFUNCTION("TRIM(SUBSTITUTE(SUBSTITUTE(D1390, index(SPLIT(D1390, "" ""), COLUMNS(SPLIT(D1390, "" ""))), """"), index(SPLIT(D1390, "" ""), COLUMNS(SPLIT(D1390, "" ""))-1), """"))"),"Семенівська")</f>
        <v>Семенівська</v>
      </c>
    </row>
    <row r="1391" spans="1:17" ht="38">
      <c r="A1391" s="2"/>
      <c r="B1391" s="2" t="s">
        <v>3315</v>
      </c>
      <c r="C1391" s="2" t="s">
        <v>3336</v>
      </c>
      <c r="D1391" s="2" t="s">
        <v>3337</v>
      </c>
      <c r="E1391" s="2"/>
      <c r="F1391" s="2" t="s">
        <v>20</v>
      </c>
      <c r="G1391" s="2">
        <v>27</v>
      </c>
      <c r="H1391" s="2">
        <v>437.5</v>
      </c>
      <c r="I1391" s="2">
        <v>7136</v>
      </c>
      <c r="J1391" s="2" t="s">
        <v>72</v>
      </c>
      <c r="K1391" s="2">
        <v>7</v>
      </c>
      <c r="L1391" s="2" t="s">
        <v>3338</v>
      </c>
      <c r="Q1391" s="4" t="str">
        <f ca="1">IFERROR(__xludf.DUMMYFUNCTION("TRIM(SUBSTITUTE(SUBSTITUTE(D1391, index(SPLIT(D1391, "" ""), COLUMNS(SPLIT(D1391, "" ""))), """"), index(SPLIT(D1391, "" ""), COLUMNS(SPLIT(D1391, "" ""))-1), """"))"),"Батуринська")</f>
        <v>Батуринська</v>
      </c>
    </row>
    <row r="1392" spans="1:17" ht="50.5">
      <c r="A1392" s="2"/>
      <c r="B1392" s="2" t="s">
        <v>3315</v>
      </c>
      <c r="C1392" s="2" t="s">
        <v>3336</v>
      </c>
      <c r="D1392" s="2" t="s">
        <v>3339</v>
      </c>
      <c r="E1392" s="2"/>
      <c r="F1392" s="2" t="s">
        <v>20</v>
      </c>
      <c r="G1392" s="2">
        <v>39</v>
      </c>
      <c r="H1392" s="2">
        <v>720.9</v>
      </c>
      <c r="I1392" s="2">
        <v>29419</v>
      </c>
      <c r="J1392" s="2" t="s">
        <v>3340</v>
      </c>
      <c r="K1392" s="2">
        <v>11</v>
      </c>
      <c r="L1392" s="2" t="s">
        <v>3341</v>
      </c>
      <c r="Q1392" s="4" t="str">
        <f ca="1">IFERROR(__xludf.DUMMYFUNCTION("TRIM(SUBSTITUTE(SUBSTITUTE(D1392, index(SPLIT(D1392, "" ""), COLUMNS(SPLIT(D1392, "" ""))), """"), index(SPLIT(D1392, "" ""), COLUMNS(SPLIT(D1392, "" ""))-1), """"))"),"Бахмацька")</f>
        <v>Бахмацька</v>
      </c>
    </row>
    <row r="1393" spans="1:17" ht="88">
      <c r="A1393" s="2"/>
      <c r="B1393" s="2" t="s">
        <v>3315</v>
      </c>
      <c r="C1393" s="2" t="s">
        <v>3336</v>
      </c>
      <c r="D1393" s="2" t="s">
        <v>3342</v>
      </c>
      <c r="E1393" s="2"/>
      <c r="F1393" s="2" t="s">
        <v>20</v>
      </c>
      <c r="G1393" s="2">
        <v>41</v>
      </c>
      <c r="H1393" s="2">
        <v>1055.5</v>
      </c>
      <c r="I1393" s="2">
        <v>24750</v>
      </c>
      <c r="J1393" s="2" t="s">
        <v>39</v>
      </c>
      <c r="K1393" s="2">
        <v>19</v>
      </c>
      <c r="L1393" s="2" t="s">
        <v>3343</v>
      </c>
      <c r="Q1393" s="4" t="str">
        <f ca="1">IFERROR(__xludf.DUMMYFUNCTION("TRIM(SUBSTITUTE(SUBSTITUTE(D1393, index(SPLIT(D1393, "" ""), COLUMNS(SPLIT(D1393, "" ""))), """"), index(SPLIT(D1393, "" ""), COLUMNS(SPLIT(D1393, "" ""))-1), """"))"),"Бобровицька")</f>
        <v>Бобровицька</v>
      </c>
    </row>
    <row r="1394" spans="1:17" ht="38">
      <c r="A1394" s="2"/>
      <c r="B1394" s="2" t="s">
        <v>3315</v>
      </c>
      <c r="C1394" s="2" t="s">
        <v>3336</v>
      </c>
      <c r="D1394" s="2" t="s">
        <v>3344</v>
      </c>
      <c r="E1394" s="2"/>
      <c r="F1394" s="2" t="s">
        <v>20</v>
      </c>
      <c r="G1394" s="2">
        <v>22</v>
      </c>
      <c r="H1394" s="2">
        <v>538.1</v>
      </c>
      <c r="I1394" s="2">
        <v>15673</v>
      </c>
      <c r="J1394" s="2" t="s">
        <v>46</v>
      </c>
      <c r="K1394" s="2">
        <v>7</v>
      </c>
      <c r="L1394" s="2" t="s">
        <v>3345</v>
      </c>
      <c r="Q1394" s="4" t="str">
        <f ca="1">IFERROR(__xludf.DUMMYFUNCTION("TRIM(SUBSTITUTE(SUBSTITUTE(D1394, index(SPLIT(D1394, "" ""), COLUMNS(SPLIT(D1394, "" ""))), """"), index(SPLIT(D1394, "" ""), COLUMNS(SPLIT(D1394, "" ""))-1), """"))"),"Борзнянська")</f>
        <v>Борзнянська</v>
      </c>
    </row>
    <row r="1395" spans="1:17" ht="50.5">
      <c r="A1395" s="2"/>
      <c r="B1395" s="2" t="s">
        <v>3315</v>
      </c>
      <c r="C1395" s="2" t="s">
        <v>3336</v>
      </c>
      <c r="D1395" s="2" t="s">
        <v>3346</v>
      </c>
      <c r="E1395" s="2"/>
      <c r="F1395" s="2" t="s">
        <v>28</v>
      </c>
      <c r="G1395" s="2">
        <v>24</v>
      </c>
      <c r="H1395" s="2">
        <v>678.4</v>
      </c>
      <c r="I1395" s="2">
        <v>8020</v>
      </c>
      <c r="J1395" s="2" t="s">
        <v>143</v>
      </c>
      <c r="K1395" s="2">
        <v>11</v>
      </c>
      <c r="L1395" s="2" t="s">
        <v>3347</v>
      </c>
      <c r="Q1395" s="4" t="str">
        <f ca="1">IFERROR(__xludf.DUMMYFUNCTION("TRIM(SUBSTITUTE(SUBSTITUTE(D1395, index(SPLIT(D1395, "" ""), COLUMNS(SPLIT(D1395, "" ""))), """"), index(SPLIT(D1395, "" ""), COLUMNS(SPLIT(D1395, "" ""))-1), """"))"),"Вертіївська")</f>
        <v>Вертіївська</v>
      </c>
    </row>
    <row r="1396" spans="1:17" ht="38">
      <c r="A1396" s="2"/>
      <c r="B1396" s="2" t="s">
        <v>3315</v>
      </c>
      <c r="C1396" s="2" t="s">
        <v>3336</v>
      </c>
      <c r="D1396" s="2" t="s">
        <v>2736</v>
      </c>
      <c r="E1396" s="2"/>
      <c r="F1396" s="2" t="s">
        <v>28</v>
      </c>
      <c r="G1396" s="2">
        <v>15</v>
      </c>
      <c r="H1396" s="2">
        <v>267.39999999999998</v>
      </c>
      <c r="I1396" s="2">
        <v>4281</v>
      </c>
      <c r="J1396" s="2" t="s">
        <v>178</v>
      </c>
      <c r="K1396" s="2">
        <v>6</v>
      </c>
      <c r="L1396" s="2" t="s">
        <v>3348</v>
      </c>
      <c r="Q1396" s="4" t="str">
        <f ca="1">IFERROR(__xludf.DUMMYFUNCTION("TRIM(SUBSTITUTE(SUBSTITUTE(D1396, index(SPLIT(D1396, "" ""), COLUMNS(SPLIT(D1396, "" ""))), """"), index(SPLIT(D1396, "" ""), COLUMNS(SPLIT(D1396, "" ""))-1), """"))"),"Височанська")</f>
        <v>Височанська</v>
      </c>
    </row>
    <row r="1397" spans="1:17" ht="38">
      <c r="A1397" s="2"/>
      <c r="B1397" s="2" t="s">
        <v>3315</v>
      </c>
      <c r="C1397" s="2" t="s">
        <v>3336</v>
      </c>
      <c r="D1397" s="2" t="s">
        <v>1291</v>
      </c>
      <c r="E1397" s="2"/>
      <c r="F1397" s="2" t="s">
        <v>32</v>
      </c>
      <c r="G1397" s="2">
        <v>15</v>
      </c>
      <c r="H1397" s="2">
        <v>327.10000000000002</v>
      </c>
      <c r="I1397" s="2">
        <v>5067</v>
      </c>
      <c r="J1397" s="2" t="s">
        <v>1292</v>
      </c>
      <c r="K1397" s="2">
        <v>5</v>
      </c>
      <c r="L1397" s="2" t="s">
        <v>3349</v>
      </c>
      <c r="Q1397" s="4" t="str">
        <f ca="1">IFERROR(__xludf.DUMMYFUNCTION("TRIM(SUBSTITUTE(SUBSTITUTE(D1397, index(SPLIT(D1397, "" ""), COLUMNS(SPLIT(D1397, "" ""))), """"), index(SPLIT(D1397, "" ""), COLUMNS(SPLIT(D1397, "" ""))-1), """"))"),"Дмитрівська")</f>
        <v>Дмитрівська</v>
      </c>
    </row>
    <row r="1398" spans="1:17" ht="38">
      <c r="A1398" s="2"/>
      <c r="B1398" s="2" t="s">
        <v>3315</v>
      </c>
      <c r="C1398" s="2" t="s">
        <v>3336</v>
      </c>
      <c r="D1398" s="2" t="s">
        <v>3350</v>
      </c>
      <c r="E1398" s="2"/>
      <c r="F1398" s="2" t="s">
        <v>28</v>
      </c>
      <c r="G1398" s="2">
        <v>15</v>
      </c>
      <c r="H1398" s="2">
        <v>425</v>
      </c>
      <c r="I1398" s="2">
        <v>4539</v>
      </c>
      <c r="J1398" s="2" t="s">
        <v>63</v>
      </c>
      <c r="K1398" s="2">
        <v>7</v>
      </c>
      <c r="L1398" s="2" t="s">
        <v>3351</v>
      </c>
      <c r="Q1398" s="4" t="str">
        <f ca="1">IFERROR(__xludf.DUMMYFUNCTION("TRIM(SUBSTITUTE(SUBSTITUTE(D1398, index(SPLIT(D1398, "" ""), COLUMNS(SPLIT(D1398, "" ""))), """"), index(SPLIT(D1398, "" ""), COLUMNS(SPLIT(D1398, "" ""))-1), """"))"),"Комарівська")</f>
        <v>Комарівська</v>
      </c>
    </row>
    <row r="1399" spans="1:17" ht="38">
      <c r="A1399" s="2"/>
      <c r="B1399" s="2" t="s">
        <v>3315</v>
      </c>
      <c r="C1399" s="2" t="s">
        <v>3336</v>
      </c>
      <c r="D1399" s="2" t="s">
        <v>3352</v>
      </c>
      <c r="E1399" s="2"/>
      <c r="F1399" s="2" t="s">
        <v>28</v>
      </c>
      <c r="G1399" s="2">
        <v>14</v>
      </c>
      <c r="H1399" s="2">
        <v>285.39999999999998</v>
      </c>
      <c r="I1399" s="2">
        <v>3560</v>
      </c>
      <c r="J1399" s="2" t="s">
        <v>3353</v>
      </c>
      <c r="K1399" s="2">
        <v>6</v>
      </c>
      <c r="L1399" s="2" t="s">
        <v>3354</v>
      </c>
      <c r="Q1399" s="4" t="str">
        <f ca="1">IFERROR(__xludf.DUMMYFUNCTION("TRIM(SUBSTITUTE(SUBSTITUTE(D1399, index(SPLIT(D1399, "" ""), COLUMNS(SPLIT(D1399, "" ""))), """"), index(SPLIT(D1399, "" ""), COLUMNS(SPLIT(D1399, "" ""))-1), """"))"),"Крутівська")</f>
        <v>Крутівська</v>
      </c>
    </row>
    <row r="1400" spans="1:17" ht="50.5">
      <c r="A1400" s="2"/>
      <c r="B1400" s="2" t="s">
        <v>3315</v>
      </c>
      <c r="C1400" s="2" t="s">
        <v>3336</v>
      </c>
      <c r="D1400" s="2" t="s">
        <v>3355</v>
      </c>
      <c r="E1400" s="2"/>
      <c r="F1400" s="2" t="s">
        <v>32</v>
      </c>
      <c r="G1400" s="2">
        <v>21</v>
      </c>
      <c r="H1400" s="2">
        <v>355.8</v>
      </c>
      <c r="I1400" s="2">
        <v>9712</v>
      </c>
      <c r="J1400" s="2" t="s">
        <v>72</v>
      </c>
      <c r="K1400" s="2">
        <v>10</v>
      </c>
      <c r="L1400" s="2" t="s">
        <v>3356</v>
      </c>
      <c r="Q1400" s="4" t="str">
        <f ca="1">IFERROR(__xludf.DUMMYFUNCTION("TRIM(SUBSTITUTE(SUBSTITUTE(D1400, index(SPLIT(D1400, "" ""), COLUMNS(SPLIT(D1400, "" ""))), """"), index(SPLIT(D1400, "" ""), COLUMNS(SPLIT(D1400, "" ""))-1), """"))"),"Лосинівська")</f>
        <v>Лосинівська</v>
      </c>
    </row>
    <row r="1401" spans="1:17" ht="38">
      <c r="A1401" s="2"/>
      <c r="B1401" s="2" t="s">
        <v>3315</v>
      </c>
      <c r="C1401" s="2" t="s">
        <v>3336</v>
      </c>
      <c r="D1401" s="2" t="s">
        <v>3357</v>
      </c>
      <c r="E1401" s="2"/>
      <c r="F1401" s="2" t="s">
        <v>28</v>
      </c>
      <c r="G1401" s="2">
        <v>19</v>
      </c>
      <c r="H1401" s="2">
        <v>248.1</v>
      </c>
      <c r="I1401" s="2">
        <v>3545</v>
      </c>
      <c r="J1401" s="2" t="s">
        <v>143</v>
      </c>
      <c r="K1401" s="2">
        <v>6</v>
      </c>
      <c r="L1401" s="2" t="s">
        <v>3358</v>
      </c>
      <c r="Q1401" s="4" t="str">
        <f ca="1">IFERROR(__xludf.DUMMYFUNCTION("TRIM(SUBSTITUTE(SUBSTITUTE(D1401, index(SPLIT(D1401, "" ""), COLUMNS(SPLIT(D1401, "" ""))), """"), index(SPLIT(D1401, "" ""), COLUMNS(SPLIT(D1401, "" ""))-1), """"))"),"Макіївська")</f>
        <v>Макіївська</v>
      </c>
    </row>
    <row r="1402" spans="1:17" ht="38">
      <c r="A1402" s="2"/>
      <c r="B1402" s="2" t="s">
        <v>3315</v>
      </c>
      <c r="C1402" s="2" t="s">
        <v>3336</v>
      </c>
      <c r="D1402" s="2" t="s">
        <v>3359</v>
      </c>
      <c r="E1402" s="2"/>
      <c r="F1402" s="2" t="s">
        <v>28</v>
      </c>
      <c r="G1402" s="2">
        <v>7</v>
      </c>
      <c r="H1402" s="2">
        <v>332</v>
      </c>
      <c r="I1402" s="2">
        <v>4062</v>
      </c>
      <c r="J1402" s="2" t="s">
        <v>72</v>
      </c>
      <c r="K1402" s="2">
        <v>5</v>
      </c>
      <c r="L1402" s="2" t="s">
        <v>3360</v>
      </c>
      <c r="Q1402" s="4" t="str">
        <f ca="1">IFERROR(__xludf.DUMMYFUNCTION("TRIM(SUBSTITUTE(SUBSTITUTE(D1402, index(SPLIT(D1402, "" ""), COLUMNS(SPLIT(D1402, "" ""))), """"), index(SPLIT(D1402, "" ""), COLUMNS(SPLIT(D1402, "" ""))-1), """"))"),"Мринська")</f>
        <v>Мринська</v>
      </c>
    </row>
    <row r="1403" spans="1:17" ht="50.5">
      <c r="A1403" s="2"/>
      <c r="B1403" s="2" t="s">
        <v>3315</v>
      </c>
      <c r="C1403" s="2" t="s">
        <v>3336</v>
      </c>
      <c r="D1403" s="2" t="s">
        <v>3361</v>
      </c>
      <c r="E1403" s="2"/>
      <c r="F1403" s="2" t="s">
        <v>28</v>
      </c>
      <c r="G1403" s="2">
        <v>13</v>
      </c>
      <c r="H1403" s="2">
        <v>362.2</v>
      </c>
      <c r="I1403" s="2">
        <v>6132</v>
      </c>
      <c r="J1403" s="2" t="s">
        <v>39</v>
      </c>
      <c r="K1403" s="2">
        <v>6</v>
      </c>
      <c r="L1403" s="2" t="s">
        <v>3362</v>
      </c>
      <c r="Q1403" s="4" t="str">
        <f ca="1">IFERROR(__xludf.DUMMYFUNCTION("TRIM(SUBSTITUTE(SUBSTITUTE(D1403, index(SPLIT(D1403, "" ""), COLUMNS(SPLIT(D1403, "" ""))), """"), index(SPLIT(D1403, "" ""), COLUMNS(SPLIT(D1403, "" ""))-1), """"))"),"Новобасанська")</f>
        <v>Новобасанська</v>
      </c>
    </row>
    <row r="1404" spans="1:17" ht="38">
      <c r="A1404" s="2"/>
      <c r="B1404" s="2" t="s">
        <v>3315</v>
      </c>
      <c r="C1404" s="2" t="s">
        <v>3336</v>
      </c>
      <c r="D1404" s="2" t="s">
        <v>3363</v>
      </c>
      <c r="E1404" s="2"/>
      <c r="F1404" s="2" t="s">
        <v>20</v>
      </c>
      <c r="G1404" s="2">
        <v>21</v>
      </c>
      <c r="H1404" s="2">
        <v>569.79999999999995</v>
      </c>
      <c r="I1404" s="2">
        <v>19575</v>
      </c>
      <c r="J1404" s="2" t="s">
        <v>33</v>
      </c>
      <c r="K1404" s="2">
        <v>6</v>
      </c>
      <c r="L1404" s="2" t="s">
        <v>3364</v>
      </c>
      <c r="Q1404" s="4" t="str">
        <f ca="1">IFERROR(__xludf.DUMMYFUNCTION("TRIM(SUBSTITUTE(SUBSTITUTE(D1404, index(SPLIT(D1404, "" ""), COLUMNS(SPLIT(D1404, "" ""))), """"), index(SPLIT(D1404, "" ""), COLUMNS(SPLIT(D1404, "" ""))-1), """"))"),"Носівська")</f>
        <v>Носівська</v>
      </c>
    </row>
    <row r="1405" spans="1:17" ht="38">
      <c r="A1405" s="2"/>
      <c r="B1405" s="2" t="s">
        <v>3315</v>
      </c>
      <c r="C1405" s="2" t="s">
        <v>3336</v>
      </c>
      <c r="D1405" s="2" t="s">
        <v>3365</v>
      </c>
      <c r="E1405" s="2"/>
      <c r="F1405" s="2" t="s">
        <v>20</v>
      </c>
      <c r="G1405" s="2">
        <v>5</v>
      </c>
      <c r="H1405" s="2">
        <v>130.30000000000001</v>
      </c>
      <c r="I1405" s="2">
        <v>67806</v>
      </c>
      <c r="J1405" s="2" t="s">
        <v>3366</v>
      </c>
      <c r="K1405" s="2">
        <v>2</v>
      </c>
      <c r="L1405" s="2" t="s">
        <v>3367</v>
      </c>
      <c r="Q1405" s="4" t="str">
        <f ca="1">IFERROR(__xludf.DUMMYFUNCTION("TRIM(SUBSTITUTE(SUBSTITUTE(D1405, index(SPLIT(D1405, "" ""), COLUMNS(SPLIT(D1405, "" ""))), """"), index(SPLIT(D1405, "" ""), COLUMNS(SPLIT(D1405, "" ""))-1), """"))"),"Ніжинська")</f>
        <v>Ніжинська</v>
      </c>
    </row>
    <row r="1406" spans="1:17" ht="38">
      <c r="A1406" s="2"/>
      <c r="B1406" s="2" t="s">
        <v>3315</v>
      </c>
      <c r="C1406" s="2" t="s">
        <v>3336</v>
      </c>
      <c r="D1406" s="2" t="s">
        <v>3368</v>
      </c>
      <c r="E1406" s="2"/>
      <c r="F1406" s="2" t="s">
        <v>28</v>
      </c>
      <c r="G1406" s="2">
        <v>5</v>
      </c>
      <c r="H1406" s="2">
        <v>235.9</v>
      </c>
      <c r="I1406" s="2">
        <v>2652</v>
      </c>
      <c r="J1406" s="2" t="s">
        <v>39</v>
      </c>
      <c r="K1406" s="2">
        <v>4</v>
      </c>
      <c r="L1406" s="2" t="s">
        <v>3369</v>
      </c>
      <c r="Q1406" s="4" t="str">
        <f ca="1">IFERROR(__xludf.DUMMYFUNCTION("TRIM(SUBSTITUTE(SUBSTITUTE(D1406, index(SPLIT(D1406, "" ""), COLUMNS(SPLIT(D1406, "" ""))), """"), index(SPLIT(D1406, "" ""), COLUMNS(SPLIT(D1406, "" ""))-1), """"))"),"Плисківська")</f>
        <v>Плисківська</v>
      </c>
    </row>
    <row r="1407" spans="1:17" ht="50.5">
      <c r="A1407" s="2"/>
      <c r="B1407" s="2" t="s">
        <v>3315</v>
      </c>
      <c r="C1407" s="2" t="s">
        <v>3336</v>
      </c>
      <c r="D1407" s="2" t="s">
        <v>3370</v>
      </c>
      <c r="E1407" s="2"/>
      <c r="F1407" s="2" t="s">
        <v>28</v>
      </c>
      <c r="G1407" s="2">
        <v>15</v>
      </c>
      <c r="H1407" s="2">
        <v>249.6</v>
      </c>
      <c r="I1407" s="2">
        <v>4711</v>
      </c>
      <c r="J1407" s="2" t="s">
        <v>163</v>
      </c>
      <c r="K1407" s="2">
        <v>4</v>
      </c>
      <c r="L1407" s="2" t="s">
        <v>3371</v>
      </c>
      <c r="Q1407" s="4" t="str">
        <f ca="1">IFERROR(__xludf.DUMMYFUNCTION("TRIM(SUBSTITUTE(SUBSTITUTE(D1407, index(SPLIT(D1407, "" ""), COLUMNS(SPLIT(D1407, "" ""))), """"), index(SPLIT(D1407, "" ""), COLUMNS(SPLIT(D1407, "" ""))-1), """"))"),"Талалаївська")</f>
        <v>Талалаївська</v>
      </c>
    </row>
    <row r="1408" spans="1:17" ht="100.5">
      <c r="A1408" s="2"/>
      <c r="B1408" s="2" t="s">
        <v>3315</v>
      </c>
      <c r="C1408" s="2" t="s">
        <v>3372</v>
      </c>
      <c r="D1408" s="2" t="s">
        <v>3373</v>
      </c>
      <c r="E1408" s="2"/>
      <c r="F1408" s="2" t="s">
        <v>20</v>
      </c>
      <c r="G1408" s="2">
        <v>54</v>
      </c>
      <c r="H1408" s="2">
        <v>1205.9000000000001</v>
      </c>
      <c r="I1408" s="2">
        <v>22558</v>
      </c>
      <c r="J1408" s="2" t="s">
        <v>39</v>
      </c>
      <c r="K1408" s="2">
        <v>22</v>
      </c>
      <c r="L1408" s="2" t="s">
        <v>3374</v>
      </c>
      <c r="Q1408" s="4" t="str">
        <f ca="1">IFERROR(__xludf.DUMMYFUNCTION("TRIM(SUBSTITUTE(SUBSTITUTE(D1408, index(SPLIT(D1408, "" ""), COLUMNS(SPLIT(D1408, "" ""))), """"), index(SPLIT(D1408, "" ""), COLUMNS(SPLIT(D1408, "" ""))-1), """"))"),"Ічнянська")</f>
        <v>Ічнянська</v>
      </c>
    </row>
    <row r="1409" spans="1:17" ht="63">
      <c r="A1409" s="2"/>
      <c r="B1409" s="2" t="s">
        <v>3315</v>
      </c>
      <c r="C1409" s="2" t="s">
        <v>3372</v>
      </c>
      <c r="D1409" s="2" t="s">
        <v>3375</v>
      </c>
      <c r="E1409" s="2"/>
      <c r="F1409" s="2" t="s">
        <v>32</v>
      </c>
      <c r="G1409" s="2">
        <v>30</v>
      </c>
      <c r="H1409" s="2">
        <v>588.29999999999995</v>
      </c>
      <c r="I1409" s="2">
        <v>14908</v>
      </c>
      <c r="J1409" s="2" t="s">
        <v>178</v>
      </c>
      <c r="K1409" s="2">
        <v>15</v>
      </c>
      <c r="L1409" s="2" t="s">
        <v>3376</v>
      </c>
      <c r="Q1409" s="4" t="str">
        <f ca="1">IFERROR(__xludf.DUMMYFUNCTION("TRIM(SUBSTITUTE(SUBSTITUTE(D1409, index(SPLIT(D1409, "" ""), COLUMNS(SPLIT(D1409, "" ""))), """"), index(SPLIT(D1409, "" ""), COLUMNS(SPLIT(D1409, "" ""))-1), """"))"),"Варвинська")</f>
        <v>Варвинська</v>
      </c>
    </row>
    <row r="1410" spans="1:17" ht="38">
      <c r="A1410" s="2"/>
      <c r="B1410" s="2" t="s">
        <v>3315</v>
      </c>
      <c r="C1410" s="2" t="s">
        <v>3372</v>
      </c>
      <c r="D1410" s="2" t="s">
        <v>3377</v>
      </c>
      <c r="E1410" s="2"/>
      <c r="F1410" s="2" t="s">
        <v>32</v>
      </c>
      <c r="G1410" s="2">
        <v>7</v>
      </c>
      <c r="H1410" s="2">
        <v>179.2</v>
      </c>
      <c r="I1410" s="2">
        <v>8585</v>
      </c>
      <c r="J1410" s="2" t="s">
        <v>3378</v>
      </c>
      <c r="K1410" s="2">
        <v>3</v>
      </c>
      <c r="L1410" s="2" t="s">
        <v>3379</v>
      </c>
      <c r="Q1410" s="4" t="str">
        <f ca="1">IFERROR(__xludf.DUMMYFUNCTION("TRIM(SUBSTITUTE(SUBSTITUTE(D1410, index(SPLIT(D1410, "" ""), COLUMNS(SPLIT(D1410, "" ""))), """"), index(SPLIT(D1410, "" ""), COLUMNS(SPLIT(D1410, "" ""))-1), """"))"),"Ладанська")</f>
        <v>Ладанська</v>
      </c>
    </row>
    <row r="1411" spans="1:17" ht="38">
      <c r="A1411" s="2"/>
      <c r="B1411" s="2" t="s">
        <v>3315</v>
      </c>
      <c r="C1411" s="2" t="s">
        <v>3372</v>
      </c>
      <c r="D1411" s="2" t="s">
        <v>3380</v>
      </c>
      <c r="E1411" s="2"/>
      <c r="F1411" s="2" t="s">
        <v>32</v>
      </c>
      <c r="G1411" s="2">
        <v>16</v>
      </c>
      <c r="H1411" s="2">
        <v>205.9</v>
      </c>
      <c r="I1411" s="2">
        <v>4685</v>
      </c>
      <c r="J1411" s="2" t="s">
        <v>178</v>
      </c>
      <c r="K1411" s="2">
        <v>6</v>
      </c>
      <c r="L1411" s="2" t="s">
        <v>3381</v>
      </c>
      <c r="Q1411" s="4" t="str">
        <f ca="1">IFERROR(__xludf.DUMMYFUNCTION("TRIM(SUBSTITUTE(SUBSTITUTE(D1411, index(SPLIT(D1411, "" ""), COLUMNS(SPLIT(D1411, "" ""))), """"), index(SPLIT(D1411, "" ""), COLUMNS(SPLIT(D1411, "" ""))-1), """"))"),"Линовицька")</f>
        <v>Линовицька</v>
      </c>
    </row>
    <row r="1412" spans="1:17" ht="50.5">
      <c r="A1412" s="2"/>
      <c r="B1412" s="2" t="s">
        <v>3315</v>
      </c>
      <c r="C1412" s="2" t="s">
        <v>3372</v>
      </c>
      <c r="D1412" s="2" t="s">
        <v>3382</v>
      </c>
      <c r="E1412" s="2"/>
      <c r="F1412" s="2" t="s">
        <v>32</v>
      </c>
      <c r="G1412" s="2">
        <v>13</v>
      </c>
      <c r="H1412" s="2">
        <v>238.9</v>
      </c>
      <c r="I1412" s="2">
        <v>4468</v>
      </c>
      <c r="J1412" s="2" t="s">
        <v>39</v>
      </c>
      <c r="K1412" s="2">
        <v>6</v>
      </c>
      <c r="L1412" s="2" t="s">
        <v>3383</v>
      </c>
      <c r="Q1412" s="4" t="str">
        <f ca="1">IFERROR(__xludf.DUMMYFUNCTION("TRIM(SUBSTITUTE(SUBSTITUTE(D1412, index(SPLIT(D1412, "" ""), COLUMNS(SPLIT(D1412, "" ""))), """"), index(SPLIT(D1412, "" ""), COLUMNS(SPLIT(D1412, "" ""))-1), """"))"),"Малодівицька")</f>
        <v>Малодівицька</v>
      </c>
    </row>
    <row r="1413" spans="1:17" ht="38">
      <c r="A1413" s="2"/>
      <c r="B1413" s="2" t="s">
        <v>3315</v>
      </c>
      <c r="C1413" s="2" t="s">
        <v>3372</v>
      </c>
      <c r="D1413" s="2" t="s">
        <v>3384</v>
      </c>
      <c r="E1413" s="2"/>
      <c r="F1413" s="2" t="s">
        <v>32</v>
      </c>
      <c r="G1413" s="2">
        <v>22</v>
      </c>
      <c r="H1413" s="2">
        <v>369.1</v>
      </c>
      <c r="I1413" s="2">
        <v>6595</v>
      </c>
      <c r="J1413" s="2" t="s">
        <v>143</v>
      </c>
      <c r="K1413" s="2">
        <v>7</v>
      </c>
      <c r="L1413" s="2" t="s">
        <v>3385</v>
      </c>
      <c r="Q1413" s="4" t="str">
        <f ca="1">IFERROR(__xludf.DUMMYFUNCTION("TRIM(SUBSTITUTE(SUBSTITUTE(D1413, index(SPLIT(D1413, "" ""), COLUMNS(SPLIT(D1413, "" ""))), """"), index(SPLIT(D1413, "" ""), COLUMNS(SPLIT(D1413, "" ""))-1), """"))"),"Парафіївська")</f>
        <v>Парафіївська</v>
      </c>
    </row>
    <row r="1414" spans="1:17" ht="38">
      <c r="A1414" s="2"/>
      <c r="B1414" s="2" t="s">
        <v>3315</v>
      </c>
      <c r="C1414" s="2" t="s">
        <v>3372</v>
      </c>
      <c r="D1414" s="2" t="s">
        <v>3386</v>
      </c>
      <c r="E1414" s="2"/>
      <c r="F1414" s="2" t="s">
        <v>20</v>
      </c>
      <c r="G1414" s="2">
        <v>1</v>
      </c>
      <c r="H1414" s="2">
        <v>42.3</v>
      </c>
      <c r="I1414" s="2">
        <v>52553</v>
      </c>
      <c r="J1414" s="2" t="s">
        <v>3387</v>
      </c>
      <c r="K1414" s="2">
        <v>1</v>
      </c>
      <c r="L1414" s="2" t="s">
        <v>3388</v>
      </c>
      <c r="Q1414" s="4" t="str">
        <f ca="1">IFERROR(__xludf.DUMMYFUNCTION("TRIM(SUBSTITUTE(SUBSTITUTE(D1414, index(SPLIT(D1414, "" ""), COLUMNS(SPLIT(D1414, "" ""))), """"), index(SPLIT(D1414, "" ""), COLUMNS(SPLIT(D1414, "" ""))-1), """"))"),"Прилуцька")</f>
        <v>Прилуцька</v>
      </c>
    </row>
    <row r="1415" spans="1:17" ht="63">
      <c r="A1415" s="2"/>
      <c r="B1415" s="2" t="s">
        <v>3315</v>
      </c>
      <c r="C1415" s="2" t="s">
        <v>3372</v>
      </c>
      <c r="D1415" s="2" t="s">
        <v>3389</v>
      </c>
      <c r="E1415" s="2"/>
      <c r="F1415" s="2" t="s">
        <v>32</v>
      </c>
      <c r="G1415" s="2">
        <v>29</v>
      </c>
      <c r="H1415" s="2">
        <v>578</v>
      </c>
      <c r="I1415" s="2">
        <v>10519</v>
      </c>
      <c r="J1415" s="2" t="s">
        <v>39</v>
      </c>
      <c r="K1415" s="2">
        <v>13</v>
      </c>
      <c r="L1415" s="2" t="s">
        <v>3390</v>
      </c>
      <c r="Q1415" s="4" t="str">
        <f ca="1">IFERROR(__xludf.DUMMYFUNCTION("TRIM(SUBSTITUTE(SUBSTITUTE(D1415, index(SPLIT(D1415, "" ""), COLUMNS(SPLIT(D1415, "" ""))), """"), index(SPLIT(D1415, "" ""), COLUMNS(SPLIT(D1415, "" ""))-1), """"))"),"Срібнянська")</f>
        <v>Срібнянська</v>
      </c>
    </row>
    <row r="1416" spans="1:17" ht="88">
      <c r="A1416" s="2"/>
      <c r="B1416" s="2" t="s">
        <v>3315</v>
      </c>
      <c r="C1416" s="2" t="s">
        <v>3372</v>
      </c>
      <c r="D1416" s="2" t="s">
        <v>3391</v>
      </c>
      <c r="E1416" s="2"/>
      <c r="F1416" s="2" t="s">
        <v>28</v>
      </c>
      <c r="G1416" s="2">
        <v>54</v>
      </c>
      <c r="H1416" s="2">
        <v>887.8</v>
      </c>
      <c r="I1416" s="2">
        <v>12598</v>
      </c>
      <c r="J1416" s="2" t="s">
        <v>163</v>
      </c>
      <c r="K1416" s="2">
        <v>20</v>
      </c>
      <c r="L1416" s="2" t="s">
        <v>3392</v>
      </c>
      <c r="Q1416" s="4" t="str">
        <f ca="1">IFERROR(__xludf.DUMMYFUNCTION("TRIM(SUBSTITUTE(SUBSTITUTE(D1416, index(SPLIT(D1416, "" ""), COLUMNS(SPLIT(D1416, "" ""))), """"), index(SPLIT(D1416, "" ""), COLUMNS(SPLIT(D1416, "" ""))-1), """"))"),"Сухополов'янська")</f>
        <v>Сухополов'янська</v>
      </c>
    </row>
    <row r="1417" spans="1:17" ht="50.5">
      <c r="A1417" s="2"/>
      <c r="B1417" s="2" t="s">
        <v>3315</v>
      </c>
      <c r="C1417" s="2" t="s">
        <v>3372</v>
      </c>
      <c r="D1417" s="2" t="s">
        <v>3370</v>
      </c>
      <c r="E1417" s="2"/>
      <c r="F1417" s="2" t="s">
        <v>32</v>
      </c>
      <c r="G1417" s="2">
        <v>45</v>
      </c>
      <c r="H1417" s="2">
        <v>632.5</v>
      </c>
      <c r="I1417" s="2">
        <v>11777</v>
      </c>
      <c r="J1417" s="2" t="s">
        <v>163</v>
      </c>
      <c r="K1417" s="2">
        <v>4</v>
      </c>
      <c r="L1417" s="2" t="s">
        <v>3371</v>
      </c>
      <c r="Q1417" s="4" t="str">
        <f ca="1">IFERROR(__xludf.DUMMYFUNCTION("TRIM(SUBSTITUTE(SUBSTITUTE(D1417, index(SPLIT(D1417, "" ""), COLUMNS(SPLIT(D1417, "" ""))), """"), index(SPLIT(D1417, "" ""), COLUMNS(SPLIT(D1417, "" ""))-1), """"))"),"Талалаївська")</f>
        <v>Талалаївська</v>
      </c>
    </row>
    <row r="1418" spans="1:17" ht="38">
      <c r="A1418" s="2"/>
      <c r="B1418" s="2" t="s">
        <v>3315</v>
      </c>
      <c r="C1418" s="2" t="s">
        <v>3372</v>
      </c>
      <c r="D1418" s="2" t="s">
        <v>1197</v>
      </c>
      <c r="E1418" s="2"/>
      <c r="F1418" s="2" t="s">
        <v>28</v>
      </c>
      <c r="G1418" s="2">
        <v>9</v>
      </c>
      <c r="H1418" s="2">
        <v>282.89999999999998</v>
      </c>
      <c r="I1418" s="2">
        <v>3386</v>
      </c>
      <c r="J1418" s="2" t="s">
        <v>3393</v>
      </c>
      <c r="K1418" s="2">
        <v>6</v>
      </c>
      <c r="L1418" s="2" t="s">
        <v>3394</v>
      </c>
      <c r="Q1418" s="4" t="str">
        <f ca="1">IFERROR(__xludf.DUMMYFUNCTION("TRIM(SUBSTITUTE(SUBSTITUTE(D1418, index(SPLIT(D1418, "" ""), COLUMNS(SPLIT(D1418, "" ""))), """"), index(SPLIT(D1418, "" ""), COLUMNS(SPLIT(D1418, "" ""))-1), """"))"),"Яблунівська")</f>
        <v>Яблунівська</v>
      </c>
    </row>
    <row r="1419" spans="1:17" ht="38">
      <c r="A1419" s="2"/>
      <c r="B1419" s="2" t="s">
        <v>3315</v>
      </c>
      <c r="C1419" s="2" t="s">
        <v>3395</v>
      </c>
      <c r="D1419" s="2" t="s">
        <v>152</v>
      </c>
      <c r="E1419" s="2"/>
      <c r="F1419" s="2" t="s">
        <v>28</v>
      </c>
      <c r="G1419" s="2">
        <v>17</v>
      </c>
      <c r="H1419" s="2">
        <v>418</v>
      </c>
      <c r="I1419" s="2">
        <v>7399</v>
      </c>
      <c r="J1419" s="2" t="s">
        <v>33</v>
      </c>
      <c r="K1419" s="2">
        <v>7</v>
      </c>
      <c r="L1419" s="2" t="s">
        <v>3396</v>
      </c>
      <c r="Q1419" s="4" t="str">
        <f ca="1">IFERROR(__xludf.DUMMYFUNCTION("TRIM(SUBSTITUTE(SUBSTITUTE(D1419, index(SPLIT(D1419, "" ""), COLUMNS(SPLIT(D1419, "" ""))), """"), index(SPLIT(D1419, "" ""), COLUMNS(SPLIT(D1419, "" ""))-1), """"))"),"Іванівська")</f>
        <v>Іванівська</v>
      </c>
    </row>
    <row r="1420" spans="1:17" ht="50.5">
      <c r="A1420" s="2"/>
      <c r="B1420" s="2" t="s">
        <v>3315</v>
      </c>
      <c r="C1420" s="2" t="s">
        <v>3395</v>
      </c>
      <c r="D1420" s="2" t="s">
        <v>3397</v>
      </c>
      <c r="E1420" s="2"/>
      <c r="F1420" s="2" t="s">
        <v>32</v>
      </c>
      <c r="G1420" s="2">
        <v>17</v>
      </c>
      <c r="H1420" s="2">
        <v>352.5</v>
      </c>
      <c r="I1420" s="2">
        <v>7505</v>
      </c>
      <c r="J1420" s="2" t="s">
        <v>3398</v>
      </c>
      <c r="K1420" s="2">
        <v>5</v>
      </c>
      <c r="L1420" s="2" t="s">
        <v>3399</v>
      </c>
      <c r="Q1420" s="4" t="str">
        <f ca="1">IFERROR(__xludf.DUMMYFUNCTION("TRIM(SUBSTITUTE(SUBSTITUTE(D1420, index(SPLIT(D1420, "" ""), COLUMNS(SPLIT(D1420, "" ""))), """"), index(SPLIT(D1420, "" ""), COLUMNS(SPLIT(D1420, "" ""))-1), """"))"),"Березнянська")</f>
        <v>Березнянська</v>
      </c>
    </row>
    <row r="1421" spans="1:17" ht="38">
      <c r="A1421" s="2"/>
      <c r="B1421" s="2" t="s">
        <v>3315</v>
      </c>
      <c r="C1421" s="2" t="s">
        <v>3395</v>
      </c>
      <c r="D1421" s="2" t="s">
        <v>3400</v>
      </c>
      <c r="E1421" s="2"/>
      <c r="F1421" s="2" t="s">
        <v>32</v>
      </c>
      <c r="G1421" s="2">
        <v>17</v>
      </c>
      <c r="H1421" s="2">
        <v>634.70000000000005</v>
      </c>
      <c r="I1421" s="2">
        <v>6190</v>
      </c>
      <c r="J1421" s="2" t="s">
        <v>72</v>
      </c>
      <c r="K1421" s="2">
        <v>6</v>
      </c>
      <c r="L1421" s="2" t="s">
        <v>3401</v>
      </c>
      <c r="Q1421" s="4" t="str">
        <f ca="1">IFERROR(__xludf.DUMMYFUNCTION("TRIM(SUBSTITUTE(SUBSTITUTE(D1421, index(SPLIT(D1421, "" ""), COLUMNS(SPLIT(D1421, "" ""))), """"), index(SPLIT(D1421, "" ""), COLUMNS(SPLIT(D1421, "" ""))-1), """"))"),"Гончарівська")</f>
        <v>Гончарівська</v>
      </c>
    </row>
    <row r="1422" spans="1:17" ht="100.5">
      <c r="A1422" s="2"/>
      <c r="B1422" s="2" t="s">
        <v>3315</v>
      </c>
      <c r="C1422" s="2" t="s">
        <v>3395</v>
      </c>
      <c r="D1422" s="2" t="s">
        <v>3402</v>
      </c>
      <c r="E1422" s="2"/>
      <c r="F1422" s="2" t="s">
        <v>20</v>
      </c>
      <c r="G1422" s="2">
        <v>61</v>
      </c>
      <c r="H1422" s="2">
        <v>1186.9000000000001</v>
      </c>
      <c r="I1422" s="2">
        <v>21388</v>
      </c>
      <c r="J1422" s="2" t="s">
        <v>178</v>
      </c>
      <c r="K1422" s="2">
        <v>23</v>
      </c>
      <c r="L1422" s="2" t="s">
        <v>3403</v>
      </c>
      <c r="Q1422" s="4" t="str">
        <f ca="1">IFERROR(__xludf.DUMMYFUNCTION("TRIM(SUBSTITUTE(SUBSTITUTE(D1422, index(SPLIT(D1422, "" ""), COLUMNS(SPLIT(D1422, "" ""))), """"), index(SPLIT(D1422, "" ""), COLUMNS(SPLIT(D1422, "" ""))-1), """"))"),"Городнянська")</f>
        <v>Городнянська</v>
      </c>
    </row>
    <row r="1423" spans="1:17" ht="38">
      <c r="A1423" s="2"/>
      <c r="B1423" s="2" t="s">
        <v>3315</v>
      </c>
      <c r="C1423" s="2" t="s">
        <v>3395</v>
      </c>
      <c r="D1423" s="2" t="s">
        <v>3404</v>
      </c>
      <c r="E1423" s="2"/>
      <c r="F1423" s="2" t="s">
        <v>32</v>
      </c>
      <c r="G1423" s="2">
        <v>13</v>
      </c>
      <c r="H1423" s="2">
        <v>710</v>
      </c>
      <c r="I1423" s="2">
        <v>10171</v>
      </c>
      <c r="J1423" s="2" t="s">
        <v>143</v>
      </c>
      <c r="K1423" s="2">
        <v>5</v>
      </c>
      <c r="L1423" s="2" t="s">
        <v>3405</v>
      </c>
      <c r="Q1423" s="4" t="str">
        <f ca="1">IFERROR(__xludf.DUMMYFUNCTION("TRIM(SUBSTITUTE(SUBSTITUTE(D1423, index(SPLIT(D1423, "" ""), COLUMNS(SPLIT(D1423, "" ""))), """"), index(SPLIT(D1423, "" ""), COLUMNS(SPLIT(D1423, "" ""))-1), """"))"),"Деснянська")</f>
        <v>Деснянська</v>
      </c>
    </row>
    <row r="1424" spans="1:17" ht="38">
      <c r="A1424" s="2"/>
      <c r="B1424" s="2" t="s">
        <v>3315</v>
      </c>
      <c r="C1424" s="2" t="s">
        <v>3395</v>
      </c>
      <c r="D1424" s="2" t="s">
        <v>3406</v>
      </c>
      <c r="E1424" s="2"/>
      <c r="F1424" s="2" t="s">
        <v>32</v>
      </c>
      <c r="G1424" s="2">
        <v>21</v>
      </c>
      <c r="H1424" s="2">
        <v>460.5</v>
      </c>
      <c r="I1424" s="2">
        <v>4983</v>
      </c>
      <c r="J1424" s="2" t="s">
        <v>163</v>
      </c>
      <c r="K1424" s="2">
        <v>5</v>
      </c>
      <c r="L1424" s="2" t="s">
        <v>3407</v>
      </c>
      <c r="Q1424" s="4" t="str">
        <f ca="1">IFERROR(__xludf.DUMMYFUNCTION("TRIM(SUBSTITUTE(SUBSTITUTE(D1424, index(SPLIT(D1424, "" ""), COLUMNS(SPLIT(D1424, "" ""))), """"), index(SPLIT(D1424, "" ""), COLUMNS(SPLIT(D1424, "" ""))-1), """"))"),"Добрянська")</f>
        <v>Добрянська</v>
      </c>
    </row>
    <row r="1425" spans="1:17" ht="38">
      <c r="A1425" s="2"/>
      <c r="B1425" s="2" t="s">
        <v>3315</v>
      </c>
      <c r="C1425" s="2" t="s">
        <v>3395</v>
      </c>
      <c r="D1425" s="2" t="s">
        <v>3408</v>
      </c>
      <c r="E1425" s="2"/>
      <c r="F1425" s="2" t="s">
        <v>28</v>
      </c>
      <c r="G1425" s="2">
        <v>15</v>
      </c>
      <c r="H1425" s="2">
        <v>269.89999999999998</v>
      </c>
      <c r="I1425" s="2">
        <v>5499</v>
      </c>
      <c r="J1425" s="2" t="s">
        <v>163</v>
      </c>
      <c r="K1425" s="2">
        <v>5</v>
      </c>
      <c r="L1425" s="2" t="s">
        <v>3409</v>
      </c>
      <c r="Q1425" s="4" t="str">
        <f ca="1">IFERROR(__xludf.DUMMYFUNCTION("TRIM(SUBSTITUTE(SUBSTITUTE(D1425, index(SPLIT(D1425, "" ""), COLUMNS(SPLIT(D1425, "" ""))), """"), index(SPLIT(D1425, "" ""), COLUMNS(SPLIT(D1425, "" ""))-1), """"))"),"Киселівська")</f>
        <v>Киселівська</v>
      </c>
    </row>
    <row r="1426" spans="1:17" ht="38">
      <c r="A1426" s="2"/>
      <c r="B1426" s="2" t="s">
        <v>3315</v>
      </c>
      <c r="C1426" s="2" t="s">
        <v>3395</v>
      </c>
      <c r="D1426" s="2" t="s">
        <v>3410</v>
      </c>
      <c r="E1426" s="2"/>
      <c r="F1426" s="2" t="s">
        <v>28</v>
      </c>
      <c r="G1426" s="2">
        <v>6</v>
      </c>
      <c r="H1426" s="2">
        <v>108.2</v>
      </c>
      <c r="I1426" s="2">
        <v>4684</v>
      </c>
      <c r="J1426" s="2" t="s">
        <v>46</v>
      </c>
      <c r="K1426" s="2">
        <v>3</v>
      </c>
      <c r="L1426" s="2" t="s">
        <v>3411</v>
      </c>
      <c r="Q1426" s="4" t="str">
        <f ca="1">IFERROR(__xludf.DUMMYFUNCTION("TRIM(SUBSTITUTE(SUBSTITUTE(D1426, index(SPLIT(D1426, "" ""), COLUMNS(SPLIT(D1426, "" ""))), """"), index(SPLIT(D1426, "" ""), COLUMNS(SPLIT(D1426, "" ""))-1), """"))"),"Киїнська")</f>
        <v>Киїнська</v>
      </c>
    </row>
    <row r="1427" spans="1:17" ht="88">
      <c r="A1427" s="2"/>
      <c r="B1427" s="2" t="s">
        <v>3315</v>
      </c>
      <c r="C1427" s="2" t="s">
        <v>3395</v>
      </c>
      <c r="D1427" s="2" t="s">
        <v>3412</v>
      </c>
      <c r="E1427" s="2"/>
      <c r="F1427" s="2" t="s">
        <v>32</v>
      </c>
      <c r="G1427" s="2">
        <v>54</v>
      </c>
      <c r="H1427" s="2">
        <v>697</v>
      </c>
      <c r="I1427" s="2">
        <v>16148</v>
      </c>
      <c r="J1427" s="2" t="s">
        <v>63</v>
      </c>
      <c r="K1427" s="2">
        <v>20</v>
      </c>
      <c r="L1427" s="2" t="s">
        <v>3413</v>
      </c>
      <c r="Q1427" s="4" t="str">
        <f ca="1">IFERROR(__xludf.DUMMYFUNCTION("TRIM(SUBSTITUTE(SUBSTITUTE(D1427, index(SPLIT(D1427, "" ""), COLUMNS(SPLIT(D1427, "" ""))), """"), index(SPLIT(D1427, "" ""), COLUMNS(SPLIT(D1427, "" ""))-1), """"))"),"Козелецька")</f>
        <v>Козелецька</v>
      </c>
    </row>
    <row r="1428" spans="1:17" ht="75.5">
      <c r="A1428" s="2"/>
      <c r="B1428" s="2" t="s">
        <v>3315</v>
      </c>
      <c r="C1428" s="2" t="s">
        <v>3395</v>
      </c>
      <c r="D1428" s="2" t="s">
        <v>1658</v>
      </c>
      <c r="E1428" s="2"/>
      <c r="F1428" s="2" t="s">
        <v>32</v>
      </c>
      <c r="G1428" s="2">
        <v>23</v>
      </c>
      <c r="H1428" s="2">
        <v>861.8</v>
      </c>
      <c r="I1428" s="2">
        <v>14539</v>
      </c>
      <c r="J1428" s="2" t="s">
        <v>39</v>
      </c>
      <c r="K1428" s="2">
        <v>16</v>
      </c>
      <c r="L1428" s="2" t="s">
        <v>3414</v>
      </c>
      <c r="Q1428" s="4" t="str">
        <f ca="1">IFERROR(__xludf.DUMMYFUNCTION("TRIM(SUBSTITUTE(SUBSTITUTE(D1428, index(SPLIT(D1428, "" ""), COLUMNS(SPLIT(D1428, "" ""))), """"), index(SPLIT(D1428, "" ""), COLUMNS(SPLIT(D1428, "" ""))-1), """"))"),"Куликівська")</f>
        <v>Куликівська</v>
      </c>
    </row>
    <row r="1429" spans="1:17" ht="50.5">
      <c r="A1429" s="2"/>
      <c r="B1429" s="2" t="s">
        <v>3315</v>
      </c>
      <c r="C1429" s="2" t="s">
        <v>3395</v>
      </c>
      <c r="D1429" s="2" t="s">
        <v>3415</v>
      </c>
      <c r="E1429" s="2"/>
      <c r="F1429" s="2" t="s">
        <v>28</v>
      </c>
      <c r="G1429" s="2">
        <v>19</v>
      </c>
      <c r="H1429" s="2">
        <v>537.6</v>
      </c>
      <c r="I1429" s="2">
        <v>5578</v>
      </c>
      <c r="J1429" s="2" t="s">
        <v>143</v>
      </c>
      <c r="K1429" s="2">
        <v>10</v>
      </c>
      <c r="L1429" s="2" t="s">
        <v>3416</v>
      </c>
      <c r="Q1429" s="4" t="str">
        <f ca="1">IFERROR(__xludf.DUMMYFUNCTION("TRIM(SUBSTITUTE(SUBSTITUTE(D1429, index(SPLIT(D1429, "" ""), COLUMNS(SPLIT(D1429, "" ""))), """"), index(SPLIT(D1429, "" ""), COLUMNS(SPLIT(D1429, "" ""))-1), """"))"),"Кіптівська")</f>
        <v>Кіптівська</v>
      </c>
    </row>
    <row r="1430" spans="1:17" ht="50.5">
      <c r="A1430" s="2"/>
      <c r="B1430" s="2" t="s">
        <v>3315</v>
      </c>
      <c r="C1430" s="2" t="s">
        <v>3395</v>
      </c>
      <c r="D1430" s="2" t="s">
        <v>3417</v>
      </c>
      <c r="E1430" s="2"/>
      <c r="F1430" s="2" t="s">
        <v>32</v>
      </c>
      <c r="G1430" s="2">
        <v>48</v>
      </c>
      <c r="H1430" s="2">
        <v>595.29999999999995</v>
      </c>
      <c r="I1430" s="2">
        <v>5473</v>
      </c>
      <c r="J1430" s="2" t="s">
        <v>39</v>
      </c>
      <c r="K1430" s="2">
        <v>9</v>
      </c>
      <c r="L1430" s="2" t="s">
        <v>3418</v>
      </c>
      <c r="Q1430" s="4" t="str">
        <f ca="1">IFERROR(__xludf.DUMMYFUNCTION("TRIM(SUBSTITUTE(SUBSTITUTE(D1430, index(SPLIT(D1430, "" ""), COLUMNS(SPLIT(D1430, "" ""))), """"), index(SPLIT(D1430, "" ""), COLUMNS(SPLIT(D1430, "" ""))-1), """"))"),"Любецька")</f>
        <v>Любецька</v>
      </c>
    </row>
    <row r="1431" spans="1:17" ht="63">
      <c r="A1431" s="2"/>
      <c r="B1431" s="2" t="s">
        <v>3315</v>
      </c>
      <c r="C1431" s="2" t="s">
        <v>3395</v>
      </c>
      <c r="D1431" s="2" t="s">
        <v>3419</v>
      </c>
      <c r="E1431" s="2"/>
      <c r="F1431" s="2" t="s">
        <v>32</v>
      </c>
      <c r="G1431" s="2">
        <v>42</v>
      </c>
      <c r="H1431" s="2">
        <v>781</v>
      </c>
      <c r="I1431" s="2">
        <v>12487</v>
      </c>
      <c r="J1431" s="2" t="s">
        <v>33</v>
      </c>
      <c r="K1431" s="2">
        <v>12</v>
      </c>
      <c r="L1431" s="2" t="s">
        <v>3420</v>
      </c>
      <c r="Q1431" s="4" t="str">
        <f ca="1">IFERROR(__xludf.DUMMYFUNCTION("TRIM(SUBSTITUTE(SUBSTITUTE(D1431, index(SPLIT(D1431, "" ""), COLUMNS(SPLIT(D1431, "" ""))), """"), index(SPLIT(D1431, "" ""), COLUMNS(SPLIT(D1431, "" ""))-1), """"))"),"Михайло-Коцюбинська")</f>
        <v>Михайло-Коцюбинська</v>
      </c>
    </row>
    <row r="1432" spans="1:17" ht="50.5">
      <c r="A1432" s="2"/>
      <c r="B1432" s="2" t="s">
        <v>3315</v>
      </c>
      <c r="C1432" s="2" t="s">
        <v>3395</v>
      </c>
      <c r="D1432" s="2" t="s">
        <v>3421</v>
      </c>
      <c r="E1432" s="2"/>
      <c r="F1432" s="2" t="s">
        <v>28</v>
      </c>
      <c r="G1432" s="2">
        <v>22</v>
      </c>
      <c r="H1432" s="2">
        <v>377.5</v>
      </c>
      <c r="I1432" s="2">
        <v>9929</v>
      </c>
      <c r="J1432" s="2" t="s">
        <v>46</v>
      </c>
      <c r="K1432" s="2">
        <v>10</v>
      </c>
      <c r="L1432" s="2" t="s">
        <v>3422</v>
      </c>
      <c r="Q1432" s="4" t="str">
        <f ca="1">IFERROR(__xludf.DUMMYFUNCTION("TRIM(SUBSTITUTE(SUBSTITUTE(D1432, index(SPLIT(D1432, "" ""), COLUMNS(SPLIT(D1432, "" ""))), """"), index(SPLIT(D1432, "" ""), COLUMNS(SPLIT(D1432, "" ""))-1), """"))"),"Новобілоуська")</f>
        <v>Новобілоуська</v>
      </c>
    </row>
    <row r="1433" spans="1:17" ht="38">
      <c r="A1433" s="2"/>
      <c r="B1433" s="2" t="s">
        <v>3315</v>
      </c>
      <c r="C1433" s="2" t="s">
        <v>3395</v>
      </c>
      <c r="D1433" s="2" t="s">
        <v>3423</v>
      </c>
      <c r="E1433" s="2"/>
      <c r="F1433" s="2" t="s">
        <v>32</v>
      </c>
      <c r="G1433" s="2">
        <v>6</v>
      </c>
      <c r="H1433" s="2">
        <v>224.7</v>
      </c>
      <c r="I1433" s="2">
        <v>3262</v>
      </c>
      <c r="J1433" s="2" t="s">
        <v>39</v>
      </c>
      <c r="K1433" s="2">
        <v>3</v>
      </c>
      <c r="L1433" s="2" t="s">
        <v>3424</v>
      </c>
      <c r="Q1433" s="4" t="str">
        <f ca="1">IFERROR(__xludf.DUMMYFUNCTION("TRIM(SUBSTITUTE(SUBSTITUTE(D1433, index(SPLIT(D1433, "" ""), COLUMNS(SPLIT(D1433, "" ""))), """"), index(SPLIT(D1433, "" ""), COLUMNS(SPLIT(D1433, "" ""))-1), """"))"),"Олишівська")</f>
        <v>Олишівська</v>
      </c>
    </row>
    <row r="1434" spans="1:17" ht="38">
      <c r="A1434" s="2"/>
      <c r="B1434" s="2" t="s">
        <v>3315</v>
      </c>
      <c r="C1434" s="2" t="s">
        <v>3395</v>
      </c>
      <c r="D1434" s="2" t="s">
        <v>3425</v>
      </c>
      <c r="E1434" s="2"/>
      <c r="F1434" s="2" t="s">
        <v>20</v>
      </c>
      <c r="G1434" s="2">
        <v>22</v>
      </c>
      <c r="H1434" s="2">
        <v>402.4</v>
      </c>
      <c r="I1434" s="2">
        <v>9017</v>
      </c>
      <c r="J1434" s="2" t="s">
        <v>72</v>
      </c>
      <c r="K1434" s="2">
        <v>7</v>
      </c>
      <c r="L1434" s="2" t="s">
        <v>3426</v>
      </c>
      <c r="Q1434" s="4" t="str">
        <f ca="1">IFERROR(__xludf.DUMMYFUNCTION("TRIM(SUBSTITUTE(SUBSTITUTE(D1434, index(SPLIT(D1434, "" ""), COLUMNS(SPLIT(D1434, "" ""))), """"), index(SPLIT(D1434, "" ""), COLUMNS(SPLIT(D1434, "" ""))-1), """"))"),"Остерська")</f>
        <v>Остерська</v>
      </c>
    </row>
    <row r="1435" spans="1:17" ht="75.5">
      <c r="A1435" s="2"/>
      <c r="B1435" s="2" t="s">
        <v>3315</v>
      </c>
      <c r="C1435" s="2" t="s">
        <v>3395</v>
      </c>
      <c r="D1435" s="2" t="s">
        <v>3427</v>
      </c>
      <c r="E1435" s="2"/>
      <c r="F1435" s="2" t="s">
        <v>32</v>
      </c>
      <c r="G1435" s="2">
        <v>49</v>
      </c>
      <c r="H1435" s="2">
        <v>1013.3</v>
      </c>
      <c r="I1435" s="2">
        <v>14578</v>
      </c>
      <c r="J1435" s="2" t="s">
        <v>3428</v>
      </c>
      <c r="K1435" s="2">
        <v>18</v>
      </c>
      <c r="L1435" s="2" t="s">
        <v>3429</v>
      </c>
      <c r="Q1435" s="4" t="str">
        <f ca="1">IFERROR(__xludf.DUMMYFUNCTION("TRIM(SUBSTITUTE(SUBSTITUTE(D1435, index(SPLIT(D1435, "" ""), COLUMNS(SPLIT(D1435, "" ""))), """"), index(SPLIT(D1435, "" ""), COLUMNS(SPLIT(D1435, "" ""))-1), """"))"),"Ріпкинська")</f>
        <v>Ріпкинська</v>
      </c>
    </row>
    <row r="1436" spans="1:17" ht="38">
      <c r="A1436" s="2"/>
      <c r="B1436" s="2" t="s">
        <v>3315</v>
      </c>
      <c r="C1436" s="2" t="s">
        <v>3395</v>
      </c>
      <c r="D1436" s="2" t="s">
        <v>3430</v>
      </c>
      <c r="E1436" s="2"/>
      <c r="F1436" s="2" t="s">
        <v>32</v>
      </c>
      <c r="G1436" s="2">
        <v>8</v>
      </c>
      <c r="H1436" s="2">
        <v>213</v>
      </c>
      <c r="I1436" s="2">
        <v>3345</v>
      </c>
      <c r="J1436" s="2" t="s">
        <v>3431</v>
      </c>
      <c r="K1436" s="2">
        <v>4</v>
      </c>
      <c r="L1436" s="2" t="s">
        <v>3432</v>
      </c>
      <c r="Q1436" s="4" t="str">
        <f ca="1">IFERROR(__xludf.DUMMYFUNCTION("TRIM(SUBSTITUTE(SUBSTITUTE(D1436, index(SPLIT(D1436, "" ""), COLUMNS(SPLIT(D1436, "" ""))), """"), index(SPLIT(D1436, "" ""), COLUMNS(SPLIT(D1436, "" ""))-1), """"))"),"Седнівська")</f>
        <v>Седнівська</v>
      </c>
    </row>
    <row r="1437" spans="1:17" ht="38">
      <c r="A1437" s="2"/>
      <c r="B1437" s="2" t="s">
        <v>3315</v>
      </c>
      <c r="C1437" s="2" t="s">
        <v>3395</v>
      </c>
      <c r="D1437" s="2" t="s">
        <v>3433</v>
      </c>
      <c r="E1437" s="2"/>
      <c r="F1437" s="2" t="s">
        <v>28</v>
      </c>
      <c r="G1437" s="2">
        <v>11</v>
      </c>
      <c r="H1437" s="2">
        <v>281</v>
      </c>
      <c r="I1437" s="2">
        <v>4021</v>
      </c>
      <c r="J1437" s="2" t="s">
        <v>39</v>
      </c>
      <c r="K1437" s="2">
        <v>6</v>
      </c>
      <c r="L1437" s="2" t="s">
        <v>3434</v>
      </c>
      <c r="Q1437" s="4" t="str">
        <f ca="1">IFERROR(__xludf.DUMMYFUNCTION("TRIM(SUBSTITUTE(SUBSTITUTE(D1437, index(SPLIT(D1437, "" ""), COLUMNS(SPLIT(D1437, "" ""))), """"), index(SPLIT(D1437, "" ""), COLUMNS(SPLIT(D1437, "" ""))-1), """"))"),"Тупичівська")</f>
        <v>Тупичівська</v>
      </c>
    </row>
    <row r="1438" spans="1:17" ht="38">
      <c r="A1438" s="2"/>
      <c r="B1438" s="2" t="s">
        <v>3315</v>
      </c>
      <c r="C1438" s="2" t="s">
        <v>3395</v>
      </c>
      <c r="D1438" s="2" t="s">
        <v>933</v>
      </c>
      <c r="E1438" s="2"/>
      <c r="F1438" s="2" t="s">
        <v>20</v>
      </c>
      <c r="G1438" s="2">
        <v>1</v>
      </c>
      <c r="H1438" s="2">
        <v>78.599999999999994</v>
      </c>
      <c r="I1438" s="2">
        <v>285234</v>
      </c>
      <c r="J1438" s="2" t="s">
        <v>3435</v>
      </c>
      <c r="K1438" s="2">
        <v>1</v>
      </c>
      <c r="L1438" s="2" t="s">
        <v>3436</v>
      </c>
      <c r="Q1438" s="4" t="str">
        <f ca="1">IFERROR(__xludf.DUMMYFUNCTION("TRIM(SUBSTITUTE(SUBSTITUTE(D1438, index(SPLIT(D1438, "" ""), COLUMNS(SPLIT(D1438, "" ""))), """"), index(SPLIT(D1438, "" ""), COLUMNS(SPLIT(D1438, "" ""))-1), """"))"),"Чернігівська")</f>
        <v>Чернігівська</v>
      </c>
    </row>
  </sheetData>
  <hyperlinks>
    <hyperlink ref="A3" r:id="rId1" xr:uid="{00000000-0004-0000-0000-000000000000}"/>
    <hyperlink ref="A5" r:id="rId2" xr:uid="{00000000-0004-0000-0000-000001000000}"/>
    <hyperlink ref="A18" r:id="rId3" xr:uid="{00000000-0004-0000-0000-000002000000}"/>
    <hyperlink ref="A32" r:id="rId4" xr:uid="{00000000-0004-0000-0000-000003000000}"/>
    <hyperlink ref="A45" r:id="rId5" xr:uid="{00000000-0004-0000-0000-000004000000}"/>
    <hyperlink ref="A16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431"/>
  <sheetViews>
    <sheetView workbookViewId="0">
      <pane ySplit="1" topLeftCell="A37" activePane="bottomLeft" state="frozen"/>
      <selection pane="bottomLeft" activeCell="D42" sqref="D42"/>
    </sheetView>
  </sheetViews>
  <sheetFormatPr defaultColWidth="12.6328125" defaultRowHeight="12.5"/>
  <cols>
    <col min="3" max="6" width="25.453125" customWidth="1"/>
    <col min="7" max="7" width="16.453125" customWidth="1"/>
    <col min="8" max="8" width="45.6328125" customWidth="1"/>
    <col min="13" max="13" width="77.453125" customWidth="1"/>
    <col min="14" max="14" width="83.6328125" customWidth="1"/>
  </cols>
  <sheetData>
    <row r="1" spans="1:26" s="71" customFormat="1">
      <c r="A1" s="3" t="s">
        <v>3440</v>
      </c>
      <c r="B1" s="3" t="s">
        <v>3439</v>
      </c>
      <c r="C1" s="2" t="s">
        <v>7676</v>
      </c>
      <c r="D1" s="3" t="s">
        <v>7689</v>
      </c>
      <c r="E1" s="3" t="s">
        <v>7691</v>
      </c>
      <c r="F1" s="3" t="s">
        <v>7690</v>
      </c>
      <c r="G1" s="2" t="s">
        <v>7675</v>
      </c>
      <c r="H1" s="2" t="s">
        <v>7677</v>
      </c>
      <c r="I1" s="2" t="s">
        <v>7674</v>
      </c>
      <c r="J1" s="2" t="s">
        <v>7673</v>
      </c>
      <c r="K1" s="2" t="s">
        <v>7672</v>
      </c>
      <c r="L1" s="2" t="s">
        <v>7671</v>
      </c>
      <c r="M1" s="2" t="s">
        <v>3437</v>
      </c>
      <c r="N1" s="2" t="s">
        <v>3438</v>
      </c>
      <c r="O1" s="3" t="s">
        <v>7678</v>
      </c>
    </row>
    <row r="2" spans="1:26" ht="25">
      <c r="A2" s="12" t="s">
        <v>256</v>
      </c>
      <c r="B2" s="12" t="s">
        <v>171</v>
      </c>
      <c r="C2" s="8" t="s">
        <v>3441</v>
      </c>
      <c r="D2" s="8" t="s">
        <v>7712</v>
      </c>
      <c r="E2" s="8" t="s">
        <v>7713</v>
      </c>
      <c r="F2" s="8" t="s">
        <v>7714</v>
      </c>
      <c r="G2" s="8" t="s">
        <v>3442</v>
      </c>
      <c r="H2" s="9" t="s">
        <v>3443</v>
      </c>
      <c r="I2" s="8" t="s">
        <v>3444</v>
      </c>
      <c r="J2" s="10" t="s">
        <v>3445</v>
      </c>
      <c r="K2" s="11">
        <v>50.745308000000001</v>
      </c>
      <c r="L2" s="11">
        <v>25.319901999999999</v>
      </c>
      <c r="M2" s="9" t="s">
        <v>3446</v>
      </c>
      <c r="N2" s="9"/>
      <c r="O2" s="12">
        <v>111</v>
      </c>
      <c r="Q2" s="12"/>
      <c r="R2" s="12"/>
      <c r="S2" s="12"/>
      <c r="T2" s="12"/>
      <c r="U2" s="12"/>
      <c r="V2" s="12"/>
      <c r="W2" s="12"/>
      <c r="X2" s="12"/>
      <c r="Y2" s="12"/>
      <c r="Z2" s="12"/>
    </row>
    <row r="3" spans="1:26" ht="50">
      <c r="A3" s="12" t="s">
        <v>172</v>
      </c>
      <c r="B3" s="12" t="s">
        <v>171</v>
      </c>
      <c r="C3" s="8" t="s">
        <v>3447</v>
      </c>
      <c r="D3" s="8" t="s">
        <v>7715</v>
      </c>
      <c r="E3" s="8" t="s">
        <v>6390</v>
      </c>
      <c r="F3" s="8" t="s">
        <v>7714</v>
      </c>
      <c r="G3" s="8" t="s">
        <v>3448</v>
      </c>
      <c r="H3" s="9" t="s">
        <v>3449</v>
      </c>
      <c r="I3" s="8" t="s">
        <v>3450</v>
      </c>
      <c r="J3" s="10" t="s">
        <v>3451</v>
      </c>
      <c r="K3" s="11">
        <v>50.787771900000003</v>
      </c>
      <c r="L3" s="11">
        <v>24.3365832</v>
      </c>
      <c r="M3" s="9" t="s">
        <v>3452</v>
      </c>
      <c r="N3" s="13" t="s">
        <v>3453</v>
      </c>
      <c r="O3" s="12">
        <v>67</v>
      </c>
      <c r="P3" s="12"/>
      <c r="Q3" s="12"/>
      <c r="R3" s="12"/>
      <c r="S3" s="12"/>
      <c r="T3" s="12"/>
      <c r="U3" s="12"/>
      <c r="V3" s="12"/>
      <c r="W3" s="12"/>
      <c r="X3" s="12"/>
      <c r="Y3" s="12"/>
      <c r="Z3" s="12"/>
    </row>
    <row r="4" spans="1:26" ht="62.5">
      <c r="A4" s="12" t="s">
        <v>2910</v>
      </c>
      <c r="B4" s="12" t="s">
        <v>2909</v>
      </c>
      <c r="C4" s="14" t="s">
        <v>3454</v>
      </c>
      <c r="D4" s="8" t="s">
        <v>8063</v>
      </c>
      <c r="E4" s="8" t="s">
        <v>2923</v>
      </c>
      <c r="F4" s="8" t="s">
        <v>7717</v>
      </c>
      <c r="G4" s="8" t="s">
        <v>2923</v>
      </c>
      <c r="H4" s="9" t="s">
        <v>3455</v>
      </c>
      <c r="I4" s="8" t="s">
        <v>3456</v>
      </c>
      <c r="J4" s="10" t="s">
        <v>3457</v>
      </c>
      <c r="K4" s="11">
        <v>48.703400000000002</v>
      </c>
      <c r="L4" s="11">
        <v>26.578669000000001</v>
      </c>
      <c r="M4" s="9" t="s">
        <v>3458</v>
      </c>
      <c r="N4" s="13" t="s">
        <v>3459</v>
      </c>
      <c r="O4" s="12">
        <v>1208</v>
      </c>
      <c r="P4" s="12"/>
      <c r="Q4" s="12"/>
      <c r="R4" s="12"/>
      <c r="S4" s="12"/>
      <c r="T4" s="12"/>
      <c r="U4" s="12"/>
      <c r="V4" s="12"/>
      <c r="W4" s="12"/>
      <c r="X4" s="12"/>
      <c r="Y4" s="12"/>
      <c r="Z4" s="12"/>
    </row>
    <row r="5" spans="1:26" ht="37.5">
      <c r="A5" s="12" t="s">
        <v>207</v>
      </c>
      <c r="B5" s="12" t="s">
        <v>171</v>
      </c>
      <c r="C5" s="8" t="s">
        <v>3460</v>
      </c>
      <c r="D5" s="8" t="s">
        <v>7718</v>
      </c>
      <c r="E5" s="8" t="s">
        <v>7719</v>
      </c>
      <c r="F5" s="8" t="s">
        <v>7714</v>
      </c>
      <c r="G5" s="8" t="s">
        <v>3461</v>
      </c>
      <c r="H5" s="9" t="s">
        <v>3462</v>
      </c>
      <c r="I5" s="8" t="s">
        <v>3463</v>
      </c>
      <c r="J5" s="10" t="s">
        <v>3464</v>
      </c>
      <c r="K5" s="11">
        <v>51.298715000000001</v>
      </c>
      <c r="L5" s="11">
        <v>24.431625</v>
      </c>
      <c r="M5" s="9" t="s">
        <v>3465</v>
      </c>
      <c r="N5" s="9" t="s">
        <v>3466</v>
      </c>
      <c r="O5" s="12">
        <v>99</v>
      </c>
      <c r="P5" s="12"/>
      <c r="Q5" s="12"/>
      <c r="R5" s="12"/>
      <c r="S5" s="12"/>
      <c r="T5" s="12"/>
      <c r="U5" s="12"/>
      <c r="V5" s="12"/>
      <c r="W5" s="12"/>
      <c r="X5" s="12"/>
      <c r="Y5" s="12"/>
      <c r="Z5" s="12"/>
    </row>
    <row r="6" spans="1:26" ht="25">
      <c r="A6" s="12" t="s">
        <v>172</v>
      </c>
      <c r="B6" s="12" t="s">
        <v>171</v>
      </c>
      <c r="C6" s="8" t="s">
        <v>3467</v>
      </c>
      <c r="D6" s="8" t="s">
        <v>7720</v>
      </c>
      <c r="E6" s="8" t="s">
        <v>6390</v>
      </c>
      <c r="F6" s="8" t="s">
        <v>7714</v>
      </c>
      <c r="G6" s="8" t="s">
        <v>3468</v>
      </c>
      <c r="H6" s="9" t="s">
        <v>3469</v>
      </c>
      <c r="I6" s="8" t="s">
        <v>1280</v>
      </c>
      <c r="J6" s="10"/>
      <c r="K6" s="11">
        <v>50.638195000000003</v>
      </c>
      <c r="L6" s="11">
        <v>24.190154</v>
      </c>
      <c r="M6" s="9" t="s">
        <v>3470</v>
      </c>
      <c r="N6" s="15" t="s">
        <v>3471</v>
      </c>
      <c r="O6" s="12">
        <v>68</v>
      </c>
      <c r="P6" s="12"/>
      <c r="Q6" s="12"/>
      <c r="R6" s="12"/>
      <c r="S6" s="12"/>
      <c r="T6" s="12"/>
      <c r="U6" s="12"/>
      <c r="V6" s="12"/>
      <c r="W6" s="12"/>
      <c r="X6" s="12"/>
      <c r="Y6" s="12"/>
      <c r="Z6" s="12"/>
    </row>
    <row r="7" spans="1:26" ht="25">
      <c r="A7" s="12" t="s">
        <v>172</v>
      </c>
      <c r="B7" s="12" t="s">
        <v>171</v>
      </c>
      <c r="C7" s="8" t="s">
        <v>3472</v>
      </c>
      <c r="D7" s="8" t="s">
        <v>7721</v>
      </c>
      <c r="E7" s="8" t="s">
        <v>6390</v>
      </c>
      <c r="F7" s="8" t="s">
        <v>7714</v>
      </c>
      <c r="G7" s="8" t="s">
        <v>3473</v>
      </c>
      <c r="H7" s="9" t="s">
        <v>3474</v>
      </c>
      <c r="I7" s="8"/>
      <c r="J7" s="16"/>
      <c r="K7" s="11">
        <v>50.862098500000002</v>
      </c>
      <c r="L7" s="11">
        <v>24.156811999999999</v>
      </c>
      <c r="M7" s="9" t="s">
        <v>3475</v>
      </c>
      <c r="N7" s="9"/>
      <c r="O7" s="12">
        <v>74</v>
      </c>
      <c r="P7" s="12"/>
      <c r="Q7" s="12"/>
      <c r="R7" s="12"/>
      <c r="S7" s="12"/>
      <c r="T7" s="12"/>
      <c r="U7" s="12"/>
      <c r="V7" s="12"/>
      <c r="W7" s="12"/>
      <c r="X7" s="12"/>
      <c r="Y7" s="12"/>
      <c r="Z7" s="12"/>
    </row>
    <row r="8" spans="1:26" ht="25">
      <c r="A8" s="12" t="s">
        <v>1154</v>
      </c>
      <c r="B8" s="12" t="s">
        <v>1065</v>
      </c>
      <c r="C8" s="8" t="s">
        <v>3476</v>
      </c>
      <c r="D8" s="8" t="s">
        <v>7722</v>
      </c>
      <c r="E8" s="8" t="s">
        <v>7723</v>
      </c>
      <c r="F8" s="8" t="s">
        <v>7702</v>
      </c>
      <c r="G8" s="8" t="s">
        <v>3477</v>
      </c>
      <c r="H8" s="9" t="s">
        <v>3478</v>
      </c>
      <c r="I8" s="16" t="s">
        <v>3479</v>
      </c>
      <c r="J8" s="17" t="s">
        <v>3480</v>
      </c>
      <c r="K8" s="11">
        <v>48.500118000000001</v>
      </c>
      <c r="L8" s="11">
        <v>25.159576999999999</v>
      </c>
      <c r="M8" s="9" t="s">
        <v>3481</v>
      </c>
      <c r="N8" s="9" t="s">
        <v>3482</v>
      </c>
      <c r="O8" s="12">
        <v>488</v>
      </c>
      <c r="P8" s="12"/>
      <c r="Q8" s="12"/>
      <c r="R8" s="12"/>
      <c r="S8" s="12"/>
      <c r="T8" s="12"/>
      <c r="U8" s="12"/>
      <c r="V8" s="12"/>
      <c r="W8" s="12"/>
      <c r="X8" s="12"/>
      <c r="Y8" s="12"/>
      <c r="Z8" s="12"/>
    </row>
    <row r="9" spans="1:26" ht="25">
      <c r="A9" s="12" t="s">
        <v>1154</v>
      </c>
      <c r="B9" s="12" t="s">
        <v>1065</v>
      </c>
      <c r="C9" s="8" t="s">
        <v>3483</v>
      </c>
      <c r="D9" s="8" t="s">
        <v>7724</v>
      </c>
      <c r="E9" s="8" t="s">
        <v>7723</v>
      </c>
      <c r="F9" s="8" t="s">
        <v>7702</v>
      </c>
      <c r="G9" s="8" t="s">
        <v>3484</v>
      </c>
      <c r="H9" s="9" t="s">
        <v>3485</v>
      </c>
      <c r="I9" s="8" t="s">
        <v>3486</v>
      </c>
      <c r="J9" s="18" t="s">
        <v>3487</v>
      </c>
      <c r="K9" s="11">
        <v>48.520586000000002</v>
      </c>
      <c r="L9" s="11">
        <v>24.891390000000001</v>
      </c>
      <c r="M9" s="9" t="s">
        <v>3488</v>
      </c>
      <c r="N9" s="13" t="s">
        <v>3489</v>
      </c>
      <c r="O9" s="12">
        <v>492</v>
      </c>
      <c r="P9" s="12"/>
      <c r="Q9" s="12"/>
      <c r="R9" s="12"/>
      <c r="S9" s="12"/>
      <c r="T9" s="12"/>
      <c r="U9" s="12"/>
      <c r="V9" s="12"/>
      <c r="W9" s="12"/>
      <c r="X9" s="12"/>
      <c r="Y9" s="12"/>
      <c r="Z9" s="12"/>
    </row>
    <row r="10" spans="1:26" ht="25">
      <c r="A10" s="12" t="s">
        <v>1154</v>
      </c>
      <c r="B10" s="12" t="s">
        <v>1065</v>
      </c>
      <c r="C10" s="8" t="s">
        <v>3490</v>
      </c>
      <c r="D10" s="8" t="s">
        <v>7725</v>
      </c>
      <c r="E10" s="8" t="s">
        <v>7723</v>
      </c>
      <c r="F10" s="8" t="s">
        <v>7702</v>
      </c>
      <c r="G10" s="8" t="s">
        <v>3491</v>
      </c>
      <c r="H10" s="9" t="s">
        <v>3492</v>
      </c>
      <c r="I10" s="8" t="s">
        <v>3493</v>
      </c>
      <c r="J10" s="12"/>
      <c r="K10" s="11">
        <v>48.506182000000003</v>
      </c>
      <c r="L10" s="11">
        <v>24.998201999999999</v>
      </c>
      <c r="M10" s="9" t="s">
        <v>3494</v>
      </c>
      <c r="N10" s="13" t="s">
        <v>3495</v>
      </c>
      <c r="O10" s="12">
        <v>489</v>
      </c>
      <c r="P10" s="12"/>
      <c r="Q10" s="12"/>
      <c r="R10" s="12"/>
      <c r="S10" s="12"/>
      <c r="T10" s="12"/>
      <c r="U10" s="12"/>
      <c r="V10" s="12"/>
      <c r="W10" s="12"/>
      <c r="X10" s="12"/>
      <c r="Y10" s="12"/>
      <c r="Z10" s="12"/>
    </row>
    <row r="11" spans="1:26" ht="25">
      <c r="A11" s="12" t="s">
        <v>288</v>
      </c>
      <c r="B11" s="12" t="s">
        <v>287</v>
      </c>
      <c r="C11" s="8" t="s">
        <v>3496</v>
      </c>
      <c r="D11" s="8" t="s">
        <v>7726</v>
      </c>
      <c r="E11" s="8" t="s">
        <v>7787</v>
      </c>
      <c r="F11" s="8" t="s">
        <v>7700</v>
      </c>
      <c r="G11" s="8" t="s">
        <v>3497</v>
      </c>
      <c r="H11" s="9" t="s">
        <v>3498</v>
      </c>
      <c r="I11" s="8" t="s">
        <v>3499</v>
      </c>
      <c r="J11" s="18" t="s">
        <v>3500</v>
      </c>
      <c r="K11" s="11">
        <v>48.464717</v>
      </c>
      <c r="L11" s="11">
        <v>35.046182999999999</v>
      </c>
      <c r="M11" s="9" t="s">
        <v>3501</v>
      </c>
      <c r="N11" s="13" t="s">
        <v>3502</v>
      </c>
      <c r="O11" s="12">
        <v>118</v>
      </c>
      <c r="P11" s="12"/>
      <c r="Q11" s="12"/>
      <c r="R11" s="12"/>
      <c r="S11" s="12"/>
      <c r="T11" s="12"/>
      <c r="U11" s="12"/>
      <c r="V11" s="12"/>
      <c r="W11" s="12"/>
      <c r="X11" s="12"/>
      <c r="Y11" s="12"/>
      <c r="Z11" s="12"/>
    </row>
    <row r="12" spans="1:26" ht="25">
      <c r="A12" s="12" t="s">
        <v>2546</v>
      </c>
      <c r="B12" s="12" t="s">
        <v>2527</v>
      </c>
      <c r="C12" s="8" t="s">
        <v>3503</v>
      </c>
      <c r="D12" s="8" t="s">
        <v>7727</v>
      </c>
      <c r="E12" s="8" t="s">
        <v>7728</v>
      </c>
      <c r="F12" s="8" t="s">
        <v>7727</v>
      </c>
      <c r="G12" s="8" t="s">
        <v>3504</v>
      </c>
      <c r="H12" s="9" t="s">
        <v>3505</v>
      </c>
      <c r="I12" s="8" t="s">
        <v>3506</v>
      </c>
      <c r="J12" s="18" t="s">
        <v>3507</v>
      </c>
      <c r="K12" s="11">
        <v>49.549103000000002</v>
      </c>
      <c r="L12" s="11">
        <v>25.591292899999999</v>
      </c>
      <c r="M12" s="9" t="s">
        <v>3508</v>
      </c>
      <c r="N12" s="13" t="s">
        <v>3509</v>
      </c>
      <c r="O12" s="12">
        <v>1076</v>
      </c>
      <c r="P12" s="12"/>
      <c r="Q12" s="12"/>
      <c r="R12" s="12"/>
      <c r="S12" s="12"/>
      <c r="T12" s="12"/>
      <c r="U12" s="12"/>
      <c r="V12" s="12"/>
      <c r="W12" s="12"/>
      <c r="X12" s="12"/>
      <c r="Y12" s="12"/>
      <c r="Z12" s="12"/>
    </row>
    <row r="13" spans="1:26" ht="25">
      <c r="A13" s="12" t="s">
        <v>1721</v>
      </c>
      <c r="B13" s="12" t="s">
        <v>1597</v>
      </c>
      <c r="C13" s="8" t="s">
        <v>3510</v>
      </c>
      <c r="D13" s="8" t="s">
        <v>7729</v>
      </c>
      <c r="E13" s="8" t="s">
        <v>7730</v>
      </c>
      <c r="F13" s="8" t="s">
        <v>7704</v>
      </c>
      <c r="G13" s="8" t="s">
        <v>3511</v>
      </c>
      <c r="H13" s="9" t="s">
        <v>3512</v>
      </c>
      <c r="I13" s="8" t="s">
        <v>3513</v>
      </c>
      <c r="J13" s="12"/>
      <c r="K13" s="11">
        <v>48.169303999999997</v>
      </c>
      <c r="L13" s="11">
        <v>25.043953999999999</v>
      </c>
      <c r="M13" s="9" t="s">
        <v>3514</v>
      </c>
      <c r="N13" s="13" t="s">
        <v>3515</v>
      </c>
      <c r="O13" s="12">
        <v>703</v>
      </c>
      <c r="P13" s="12"/>
      <c r="Q13" s="12"/>
      <c r="R13" s="12"/>
      <c r="S13" s="12"/>
      <c r="T13" s="12"/>
      <c r="U13" s="12"/>
      <c r="V13" s="12"/>
      <c r="W13" s="12"/>
      <c r="X13" s="12"/>
      <c r="Y13" s="12"/>
      <c r="Z13" s="12"/>
    </row>
    <row r="14" spans="1:26" ht="25">
      <c r="A14" s="12" t="s">
        <v>1270</v>
      </c>
      <c r="B14" s="12" t="s">
        <v>1220</v>
      </c>
      <c r="C14" s="8" t="s">
        <v>3516</v>
      </c>
      <c r="D14" s="8" t="s">
        <v>7731</v>
      </c>
      <c r="E14" s="8" t="s">
        <v>7740</v>
      </c>
      <c r="F14" s="8" t="s">
        <v>7732</v>
      </c>
      <c r="G14" s="8" t="s">
        <v>1272</v>
      </c>
      <c r="H14" s="9" t="s">
        <v>3517</v>
      </c>
      <c r="I14" s="8" t="s">
        <v>3518</v>
      </c>
      <c r="J14" s="18" t="s">
        <v>3519</v>
      </c>
      <c r="K14" s="11">
        <v>50.518749999999997</v>
      </c>
      <c r="L14" s="11">
        <v>30.239782999999999</v>
      </c>
      <c r="M14" s="9" t="s">
        <v>3520</v>
      </c>
      <c r="N14" s="13" t="s">
        <v>3521</v>
      </c>
      <c r="O14" s="12">
        <v>528</v>
      </c>
      <c r="P14" s="12"/>
      <c r="Q14" s="12"/>
      <c r="R14" s="12"/>
      <c r="S14" s="12"/>
      <c r="T14" s="12"/>
      <c r="U14" s="12"/>
      <c r="V14" s="12"/>
      <c r="W14" s="12"/>
      <c r="X14" s="12"/>
      <c r="Y14" s="12"/>
      <c r="Z14" s="12"/>
    </row>
    <row r="15" spans="1:26" ht="25">
      <c r="A15" s="12" t="s">
        <v>1066</v>
      </c>
      <c r="B15" s="12" t="s">
        <v>1065</v>
      </c>
      <c r="C15" s="8" t="s">
        <v>3522</v>
      </c>
      <c r="D15" s="8" t="s">
        <v>7733</v>
      </c>
      <c r="E15" s="8" t="s">
        <v>7734</v>
      </c>
      <c r="F15" s="8" t="s">
        <v>7702</v>
      </c>
      <c r="G15" s="8" t="s">
        <v>1078</v>
      </c>
      <c r="H15" s="9" t="s">
        <v>3523</v>
      </c>
      <c r="I15" s="8" t="s">
        <v>3524</v>
      </c>
      <c r="J15" s="12"/>
      <c r="K15" s="11">
        <v>49.252021999999997</v>
      </c>
      <c r="L15" s="11">
        <v>24.633343</v>
      </c>
      <c r="M15" s="9" t="s">
        <v>3525</v>
      </c>
      <c r="N15" s="13" t="s">
        <v>3526</v>
      </c>
      <c r="O15" s="12">
        <v>451</v>
      </c>
      <c r="P15" s="12"/>
      <c r="Q15" s="12"/>
      <c r="R15" s="12"/>
      <c r="S15" s="12"/>
      <c r="T15" s="12"/>
      <c r="U15" s="12"/>
      <c r="V15" s="12"/>
      <c r="W15" s="12"/>
      <c r="X15" s="12"/>
      <c r="Y15" s="12"/>
      <c r="Z15" s="12"/>
    </row>
    <row r="16" spans="1:26" ht="25">
      <c r="A16" s="12" t="s">
        <v>429</v>
      </c>
      <c r="B16" s="12" t="s">
        <v>287</v>
      </c>
      <c r="C16" s="8" t="s">
        <v>3527</v>
      </c>
      <c r="D16" s="8" t="s">
        <v>7735</v>
      </c>
      <c r="E16" s="8" t="s">
        <v>7736</v>
      </c>
      <c r="F16" s="8" t="s">
        <v>7700</v>
      </c>
      <c r="G16" s="8" t="s">
        <v>3528</v>
      </c>
      <c r="H16" s="9" t="s">
        <v>3529</v>
      </c>
      <c r="I16" s="8"/>
      <c r="J16" s="12"/>
      <c r="K16" s="11">
        <v>48.263854500000001</v>
      </c>
      <c r="L16" s="11">
        <v>36.8380169</v>
      </c>
      <c r="M16" s="9" t="s">
        <v>3530</v>
      </c>
      <c r="N16" s="9" t="s">
        <v>3531</v>
      </c>
      <c r="O16" s="12">
        <v>192</v>
      </c>
      <c r="P16" s="12"/>
      <c r="Q16" s="12"/>
      <c r="R16" s="12"/>
      <c r="S16" s="12"/>
      <c r="T16" s="12"/>
      <c r="U16" s="12"/>
      <c r="V16" s="12"/>
      <c r="W16" s="12"/>
      <c r="X16" s="12"/>
      <c r="Y16" s="12"/>
      <c r="Z16" s="12"/>
    </row>
    <row r="17" spans="1:26" ht="25">
      <c r="A17" s="12" t="s">
        <v>2886</v>
      </c>
      <c r="B17" s="12" t="s">
        <v>2793</v>
      </c>
      <c r="C17" s="8" t="s">
        <v>3532</v>
      </c>
      <c r="D17" s="8" t="s">
        <v>7737</v>
      </c>
      <c r="E17" s="8" t="s">
        <v>7738</v>
      </c>
      <c r="F17" s="8" t="s">
        <v>7737</v>
      </c>
      <c r="G17" s="8" t="s">
        <v>2902</v>
      </c>
      <c r="H17" s="9" t="s">
        <v>3533</v>
      </c>
      <c r="I17" s="8" t="s">
        <v>3534</v>
      </c>
      <c r="J17" s="12"/>
      <c r="K17" s="11">
        <v>46.646222999999999</v>
      </c>
      <c r="L17" s="11">
        <v>32.618077</v>
      </c>
      <c r="M17" s="9" t="s">
        <v>3535</v>
      </c>
      <c r="N17" s="13" t="s">
        <v>3536</v>
      </c>
      <c r="O17" s="12">
        <v>1200</v>
      </c>
      <c r="P17" s="12"/>
      <c r="Q17" s="12"/>
      <c r="R17" s="12"/>
      <c r="S17" s="12"/>
      <c r="T17" s="12"/>
      <c r="U17" s="12"/>
      <c r="V17" s="12"/>
      <c r="W17" s="12"/>
      <c r="X17" s="12"/>
      <c r="Y17" s="12"/>
      <c r="Z17" s="12"/>
    </row>
    <row r="18" spans="1:26" ht="25">
      <c r="A18" s="12" t="s">
        <v>1270</v>
      </c>
      <c r="B18" s="12" t="s">
        <v>1220</v>
      </c>
      <c r="C18" s="8" t="s">
        <v>3537</v>
      </c>
      <c r="D18" s="8" t="s">
        <v>7739</v>
      </c>
      <c r="E18" s="8" t="s">
        <v>7740</v>
      </c>
      <c r="F18" s="8" t="s">
        <v>7732</v>
      </c>
      <c r="G18" s="8" t="s">
        <v>3538</v>
      </c>
      <c r="H18" s="9" t="s">
        <v>3539</v>
      </c>
      <c r="I18" s="8" t="s">
        <v>3540</v>
      </c>
      <c r="J18" s="18" t="s">
        <v>3541</v>
      </c>
      <c r="K18" s="11">
        <v>50.548461000000003</v>
      </c>
      <c r="L18" s="11">
        <v>30.216826999999999</v>
      </c>
      <c r="M18" s="9" t="s">
        <v>3542</v>
      </c>
      <c r="N18" s="9"/>
      <c r="O18" s="12">
        <v>531</v>
      </c>
      <c r="P18" s="12"/>
      <c r="Q18" s="12"/>
      <c r="R18" s="12"/>
      <c r="S18" s="12"/>
      <c r="T18" s="12"/>
      <c r="U18" s="12"/>
      <c r="V18" s="12"/>
      <c r="W18" s="12"/>
      <c r="X18" s="12"/>
      <c r="Y18" s="12"/>
      <c r="Z18" s="12"/>
    </row>
    <row r="19" spans="1:26" ht="25">
      <c r="A19" s="12" t="s">
        <v>1813</v>
      </c>
      <c r="B19" s="12" t="s">
        <v>1788</v>
      </c>
      <c r="C19" s="8" t="s">
        <v>3543</v>
      </c>
      <c r="D19" s="8" t="s">
        <v>7741</v>
      </c>
      <c r="E19" s="8" t="s">
        <v>7742</v>
      </c>
      <c r="F19" s="8" t="s">
        <v>7706</v>
      </c>
      <c r="G19" s="8" t="s">
        <v>3544</v>
      </c>
      <c r="H19" s="9" t="s">
        <v>3545</v>
      </c>
      <c r="I19" s="8"/>
      <c r="J19" s="12"/>
      <c r="K19" s="11">
        <v>47.532077100000002</v>
      </c>
      <c r="L19" s="11">
        <v>31.3250761</v>
      </c>
      <c r="M19" s="9" t="s">
        <v>3546</v>
      </c>
      <c r="N19" s="9"/>
      <c r="O19" s="12">
        <v>748</v>
      </c>
      <c r="P19" s="12"/>
      <c r="Q19" s="12"/>
      <c r="R19" s="12"/>
      <c r="S19" s="12"/>
      <c r="T19" s="12"/>
      <c r="U19" s="12"/>
      <c r="V19" s="12"/>
      <c r="W19" s="12"/>
      <c r="X19" s="12"/>
      <c r="Y19" s="12"/>
      <c r="Z19" s="12"/>
    </row>
    <row r="20" spans="1:26" ht="25">
      <c r="A20" s="12" t="s">
        <v>1813</v>
      </c>
      <c r="B20" s="12" t="s">
        <v>1788</v>
      </c>
      <c r="C20" s="8" t="s">
        <v>3547</v>
      </c>
      <c r="D20" s="8" t="s">
        <v>7743</v>
      </c>
      <c r="E20" s="8" t="s">
        <v>7742</v>
      </c>
      <c r="F20" s="8" t="s">
        <v>7706</v>
      </c>
      <c r="G20" s="8" t="s">
        <v>3548</v>
      </c>
      <c r="H20" s="9" t="s">
        <v>3549</v>
      </c>
      <c r="I20" s="8" t="s">
        <v>3550</v>
      </c>
      <c r="J20" s="12"/>
      <c r="K20" s="11">
        <v>47.631016500000001</v>
      </c>
      <c r="L20" s="11">
        <v>30.985631000000001</v>
      </c>
      <c r="M20" s="9" t="s">
        <v>3551</v>
      </c>
      <c r="N20" s="9"/>
      <c r="O20" s="12">
        <v>743</v>
      </c>
      <c r="P20" s="12"/>
      <c r="Q20" s="12"/>
      <c r="R20" s="12"/>
      <c r="S20" s="12"/>
      <c r="T20" s="12"/>
      <c r="U20" s="12"/>
      <c r="V20" s="12"/>
      <c r="W20" s="12"/>
      <c r="X20" s="12"/>
      <c r="Y20" s="12"/>
      <c r="Z20" s="12"/>
    </row>
    <row r="21" spans="1:26" ht="25">
      <c r="A21" s="12" t="s">
        <v>3316</v>
      </c>
      <c r="B21" s="12" t="s">
        <v>3315</v>
      </c>
      <c r="C21" s="8" t="s">
        <v>3552</v>
      </c>
      <c r="D21" s="8" t="s">
        <v>7744</v>
      </c>
      <c r="E21" s="8" t="s">
        <v>7768</v>
      </c>
      <c r="F21" s="8" t="s">
        <v>7705</v>
      </c>
      <c r="G21" s="8" t="s">
        <v>3553</v>
      </c>
      <c r="H21" s="9" t="s">
        <v>3554</v>
      </c>
      <c r="I21" s="8" t="s">
        <v>3555</v>
      </c>
      <c r="J21" s="19" t="s">
        <v>3556</v>
      </c>
      <c r="K21" s="11">
        <v>51.775483000000001</v>
      </c>
      <c r="L21" s="11">
        <v>32.259579000000002</v>
      </c>
      <c r="M21" s="9" t="s">
        <v>3557</v>
      </c>
      <c r="N21" s="13" t="s">
        <v>3556</v>
      </c>
      <c r="O21" s="12">
        <v>1381</v>
      </c>
      <c r="P21" s="12"/>
      <c r="Q21" s="12"/>
      <c r="R21" s="12"/>
      <c r="S21" s="12"/>
      <c r="T21" s="12"/>
      <c r="U21" s="12"/>
      <c r="V21" s="12"/>
      <c r="W21" s="12"/>
      <c r="X21" s="12"/>
      <c r="Y21" s="12"/>
      <c r="Z21" s="12"/>
    </row>
    <row r="22" spans="1:26" ht="25">
      <c r="A22" s="12" t="s">
        <v>1882</v>
      </c>
      <c r="B22" s="12" t="s">
        <v>1788</v>
      </c>
      <c r="C22" s="8" t="s">
        <v>3558</v>
      </c>
      <c r="D22" s="8" t="s">
        <v>8062</v>
      </c>
      <c r="E22" s="8" t="s">
        <v>2730</v>
      </c>
      <c r="F22" s="8" t="s">
        <v>7706</v>
      </c>
      <c r="G22" s="8" t="s">
        <v>3559</v>
      </c>
      <c r="H22" s="9" t="s">
        <v>3560</v>
      </c>
      <c r="I22" s="8" t="s">
        <v>3561</v>
      </c>
      <c r="J22" s="12"/>
      <c r="K22" s="11">
        <v>47.905631999999997</v>
      </c>
      <c r="L22" s="11">
        <v>30.783407</v>
      </c>
      <c r="M22" s="9" t="s">
        <v>3562</v>
      </c>
      <c r="N22" s="13" t="s">
        <v>3563</v>
      </c>
      <c r="O22" s="12">
        <v>773</v>
      </c>
      <c r="P22" s="12"/>
      <c r="Q22" s="12"/>
      <c r="R22" s="12"/>
      <c r="S22" s="12"/>
      <c r="T22" s="12"/>
      <c r="U22" s="12"/>
      <c r="V22" s="12"/>
      <c r="W22" s="12"/>
      <c r="X22" s="12"/>
      <c r="Y22" s="12"/>
      <c r="Z22" s="12"/>
    </row>
    <row r="23" spans="1:26">
      <c r="A23" s="12" t="s">
        <v>1633</v>
      </c>
      <c r="B23" s="12" t="s">
        <v>1597</v>
      </c>
      <c r="C23" s="8" t="s">
        <v>3564</v>
      </c>
      <c r="D23" s="8" t="s">
        <v>7704</v>
      </c>
      <c r="E23" s="8" t="s">
        <v>7746</v>
      </c>
      <c r="F23" s="8" t="s">
        <v>7704</v>
      </c>
      <c r="G23" s="8" t="s">
        <v>3565</v>
      </c>
      <c r="H23" s="9" t="s">
        <v>3566</v>
      </c>
      <c r="I23" s="8" t="s">
        <v>3567</v>
      </c>
      <c r="J23" s="12"/>
      <c r="K23" s="11">
        <v>49.817470999999998</v>
      </c>
      <c r="L23" s="11">
        <v>24.145392999999999</v>
      </c>
      <c r="M23" s="9" t="s">
        <v>3568</v>
      </c>
      <c r="N23" s="13" t="s">
        <v>3569</v>
      </c>
      <c r="O23" s="12">
        <v>677</v>
      </c>
      <c r="P23" s="12"/>
      <c r="Q23" s="12"/>
      <c r="R23" s="12"/>
      <c r="S23" s="12"/>
      <c r="T23" s="12"/>
      <c r="U23" s="12"/>
      <c r="V23" s="12"/>
      <c r="W23" s="12"/>
      <c r="X23" s="12"/>
      <c r="Y23" s="12"/>
      <c r="Z23" s="12"/>
    </row>
    <row r="24" spans="1:26">
      <c r="A24" s="12" t="s">
        <v>1386</v>
      </c>
      <c r="B24" s="12" t="s">
        <v>1220</v>
      </c>
      <c r="C24" s="8" t="s">
        <v>3570</v>
      </c>
      <c r="D24" s="8" t="s">
        <v>7747</v>
      </c>
      <c r="E24" s="8" t="s">
        <v>7748</v>
      </c>
      <c r="F24" s="8" t="s">
        <v>7732</v>
      </c>
      <c r="G24" s="8" t="s">
        <v>1404</v>
      </c>
      <c r="H24" s="9" t="s">
        <v>3571</v>
      </c>
      <c r="I24" s="8" t="s">
        <v>3572</v>
      </c>
      <c r="J24" s="19" t="s">
        <v>3573</v>
      </c>
      <c r="K24" s="11">
        <v>50.079799999999999</v>
      </c>
      <c r="L24" s="11">
        <v>29.9163</v>
      </c>
      <c r="M24" s="9" t="s">
        <v>3574</v>
      </c>
      <c r="N24" s="9"/>
      <c r="O24" s="12">
        <v>576</v>
      </c>
      <c r="P24" s="12"/>
      <c r="Q24" s="12"/>
      <c r="R24" s="12"/>
      <c r="S24" s="12"/>
      <c r="T24" s="12"/>
      <c r="U24" s="12"/>
      <c r="V24" s="12"/>
      <c r="W24" s="12"/>
      <c r="X24" s="12"/>
      <c r="Y24" s="12"/>
      <c r="Z24" s="12"/>
    </row>
    <row r="25" spans="1:26" ht="25">
      <c r="A25" s="12" t="s">
        <v>2546</v>
      </c>
      <c r="B25" s="12" t="s">
        <v>2527</v>
      </c>
      <c r="C25" s="8" t="s">
        <v>3575</v>
      </c>
      <c r="D25" s="8" t="s">
        <v>7749</v>
      </c>
      <c r="E25" s="8" t="s">
        <v>7728</v>
      </c>
      <c r="F25" s="8" t="s">
        <v>7727</v>
      </c>
      <c r="G25" s="8" t="s">
        <v>3576</v>
      </c>
      <c r="H25" s="9" t="s">
        <v>3577</v>
      </c>
      <c r="I25" s="8">
        <v>2013</v>
      </c>
      <c r="J25" s="12"/>
      <c r="K25" s="11">
        <v>49.299621999999999</v>
      </c>
      <c r="L25" s="11">
        <v>25.688752999999998</v>
      </c>
      <c r="M25" s="9" t="s">
        <v>3578</v>
      </c>
      <c r="N25" s="13" t="s">
        <v>3579</v>
      </c>
      <c r="O25" s="12">
        <v>1075</v>
      </c>
      <c r="P25" s="12"/>
      <c r="Q25" s="12"/>
      <c r="R25" s="12"/>
      <c r="S25" s="12"/>
      <c r="T25" s="12"/>
      <c r="U25" s="12"/>
      <c r="V25" s="12"/>
      <c r="W25" s="12"/>
      <c r="X25" s="12"/>
      <c r="Y25" s="12"/>
      <c r="Z25" s="12"/>
    </row>
    <row r="26" spans="1:26" ht="25">
      <c r="A26" s="12" t="s">
        <v>1270</v>
      </c>
      <c r="B26" s="12" t="s">
        <v>1220</v>
      </c>
      <c r="C26" s="8" t="s">
        <v>3580</v>
      </c>
      <c r="D26" s="8" t="s">
        <v>7750</v>
      </c>
      <c r="E26" s="8" t="s">
        <v>7740</v>
      </c>
      <c r="F26" s="8" t="s">
        <v>7732</v>
      </c>
      <c r="G26" s="8" t="s">
        <v>1301</v>
      </c>
      <c r="H26" s="9" t="s">
        <v>3581</v>
      </c>
      <c r="I26" s="8" t="s">
        <v>3582</v>
      </c>
      <c r="J26" s="19" t="s">
        <v>3583</v>
      </c>
      <c r="K26" s="11">
        <v>50.562973</v>
      </c>
      <c r="L26" s="11">
        <v>30.089193999999999</v>
      </c>
      <c r="M26" s="9" t="s">
        <v>3584</v>
      </c>
      <c r="N26" s="13" t="s">
        <v>3585</v>
      </c>
      <c r="O26" s="12">
        <v>538</v>
      </c>
      <c r="P26" s="12"/>
      <c r="Q26" s="12"/>
      <c r="R26" s="12"/>
      <c r="S26" s="12"/>
      <c r="T26" s="12"/>
      <c r="U26" s="12"/>
      <c r="V26" s="12"/>
      <c r="W26" s="12"/>
      <c r="X26" s="12"/>
      <c r="Y26" s="12"/>
      <c r="Z26" s="12"/>
    </row>
    <row r="27" spans="1:26" ht="25">
      <c r="A27" s="12" t="s">
        <v>2910</v>
      </c>
      <c r="B27" s="12" t="s">
        <v>2909</v>
      </c>
      <c r="C27" s="8" t="s">
        <v>3586</v>
      </c>
      <c r="D27" s="8" t="s">
        <v>7751</v>
      </c>
      <c r="E27" s="8" t="s">
        <v>2923</v>
      </c>
      <c r="F27" s="8" t="s">
        <v>7717</v>
      </c>
      <c r="G27" s="8" t="s">
        <v>3587</v>
      </c>
      <c r="H27" s="9" t="s">
        <v>3588</v>
      </c>
      <c r="I27" s="8" t="s">
        <v>3589</v>
      </c>
      <c r="J27" s="19" t="s">
        <v>3590</v>
      </c>
      <c r="K27" s="11">
        <v>48.886890999999999</v>
      </c>
      <c r="L27" s="11">
        <v>26.848186999999999</v>
      </c>
      <c r="M27" s="9" t="s">
        <v>3591</v>
      </c>
      <c r="N27" s="13" t="s">
        <v>3590</v>
      </c>
      <c r="O27" s="12">
        <v>1205</v>
      </c>
      <c r="P27" s="12"/>
      <c r="Q27" s="12"/>
      <c r="R27" s="12"/>
      <c r="S27" s="12"/>
      <c r="T27" s="12"/>
      <c r="U27" s="12"/>
      <c r="V27" s="12"/>
      <c r="W27" s="12"/>
      <c r="X27" s="12"/>
      <c r="Y27" s="12"/>
      <c r="Z27" s="12"/>
    </row>
    <row r="28" spans="1:26" ht="50">
      <c r="A28" s="12" t="s">
        <v>1549</v>
      </c>
      <c r="B28" s="12" t="s">
        <v>1532</v>
      </c>
      <c r="C28" s="8" t="s">
        <v>3592</v>
      </c>
      <c r="D28" s="8" t="s">
        <v>7752</v>
      </c>
      <c r="E28" s="8" t="s">
        <v>7753</v>
      </c>
      <c r="F28" s="8" t="s">
        <v>7754</v>
      </c>
      <c r="G28" s="8" t="s">
        <v>3593</v>
      </c>
      <c r="H28" s="9" t="s">
        <v>3594</v>
      </c>
      <c r="I28" s="8" t="s">
        <v>3595</v>
      </c>
      <c r="J28" s="13" t="s">
        <v>3596</v>
      </c>
      <c r="K28" s="11">
        <v>49.452323999999997</v>
      </c>
      <c r="L28" s="11">
        <v>39.620151</v>
      </c>
      <c r="M28" s="9" t="s">
        <v>3597</v>
      </c>
      <c r="N28" s="13" t="s">
        <v>3596</v>
      </c>
      <c r="O28" s="12">
        <v>636</v>
      </c>
      <c r="P28" s="12"/>
      <c r="Q28" s="12"/>
      <c r="R28" s="12"/>
      <c r="S28" s="12"/>
      <c r="T28" s="12"/>
      <c r="U28" s="12"/>
      <c r="V28" s="12"/>
      <c r="W28" s="12"/>
      <c r="X28" s="12"/>
      <c r="Y28" s="12"/>
      <c r="Z28" s="12"/>
    </row>
    <row r="29" spans="1:26" ht="25">
      <c r="A29" s="12" t="s">
        <v>396</v>
      </c>
      <c r="B29" s="12" t="s">
        <v>287</v>
      </c>
      <c r="C29" s="8" t="s">
        <v>3598</v>
      </c>
      <c r="D29" s="8" t="s">
        <v>7755</v>
      </c>
      <c r="E29" s="8" t="s">
        <v>7756</v>
      </c>
      <c r="F29" s="8" t="s">
        <v>7700</v>
      </c>
      <c r="G29" s="8" t="s">
        <v>3599</v>
      </c>
      <c r="H29" s="9" t="s">
        <v>3600</v>
      </c>
      <c r="I29" s="8" t="s">
        <v>3036</v>
      </c>
      <c r="J29" s="12"/>
      <c r="K29" s="11">
        <v>47.948129999999999</v>
      </c>
      <c r="L29" s="11">
        <v>34.775015000000003</v>
      </c>
      <c r="M29" s="9" t="s">
        <v>3601</v>
      </c>
      <c r="N29" s="9"/>
      <c r="O29" s="12">
        <v>176</v>
      </c>
      <c r="P29" s="12"/>
      <c r="Q29" s="12"/>
      <c r="R29" s="12"/>
      <c r="S29" s="12"/>
      <c r="T29" s="12"/>
      <c r="U29" s="12"/>
      <c r="V29" s="12"/>
      <c r="W29" s="12"/>
      <c r="X29" s="12"/>
      <c r="Y29" s="12"/>
      <c r="Z29" s="12"/>
    </row>
    <row r="30" spans="1:26">
      <c r="A30" s="12" t="s">
        <v>207</v>
      </c>
      <c r="B30" s="12" t="s">
        <v>171</v>
      </c>
      <c r="C30" s="8" t="s">
        <v>3602</v>
      </c>
      <c r="D30" s="8" t="s">
        <v>3603</v>
      </c>
      <c r="E30" s="8" t="s">
        <v>7719</v>
      </c>
      <c r="F30" s="8" t="s">
        <v>7714</v>
      </c>
      <c r="G30" s="8" t="s">
        <v>3603</v>
      </c>
      <c r="H30" s="9" t="s">
        <v>3604</v>
      </c>
      <c r="I30" s="8" t="s">
        <v>3605</v>
      </c>
      <c r="J30" s="19" t="s">
        <v>3606</v>
      </c>
      <c r="K30" s="11">
        <v>50.616926999999997</v>
      </c>
      <c r="L30" s="11">
        <v>26.199952</v>
      </c>
      <c r="M30" s="9" t="s">
        <v>3607</v>
      </c>
      <c r="N30" s="9"/>
      <c r="O30" s="12">
        <v>96</v>
      </c>
      <c r="P30" s="12"/>
      <c r="Q30" s="12"/>
      <c r="R30" s="12"/>
      <c r="S30" s="12"/>
      <c r="T30" s="12"/>
      <c r="U30" s="12"/>
      <c r="V30" s="12"/>
      <c r="W30" s="12"/>
      <c r="X30" s="12"/>
      <c r="Y30" s="12"/>
      <c r="Z30" s="12"/>
    </row>
    <row r="31" spans="1:26" ht="25">
      <c r="A31" s="12" t="s">
        <v>1882</v>
      </c>
      <c r="B31" s="12" t="s">
        <v>1788</v>
      </c>
      <c r="C31" s="8" t="s">
        <v>3608</v>
      </c>
      <c r="D31" s="8" t="s">
        <v>7757</v>
      </c>
      <c r="E31" s="8" t="s">
        <v>2730</v>
      </c>
      <c r="F31" s="8" t="s">
        <v>7706</v>
      </c>
      <c r="G31" s="8" t="s">
        <v>3609</v>
      </c>
      <c r="H31" s="9" t="s">
        <v>3610</v>
      </c>
      <c r="I31" s="8" t="s">
        <v>3611</v>
      </c>
      <c r="J31" s="18" t="s">
        <v>3612</v>
      </c>
      <c r="K31" s="11">
        <v>47.915067000000001</v>
      </c>
      <c r="L31" s="11">
        <v>31.309256999999999</v>
      </c>
      <c r="M31" s="9" t="s">
        <v>3613</v>
      </c>
      <c r="N31" s="9"/>
      <c r="O31" s="12">
        <v>770</v>
      </c>
      <c r="P31" s="12"/>
      <c r="Q31" s="12"/>
      <c r="R31" s="12"/>
      <c r="S31" s="12"/>
      <c r="T31" s="12"/>
      <c r="U31" s="12"/>
      <c r="V31" s="12"/>
      <c r="W31" s="12"/>
      <c r="X31" s="12"/>
      <c r="Y31" s="12"/>
      <c r="Z31" s="12"/>
    </row>
    <row r="32" spans="1:26" ht="25">
      <c r="A32" s="12" t="s">
        <v>1480</v>
      </c>
      <c r="B32" s="12" t="s">
        <v>1409</v>
      </c>
      <c r="C32" s="8" t="s">
        <v>3614</v>
      </c>
      <c r="D32" s="8" t="s">
        <v>7759</v>
      </c>
      <c r="E32" s="8" t="s">
        <v>7760</v>
      </c>
      <c r="F32" s="8" t="s">
        <v>7761</v>
      </c>
      <c r="G32" s="8" t="s">
        <v>3615</v>
      </c>
      <c r="H32" s="9" t="s">
        <v>3616</v>
      </c>
      <c r="I32" s="8"/>
      <c r="J32" s="12"/>
      <c r="K32" s="11">
        <v>48.646377999999999</v>
      </c>
      <c r="L32" s="11">
        <v>31.632137</v>
      </c>
      <c r="M32" s="9" t="s">
        <v>3617</v>
      </c>
      <c r="N32" s="9"/>
      <c r="O32" s="12">
        <v>609</v>
      </c>
      <c r="P32" s="12"/>
      <c r="Q32" s="12"/>
      <c r="R32" s="12"/>
      <c r="S32" s="12"/>
      <c r="T32" s="12"/>
      <c r="U32" s="12"/>
      <c r="V32" s="12"/>
      <c r="W32" s="12"/>
      <c r="X32" s="12"/>
      <c r="Y32" s="12"/>
      <c r="Z32" s="12"/>
    </row>
    <row r="33" spans="1:26" ht="50">
      <c r="A33" s="12" t="s">
        <v>207</v>
      </c>
      <c r="B33" s="12" t="s">
        <v>171</v>
      </c>
      <c r="C33" s="8" t="s">
        <v>3618</v>
      </c>
      <c r="D33" s="8" t="s">
        <v>7762</v>
      </c>
      <c r="E33" s="8" t="s">
        <v>7719</v>
      </c>
      <c r="F33" s="8" t="s">
        <v>7714</v>
      </c>
      <c r="G33" s="8" t="s">
        <v>3619</v>
      </c>
      <c r="H33" s="9" t="s">
        <v>3620</v>
      </c>
      <c r="I33" s="8" t="s">
        <v>3621</v>
      </c>
      <c r="J33" s="13" t="s">
        <v>3622</v>
      </c>
      <c r="K33" s="13" t="s">
        <v>3622</v>
      </c>
      <c r="L33" s="11">
        <v>23.9297586</v>
      </c>
      <c r="M33" s="9" t="s">
        <v>3623</v>
      </c>
      <c r="N33" s="13" t="s">
        <v>3622</v>
      </c>
      <c r="O33" s="12">
        <v>102</v>
      </c>
      <c r="P33" s="12"/>
      <c r="Q33" s="12"/>
      <c r="R33" s="12"/>
      <c r="S33" s="12"/>
      <c r="T33" s="12"/>
      <c r="U33" s="12"/>
      <c r="V33" s="12"/>
      <c r="W33" s="12"/>
      <c r="X33" s="12"/>
      <c r="Y33" s="12"/>
      <c r="Z33" s="12"/>
    </row>
    <row r="34" spans="1:26" ht="25">
      <c r="A34" s="12" t="s">
        <v>3139</v>
      </c>
      <c r="B34" s="12" t="s">
        <v>3046</v>
      </c>
      <c r="C34" s="8" t="s">
        <v>3624</v>
      </c>
      <c r="D34" s="8" t="s">
        <v>7763</v>
      </c>
      <c r="E34" s="8" t="s">
        <v>7764</v>
      </c>
      <c r="F34" s="8" t="s">
        <v>7708</v>
      </c>
      <c r="G34" s="8" t="s">
        <v>3625</v>
      </c>
      <c r="H34" s="9" t="s">
        <v>3626</v>
      </c>
      <c r="I34" s="8" t="s">
        <v>3627</v>
      </c>
      <c r="J34" s="19" t="s">
        <v>3628</v>
      </c>
      <c r="K34" s="11">
        <v>48.514614000000002</v>
      </c>
      <c r="L34" s="11">
        <v>34.611243999999999</v>
      </c>
      <c r="M34" s="9" t="s">
        <v>3629</v>
      </c>
      <c r="N34" s="9"/>
      <c r="O34" s="12">
        <v>1309</v>
      </c>
      <c r="P34" s="12"/>
      <c r="Q34" s="12"/>
      <c r="R34" s="12"/>
      <c r="S34" s="12"/>
      <c r="T34" s="12"/>
      <c r="U34" s="12"/>
      <c r="V34" s="12"/>
      <c r="W34" s="12"/>
      <c r="X34" s="12"/>
      <c r="Y34" s="12"/>
      <c r="Z34" s="12"/>
    </row>
    <row r="35" spans="1:26" ht="25">
      <c r="A35" s="12" t="s">
        <v>3083</v>
      </c>
      <c r="B35" s="12" t="s">
        <v>3046</v>
      </c>
      <c r="C35" s="8" t="s">
        <v>3630</v>
      </c>
      <c r="D35" s="8" t="s">
        <v>7765</v>
      </c>
      <c r="E35" s="8" t="s">
        <v>7766</v>
      </c>
      <c r="F35" s="8" t="s">
        <v>7708</v>
      </c>
      <c r="G35" s="8" t="s">
        <v>3631</v>
      </c>
      <c r="H35" s="9" t="s">
        <v>3632</v>
      </c>
      <c r="I35" s="8" t="s">
        <v>3633</v>
      </c>
      <c r="J35" s="18" t="s">
        <v>3634</v>
      </c>
      <c r="K35" s="11">
        <v>49.778033000000001</v>
      </c>
      <c r="L35" s="11">
        <v>32.031728000000001</v>
      </c>
      <c r="M35" s="9" t="s">
        <v>3635</v>
      </c>
      <c r="N35" s="9"/>
      <c r="O35" s="12">
        <v>1287</v>
      </c>
      <c r="P35" s="12"/>
      <c r="Q35" s="12"/>
      <c r="R35" s="12"/>
      <c r="S35" s="12"/>
      <c r="T35" s="12"/>
      <c r="U35" s="12"/>
      <c r="V35" s="12"/>
      <c r="W35" s="12"/>
      <c r="X35" s="12"/>
      <c r="Y35" s="12"/>
      <c r="Z35" s="12"/>
    </row>
    <row r="36" spans="1:26">
      <c r="A36" s="12" t="s">
        <v>3316</v>
      </c>
      <c r="B36" s="12" t="s">
        <v>3315</v>
      </c>
      <c r="C36" s="8" t="s">
        <v>3636</v>
      </c>
      <c r="D36" s="8" t="s">
        <v>7767</v>
      </c>
      <c r="E36" s="8" t="s">
        <v>7768</v>
      </c>
      <c r="F36" s="8" t="s">
        <v>7705</v>
      </c>
      <c r="G36" s="8" t="s">
        <v>3637</v>
      </c>
      <c r="H36" s="9" t="s">
        <v>3638</v>
      </c>
      <c r="I36" s="8"/>
      <c r="J36" s="12"/>
      <c r="K36" s="11">
        <v>51.519357999999997</v>
      </c>
      <c r="L36" s="11">
        <v>32.500836</v>
      </c>
      <c r="M36" s="9" t="s">
        <v>3639</v>
      </c>
      <c r="N36" s="9"/>
      <c r="O36" s="12">
        <v>1384</v>
      </c>
      <c r="P36" s="12"/>
      <c r="Q36" s="12"/>
      <c r="R36" s="12"/>
      <c r="S36" s="12"/>
      <c r="T36" s="12"/>
      <c r="U36" s="12"/>
      <c r="V36" s="12"/>
      <c r="W36" s="12"/>
      <c r="X36" s="12"/>
      <c r="Y36" s="12"/>
      <c r="Z36" s="12"/>
    </row>
    <row r="37" spans="1:26" ht="25">
      <c r="A37" s="12" t="s">
        <v>348</v>
      </c>
      <c r="B37" s="12" t="s">
        <v>287</v>
      </c>
      <c r="C37" s="8" t="s">
        <v>3640</v>
      </c>
      <c r="D37" s="8" t="s">
        <v>7769</v>
      </c>
      <c r="E37" s="8" t="s">
        <v>7770</v>
      </c>
      <c r="F37" s="8" t="s">
        <v>7700</v>
      </c>
      <c r="G37" s="8"/>
      <c r="H37" s="9" t="s">
        <v>3641</v>
      </c>
      <c r="I37" s="8" t="s">
        <v>3642</v>
      </c>
      <c r="J37" s="12"/>
      <c r="K37" s="11">
        <v>47.676367999999997</v>
      </c>
      <c r="L37" s="11">
        <v>33.219008000000002</v>
      </c>
      <c r="M37" s="9" t="s">
        <v>3643</v>
      </c>
      <c r="N37" s="9"/>
      <c r="O37" s="12">
        <v>154</v>
      </c>
      <c r="P37" s="12"/>
      <c r="Q37" s="12"/>
      <c r="R37" s="12"/>
      <c r="S37" s="12"/>
      <c r="T37" s="12"/>
      <c r="U37" s="12"/>
      <c r="V37" s="12"/>
      <c r="W37" s="12"/>
      <c r="X37" s="12"/>
      <c r="Y37" s="12"/>
      <c r="Z37" s="12"/>
    </row>
    <row r="38" spans="1:26" ht="25">
      <c r="A38" s="12" t="s">
        <v>2285</v>
      </c>
      <c r="B38" s="12" t="s">
        <v>2264</v>
      </c>
      <c r="C38" s="8" t="s">
        <v>3644</v>
      </c>
      <c r="D38" s="8" t="s">
        <v>7771</v>
      </c>
      <c r="E38" s="8" t="s">
        <v>7772</v>
      </c>
      <c r="F38" s="8" t="s">
        <v>3603</v>
      </c>
      <c r="G38" s="8" t="s">
        <v>3645</v>
      </c>
      <c r="H38" s="9" t="s">
        <v>3646</v>
      </c>
      <c r="I38" s="8" t="s">
        <v>3647</v>
      </c>
      <c r="J38" s="19" t="s">
        <v>3648</v>
      </c>
      <c r="K38" s="11">
        <v>50.240999000000002</v>
      </c>
      <c r="L38" s="11">
        <v>25.764326000000001</v>
      </c>
      <c r="M38" s="9" t="s">
        <v>3649</v>
      </c>
      <c r="N38" s="9"/>
      <c r="O38" s="12">
        <v>953</v>
      </c>
      <c r="P38" s="12"/>
      <c r="Q38" s="12"/>
      <c r="R38" s="12"/>
      <c r="S38" s="12"/>
      <c r="T38" s="12"/>
      <c r="U38" s="12"/>
      <c r="V38" s="12"/>
      <c r="W38" s="12"/>
      <c r="X38" s="12"/>
      <c r="Y38" s="12"/>
      <c r="Z38" s="12"/>
    </row>
    <row r="39" spans="1:26" ht="25">
      <c r="A39" s="12" t="s">
        <v>963</v>
      </c>
      <c r="B39" s="12" t="s">
        <v>915</v>
      </c>
      <c r="C39" s="8" t="s">
        <v>971</v>
      </c>
      <c r="D39" s="8" t="s">
        <v>7701</v>
      </c>
      <c r="E39" s="8" t="s">
        <v>7773</v>
      </c>
      <c r="F39" s="8" t="s">
        <v>7701</v>
      </c>
      <c r="G39" s="8" t="s">
        <v>972</v>
      </c>
      <c r="H39" s="9" t="s">
        <v>3650</v>
      </c>
      <c r="I39" s="8" t="s">
        <v>3651</v>
      </c>
      <c r="J39" s="19" t="s">
        <v>3652</v>
      </c>
      <c r="K39" s="11">
        <v>47.858812999999998</v>
      </c>
      <c r="L39" s="11">
        <v>35.183601000000003</v>
      </c>
      <c r="M39" s="9" t="s">
        <v>3653</v>
      </c>
      <c r="N39" s="9"/>
      <c r="O39" s="12">
        <v>402</v>
      </c>
      <c r="P39" s="12"/>
      <c r="Q39" s="12"/>
      <c r="R39" s="12"/>
      <c r="S39" s="12"/>
      <c r="T39" s="12"/>
      <c r="U39" s="12"/>
      <c r="V39" s="12"/>
      <c r="W39" s="12"/>
      <c r="X39" s="12"/>
      <c r="Y39" s="12"/>
      <c r="Z39" s="12"/>
    </row>
    <row r="40" spans="1:26">
      <c r="A40" s="12" t="s">
        <v>3083</v>
      </c>
      <c r="B40" s="12" t="s">
        <v>3046</v>
      </c>
      <c r="C40" s="8" t="s">
        <v>3654</v>
      </c>
      <c r="D40" s="8" t="s">
        <v>7774</v>
      </c>
      <c r="E40" s="8" t="s">
        <v>7766</v>
      </c>
      <c r="F40" s="8" t="s">
        <v>7708</v>
      </c>
      <c r="G40" s="8" t="s">
        <v>3096</v>
      </c>
      <c r="H40" s="9" t="s">
        <v>3655</v>
      </c>
      <c r="I40" s="8" t="s">
        <v>3656</v>
      </c>
      <c r="J40" s="12"/>
      <c r="K40" s="11">
        <v>49.665126999999998</v>
      </c>
      <c r="L40" s="11">
        <v>32.038080000000001</v>
      </c>
      <c r="M40" s="9" t="s">
        <v>3657</v>
      </c>
      <c r="N40" s="9"/>
      <c r="O40" s="12">
        <v>1285</v>
      </c>
      <c r="P40" s="12"/>
      <c r="Q40" s="12"/>
      <c r="R40" s="12"/>
      <c r="S40" s="12"/>
      <c r="T40" s="12"/>
      <c r="U40" s="12"/>
      <c r="V40" s="12"/>
      <c r="W40" s="12"/>
      <c r="X40" s="12"/>
      <c r="Y40" s="12"/>
      <c r="Z40" s="12"/>
    </row>
    <row r="41" spans="1:26" ht="25">
      <c r="A41" s="12" t="s">
        <v>1341</v>
      </c>
      <c r="B41" s="12" t="s">
        <v>1220</v>
      </c>
      <c r="C41" s="8" t="s">
        <v>3658</v>
      </c>
      <c r="D41" s="8" t="s">
        <v>7775</v>
      </c>
      <c r="E41" s="8" t="s">
        <v>7776</v>
      </c>
      <c r="F41" s="8" t="s">
        <v>7732</v>
      </c>
      <c r="G41" s="8" t="s">
        <v>1361</v>
      </c>
      <c r="H41" s="9" t="s">
        <v>3659</v>
      </c>
      <c r="I41" s="8" t="s">
        <v>3660</v>
      </c>
      <c r="J41" s="19" t="s">
        <v>3661</v>
      </c>
      <c r="K41" s="11">
        <v>51.519680999999999</v>
      </c>
      <c r="L41" s="11">
        <v>30.734299</v>
      </c>
      <c r="M41" s="9" t="s">
        <v>3662</v>
      </c>
      <c r="N41" s="9"/>
      <c r="O41" s="12">
        <v>559</v>
      </c>
      <c r="P41" s="12"/>
      <c r="Q41" s="12"/>
      <c r="R41" s="12"/>
      <c r="S41" s="12"/>
      <c r="T41" s="12"/>
      <c r="U41" s="12"/>
      <c r="V41" s="12"/>
      <c r="W41" s="12"/>
      <c r="X41" s="12"/>
      <c r="Y41" s="12"/>
      <c r="Z41" s="12"/>
    </row>
    <row r="42" spans="1:26" ht="25">
      <c r="A42" s="12" t="s">
        <v>2732</v>
      </c>
      <c r="B42" s="12" t="s">
        <v>2648</v>
      </c>
      <c r="C42" s="8" t="s">
        <v>3663</v>
      </c>
      <c r="D42" s="8" t="s">
        <v>8064</v>
      </c>
      <c r="E42" s="8" t="s">
        <v>7778</v>
      </c>
      <c r="F42" s="8" t="s">
        <v>7601</v>
      </c>
      <c r="G42" s="8" t="s">
        <v>3664</v>
      </c>
      <c r="H42" s="9" t="s">
        <v>3665</v>
      </c>
      <c r="I42" s="8" t="s">
        <v>3666</v>
      </c>
      <c r="J42" s="19" t="s">
        <v>3667</v>
      </c>
      <c r="K42" s="11">
        <v>49.818206400000001</v>
      </c>
      <c r="L42" s="11">
        <v>36.063051999999999</v>
      </c>
      <c r="M42" s="9" t="s">
        <v>3668</v>
      </c>
      <c r="N42" s="9"/>
      <c r="O42" s="12">
        <v>1137</v>
      </c>
      <c r="P42" s="12"/>
      <c r="Q42" s="12"/>
      <c r="R42" s="12"/>
      <c r="S42" s="12"/>
      <c r="T42" s="12"/>
      <c r="U42" s="12"/>
      <c r="V42" s="12"/>
      <c r="W42" s="12"/>
      <c r="X42" s="12"/>
      <c r="Y42" s="12"/>
      <c r="Z42" s="12"/>
    </row>
    <row r="43" spans="1:26" ht="25">
      <c r="A43" s="12" t="s">
        <v>706</v>
      </c>
      <c r="B43" s="12" t="s">
        <v>584</v>
      </c>
      <c r="C43" s="8" t="s">
        <v>715</v>
      </c>
      <c r="D43" s="8" t="s">
        <v>7779</v>
      </c>
      <c r="E43" s="8" t="s">
        <v>722</v>
      </c>
      <c r="F43" s="8" t="s">
        <v>7780</v>
      </c>
      <c r="G43" s="8" t="s">
        <v>3669</v>
      </c>
      <c r="H43" s="9" t="s">
        <v>3670</v>
      </c>
      <c r="I43" s="8" t="s">
        <v>3671</v>
      </c>
      <c r="J43" s="12"/>
      <c r="K43" s="11">
        <v>50.807662999999998</v>
      </c>
      <c r="L43" s="11">
        <v>27.312075</v>
      </c>
      <c r="M43" s="9" t="s">
        <v>3672</v>
      </c>
      <c r="N43" s="9"/>
      <c r="O43" s="12">
        <v>308</v>
      </c>
      <c r="P43" s="12"/>
      <c r="Q43" s="12"/>
      <c r="R43" s="12"/>
      <c r="S43" s="12"/>
      <c r="T43" s="12"/>
      <c r="U43" s="12"/>
      <c r="V43" s="12"/>
      <c r="W43" s="12"/>
      <c r="X43" s="12"/>
      <c r="Y43" s="12"/>
      <c r="Z43" s="12"/>
    </row>
    <row r="44" spans="1:26">
      <c r="A44" s="12" t="s">
        <v>2020</v>
      </c>
      <c r="B44" s="12" t="s">
        <v>1900</v>
      </c>
      <c r="C44" s="8" t="s">
        <v>3673</v>
      </c>
      <c r="D44" s="8" t="s">
        <v>7781</v>
      </c>
      <c r="E44" s="8" t="s">
        <v>7782</v>
      </c>
      <c r="F44" s="8" t="s">
        <v>7781</v>
      </c>
      <c r="G44" s="8" t="s">
        <v>3674</v>
      </c>
      <c r="H44" s="9" t="s">
        <v>3675</v>
      </c>
      <c r="I44" s="8" t="s">
        <v>3676</v>
      </c>
      <c r="J44" s="13" t="s">
        <v>3677</v>
      </c>
      <c r="K44" s="11">
        <v>46.451698</v>
      </c>
      <c r="L44" s="11">
        <v>30.719988000000001</v>
      </c>
      <c r="M44" s="9" t="s">
        <v>3678</v>
      </c>
      <c r="N44" s="13" t="s">
        <v>3677</v>
      </c>
      <c r="O44" s="12">
        <v>839</v>
      </c>
      <c r="P44" s="12"/>
      <c r="Q44" s="12"/>
      <c r="R44" s="12"/>
      <c r="S44" s="12"/>
      <c r="T44" s="12"/>
      <c r="U44" s="12"/>
      <c r="V44" s="12"/>
      <c r="W44" s="12"/>
      <c r="X44" s="12"/>
      <c r="Y44" s="12"/>
      <c r="Z44" s="12"/>
    </row>
    <row r="45" spans="1:26" ht="37.5">
      <c r="A45" s="12" t="s">
        <v>1633</v>
      </c>
      <c r="B45" s="12" t="s">
        <v>1597</v>
      </c>
      <c r="C45" s="8" t="s">
        <v>3564</v>
      </c>
      <c r="D45" s="8" t="s">
        <v>7704</v>
      </c>
      <c r="E45" s="8" t="s">
        <v>7746</v>
      </c>
      <c r="F45" s="8" t="s">
        <v>7704</v>
      </c>
      <c r="G45" s="8" t="s">
        <v>3679</v>
      </c>
      <c r="H45" s="9" t="s">
        <v>3680</v>
      </c>
      <c r="I45" s="8" t="s">
        <v>3681</v>
      </c>
      <c r="J45" s="13" t="s">
        <v>3682</v>
      </c>
      <c r="K45" s="11">
        <v>49.846285000000002</v>
      </c>
      <c r="L45" s="11">
        <v>23.979989</v>
      </c>
      <c r="M45" s="9" t="s">
        <v>3683</v>
      </c>
      <c r="N45" s="13" t="s">
        <v>3684</v>
      </c>
      <c r="O45" s="12">
        <v>677</v>
      </c>
      <c r="P45" s="12"/>
      <c r="Q45" s="12"/>
      <c r="R45" s="12"/>
      <c r="S45" s="12"/>
      <c r="T45" s="12"/>
      <c r="U45" s="12"/>
      <c r="V45" s="12"/>
      <c r="W45" s="12"/>
      <c r="X45" s="12"/>
      <c r="Y45" s="12"/>
      <c r="Z45" s="12"/>
    </row>
    <row r="46" spans="1:26" ht="25">
      <c r="A46" s="12" t="s">
        <v>916</v>
      </c>
      <c r="B46" s="12" t="s">
        <v>915</v>
      </c>
      <c r="C46" s="8" t="s">
        <v>3685</v>
      </c>
      <c r="D46" s="8" t="s">
        <v>7705</v>
      </c>
      <c r="E46" s="8" t="s">
        <v>7783</v>
      </c>
      <c r="F46" s="8" t="s">
        <v>7701</v>
      </c>
      <c r="G46" s="8" t="s">
        <v>3686</v>
      </c>
      <c r="H46" s="9" t="s">
        <v>3687</v>
      </c>
      <c r="I46" s="8" t="s">
        <v>3688</v>
      </c>
      <c r="J46" s="13" t="s">
        <v>3689</v>
      </c>
      <c r="K46" s="11">
        <v>51.490715000000002</v>
      </c>
      <c r="L46" s="11">
        <v>31.295970000000001</v>
      </c>
      <c r="M46" s="9" t="s">
        <v>3690</v>
      </c>
      <c r="N46" s="13" t="s">
        <v>3689</v>
      </c>
      <c r="O46" s="12">
        <v>387</v>
      </c>
      <c r="P46" s="12"/>
      <c r="Q46" s="12"/>
      <c r="R46" s="12"/>
      <c r="S46" s="12"/>
      <c r="T46" s="12"/>
      <c r="U46" s="12"/>
      <c r="V46" s="12"/>
      <c r="W46" s="12"/>
      <c r="X46" s="12"/>
      <c r="Y46" s="12"/>
      <c r="Z46" s="12"/>
    </row>
    <row r="47" spans="1:26">
      <c r="A47" s="12" t="s">
        <v>2152</v>
      </c>
      <c r="B47" s="12" t="s">
        <v>2124</v>
      </c>
      <c r="C47" s="8" t="s">
        <v>3691</v>
      </c>
      <c r="D47" s="8" t="s">
        <v>7784</v>
      </c>
      <c r="E47" s="8" t="s">
        <v>7785</v>
      </c>
      <c r="F47" s="8" t="s">
        <v>7703</v>
      </c>
      <c r="G47" s="8" t="s">
        <v>2155</v>
      </c>
      <c r="H47" s="9" t="s">
        <v>3692</v>
      </c>
      <c r="I47" s="8"/>
      <c r="J47" s="12"/>
      <c r="K47" s="11">
        <v>50.011927</v>
      </c>
      <c r="L47" s="11">
        <v>32.988658999999998</v>
      </c>
      <c r="M47" s="9" t="s">
        <v>3693</v>
      </c>
      <c r="N47" s="13" t="s">
        <v>3694</v>
      </c>
      <c r="O47" s="12">
        <v>882</v>
      </c>
      <c r="P47" s="12"/>
      <c r="Q47" s="12"/>
      <c r="R47" s="12"/>
      <c r="S47" s="12"/>
      <c r="T47" s="12"/>
      <c r="U47" s="12"/>
      <c r="V47" s="12"/>
      <c r="W47" s="12"/>
      <c r="X47" s="12"/>
      <c r="Y47" s="12"/>
      <c r="Z47" s="12"/>
    </row>
    <row r="48" spans="1:26" ht="25">
      <c r="A48" s="12" t="s">
        <v>2546</v>
      </c>
      <c r="B48" s="12" t="s">
        <v>2527</v>
      </c>
      <c r="C48" s="8" t="s">
        <v>3503</v>
      </c>
      <c r="D48" s="8" t="s">
        <v>7727</v>
      </c>
      <c r="E48" s="8" t="s">
        <v>7728</v>
      </c>
      <c r="F48" s="8" t="s">
        <v>7727</v>
      </c>
      <c r="G48" s="8" t="s">
        <v>3504</v>
      </c>
      <c r="H48" s="9" t="s">
        <v>3695</v>
      </c>
      <c r="I48" s="8" t="s">
        <v>3506</v>
      </c>
      <c r="J48" s="19" t="s">
        <v>3696</v>
      </c>
      <c r="K48" s="11">
        <v>49.545414000000001</v>
      </c>
      <c r="L48" s="11">
        <v>25.601098</v>
      </c>
      <c r="M48" s="9" t="s">
        <v>3697</v>
      </c>
      <c r="N48" s="13" t="s">
        <v>3698</v>
      </c>
      <c r="O48" s="12">
        <v>1076</v>
      </c>
      <c r="P48" s="12"/>
      <c r="Q48" s="12"/>
      <c r="R48" s="12"/>
      <c r="S48" s="12"/>
      <c r="T48" s="12"/>
      <c r="U48" s="12"/>
      <c r="V48" s="12"/>
      <c r="W48" s="12"/>
      <c r="X48" s="12"/>
      <c r="Y48" s="12"/>
      <c r="Z48" s="12"/>
    </row>
    <row r="49" spans="1:26" ht="25">
      <c r="A49" s="12" t="s">
        <v>963</v>
      </c>
      <c r="B49" s="12" t="s">
        <v>915</v>
      </c>
      <c r="C49" s="8" t="s">
        <v>971</v>
      </c>
      <c r="D49" s="8" t="s">
        <v>7701</v>
      </c>
      <c r="E49" s="8" t="s">
        <v>7773</v>
      </c>
      <c r="F49" s="8" t="s">
        <v>7701</v>
      </c>
      <c r="G49" s="8" t="s">
        <v>972</v>
      </c>
      <c r="H49" s="9" t="s">
        <v>3699</v>
      </c>
      <c r="I49" s="8" t="s">
        <v>3700</v>
      </c>
      <c r="J49" s="18" t="s">
        <v>3701</v>
      </c>
      <c r="K49" s="11">
        <v>47.854244000000001</v>
      </c>
      <c r="L49" s="11">
        <v>35.149939000000003</v>
      </c>
      <c r="M49" s="9" t="s">
        <v>3702</v>
      </c>
      <c r="N49" s="13" t="s">
        <v>3703</v>
      </c>
      <c r="O49" s="12">
        <v>402</v>
      </c>
      <c r="P49" s="12"/>
      <c r="Q49" s="12"/>
      <c r="R49" s="12"/>
      <c r="S49" s="12"/>
      <c r="T49" s="12"/>
      <c r="U49" s="12"/>
      <c r="V49" s="12"/>
      <c r="W49" s="12"/>
      <c r="X49" s="12"/>
      <c r="Y49" s="12"/>
      <c r="Z49" s="12"/>
    </row>
    <row r="50" spans="1:26">
      <c r="A50" s="12" t="s">
        <v>18</v>
      </c>
      <c r="B50" s="12" t="s">
        <v>17</v>
      </c>
      <c r="C50" s="8" t="s">
        <v>3704</v>
      </c>
      <c r="D50" s="8" t="s">
        <v>7699</v>
      </c>
      <c r="E50" s="8" t="s">
        <v>7786</v>
      </c>
      <c r="F50" s="8" t="s">
        <v>7699</v>
      </c>
      <c r="G50" s="8" t="s">
        <v>3705</v>
      </c>
      <c r="H50" s="9" t="s">
        <v>3706</v>
      </c>
      <c r="I50" s="8" t="s">
        <v>3707</v>
      </c>
      <c r="J50" s="18" t="s">
        <v>3708</v>
      </c>
      <c r="K50" s="11">
        <v>49.232340000000001</v>
      </c>
      <c r="L50" s="11">
        <v>28.468426000000001</v>
      </c>
      <c r="M50" s="9" t="s">
        <v>3709</v>
      </c>
      <c r="N50" s="13" t="s">
        <v>3710</v>
      </c>
      <c r="O50" s="12">
        <v>4</v>
      </c>
      <c r="P50" s="12"/>
      <c r="Q50" s="12"/>
      <c r="R50" s="12"/>
      <c r="S50" s="12"/>
      <c r="T50" s="12"/>
      <c r="U50" s="12"/>
      <c r="V50" s="12"/>
      <c r="W50" s="12"/>
      <c r="X50" s="12"/>
      <c r="Y50" s="12"/>
      <c r="Z50" s="12"/>
    </row>
    <row r="51" spans="1:26" ht="25">
      <c r="A51" s="12" t="s">
        <v>1843</v>
      </c>
      <c r="B51" s="12" t="s">
        <v>1788</v>
      </c>
      <c r="C51" s="8" t="s">
        <v>3711</v>
      </c>
      <c r="D51" s="8" t="s">
        <v>7706</v>
      </c>
      <c r="E51" s="8" t="s">
        <v>7758</v>
      </c>
      <c r="F51" s="8" t="s">
        <v>7706</v>
      </c>
      <c r="G51" s="8" t="s">
        <v>1735</v>
      </c>
      <c r="H51" s="9" t="s">
        <v>3712</v>
      </c>
      <c r="I51" s="8" t="s">
        <v>3713</v>
      </c>
      <c r="J51" s="19" t="s">
        <v>3714</v>
      </c>
      <c r="K51" s="11">
        <v>46.958247</v>
      </c>
      <c r="L51" s="11">
        <v>31.977831999999999</v>
      </c>
      <c r="M51" s="9" t="s">
        <v>3715</v>
      </c>
      <c r="N51" s="13" t="s">
        <v>3716</v>
      </c>
      <c r="O51" s="12">
        <v>122</v>
      </c>
      <c r="P51" s="12"/>
      <c r="Q51" s="12"/>
      <c r="R51" s="12"/>
      <c r="S51" s="12"/>
      <c r="T51" s="12"/>
      <c r="U51" s="12"/>
      <c r="V51" s="12"/>
      <c r="W51" s="12"/>
      <c r="X51" s="12"/>
      <c r="Y51" s="12"/>
      <c r="Z51" s="12"/>
    </row>
    <row r="52" spans="1:26" ht="25">
      <c r="A52" s="12" t="s">
        <v>607</v>
      </c>
      <c r="B52" s="12" t="s">
        <v>584</v>
      </c>
      <c r="C52" s="8" t="s">
        <v>3717</v>
      </c>
      <c r="D52" s="8" t="s">
        <v>7780</v>
      </c>
      <c r="E52" s="8" t="s">
        <v>7788</v>
      </c>
      <c r="F52" s="8" t="s">
        <v>7780</v>
      </c>
      <c r="G52" s="8" t="s">
        <v>630</v>
      </c>
      <c r="H52" s="9" t="s">
        <v>3718</v>
      </c>
      <c r="I52" s="8" t="s">
        <v>3719</v>
      </c>
      <c r="J52" s="19" t="s">
        <v>3720</v>
      </c>
      <c r="K52" s="11">
        <v>50.253836</v>
      </c>
      <c r="L52" s="11">
        <v>28.665520000000001</v>
      </c>
      <c r="M52" s="9" t="s">
        <v>3721</v>
      </c>
      <c r="N52" s="13" t="s">
        <v>3722</v>
      </c>
      <c r="O52" s="12">
        <v>269</v>
      </c>
      <c r="P52" s="12"/>
      <c r="Q52" s="12"/>
      <c r="R52" s="12"/>
      <c r="S52" s="12"/>
      <c r="T52" s="12"/>
      <c r="U52" s="12"/>
      <c r="V52" s="12"/>
      <c r="W52" s="12"/>
      <c r="X52" s="12"/>
      <c r="Y52" s="12"/>
      <c r="Z52" s="12"/>
    </row>
    <row r="53" spans="1:26" ht="50">
      <c r="A53" s="12" t="s">
        <v>1813</v>
      </c>
      <c r="B53" s="12" t="s">
        <v>1788</v>
      </c>
      <c r="C53" s="8" t="s">
        <v>3723</v>
      </c>
      <c r="D53" s="8" t="s">
        <v>7789</v>
      </c>
      <c r="E53" s="8" t="s">
        <v>7742</v>
      </c>
      <c r="F53" s="8" t="s">
        <v>7706</v>
      </c>
      <c r="G53" s="8" t="s">
        <v>3724</v>
      </c>
      <c r="H53" s="9" t="s">
        <v>3725</v>
      </c>
      <c r="I53" s="8" t="s">
        <v>3726</v>
      </c>
      <c r="J53" s="13" t="s">
        <v>3727</v>
      </c>
      <c r="K53" s="11">
        <v>47.420731000000004</v>
      </c>
      <c r="L53" s="11">
        <v>30.987127999999998</v>
      </c>
      <c r="M53" s="9" t="s">
        <v>3728</v>
      </c>
      <c r="N53" s="13" t="s">
        <v>3727</v>
      </c>
      <c r="O53" s="12">
        <v>745</v>
      </c>
      <c r="P53" s="12"/>
      <c r="Q53" s="12"/>
      <c r="R53" s="12"/>
      <c r="S53" s="12"/>
      <c r="T53" s="12"/>
      <c r="U53" s="12"/>
      <c r="V53" s="12"/>
      <c r="W53" s="12"/>
      <c r="X53" s="12"/>
      <c r="Y53" s="12"/>
      <c r="Z53" s="12"/>
    </row>
    <row r="54" spans="1:26" ht="50">
      <c r="A54" s="12" t="s">
        <v>348</v>
      </c>
      <c r="B54" s="12" t="s">
        <v>287</v>
      </c>
      <c r="C54" s="8" t="s">
        <v>3729</v>
      </c>
      <c r="D54" s="8" t="s">
        <v>7790</v>
      </c>
      <c r="E54" s="8" t="s">
        <v>7770</v>
      </c>
      <c r="F54" s="8" t="s">
        <v>7700</v>
      </c>
      <c r="G54" s="8" t="s">
        <v>3730</v>
      </c>
      <c r="H54" s="9" t="s">
        <v>3731</v>
      </c>
      <c r="I54" s="8" t="s">
        <v>3732</v>
      </c>
      <c r="J54" s="13" t="s">
        <v>3733</v>
      </c>
      <c r="K54" s="11">
        <v>48.141452999999998</v>
      </c>
      <c r="L54" s="11">
        <v>33.759850999999998</v>
      </c>
      <c r="M54" s="9" t="s">
        <v>3734</v>
      </c>
      <c r="N54" s="13" t="s">
        <v>3733</v>
      </c>
      <c r="O54" s="12">
        <v>152</v>
      </c>
      <c r="P54" s="12"/>
      <c r="Q54" s="12"/>
      <c r="R54" s="12"/>
      <c r="S54" s="12"/>
      <c r="T54" s="12"/>
      <c r="U54" s="12"/>
      <c r="V54" s="12"/>
      <c r="W54" s="12"/>
      <c r="X54" s="12"/>
      <c r="Y54" s="12"/>
      <c r="Z54" s="12"/>
    </row>
    <row r="55" spans="1:26" ht="62.5">
      <c r="A55" s="12" t="s">
        <v>916</v>
      </c>
      <c r="B55" s="12" t="s">
        <v>915</v>
      </c>
      <c r="C55" s="8" t="s">
        <v>3685</v>
      </c>
      <c r="D55" s="8" t="s">
        <v>7705</v>
      </c>
      <c r="E55" s="8" t="s">
        <v>7783</v>
      </c>
      <c r="F55" s="8" t="s">
        <v>7701</v>
      </c>
      <c r="G55" s="8" t="s">
        <v>3435</v>
      </c>
      <c r="H55" s="9" t="s">
        <v>3735</v>
      </c>
      <c r="I55" s="8" t="s">
        <v>3736</v>
      </c>
      <c r="J55" s="13" t="s">
        <v>3737</v>
      </c>
      <c r="K55" s="11">
        <v>51.506154000000002</v>
      </c>
      <c r="L55" s="11">
        <v>31.283878999999999</v>
      </c>
      <c r="M55" s="9" t="s">
        <v>3738</v>
      </c>
      <c r="N55" s="13" t="s">
        <v>3737</v>
      </c>
      <c r="O55" s="12">
        <v>387</v>
      </c>
      <c r="P55" s="12"/>
      <c r="Q55" s="12"/>
      <c r="R55" s="12"/>
      <c r="S55" s="12"/>
      <c r="T55" s="12"/>
      <c r="U55" s="12"/>
      <c r="V55" s="12"/>
      <c r="W55" s="12"/>
      <c r="X55" s="12"/>
      <c r="Y55" s="12"/>
      <c r="Z55" s="12"/>
    </row>
    <row r="56" spans="1:26" ht="25">
      <c r="A56" s="12" t="s">
        <v>1000</v>
      </c>
      <c r="B56" s="12" t="s">
        <v>915</v>
      </c>
      <c r="C56" s="8" t="s">
        <v>3739</v>
      </c>
      <c r="D56" s="8" t="s">
        <v>7791</v>
      </c>
      <c r="E56" s="8" t="s">
        <v>7792</v>
      </c>
      <c r="F56" s="8" t="s">
        <v>7701</v>
      </c>
      <c r="G56" s="8" t="s">
        <v>1007</v>
      </c>
      <c r="H56" s="9" t="s">
        <v>3740</v>
      </c>
      <c r="I56" s="8" t="s">
        <v>3741</v>
      </c>
      <c r="J56" s="18" t="s">
        <v>3742</v>
      </c>
      <c r="K56" s="11">
        <v>46.847363999999999</v>
      </c>
      <c r="L56" s="11">
        <v>35.382013999999998</v>
      </c>
      <c r="M56" s="9" t="s">
        <v>3743</v>
      </c>
      <c r="N56" s="13" t="s">
        <v>3744</v>
      </c>
      <c r="O56" s="12">
        <v>419</v>
      </c>
      <c r="P56" s="12"/>
      <c r="Q56" s="12"/>
      <c r="R56" s="12"/>
      <c r="S56" s="12"/>
      <c r="T56" s="12"/>
      <c r="U56" s="12"/>
      <c r="V56" s="12"/>
      <c r="W56" s="12"/>
      <c r="X56" s="12"/>
      <c r="Y56" s="12"/>
      <c r="Z56" s="12"/>
    </row>
    <row r="57" spans="1:26" ht="25">
      <c r="A57" s="12" t="s">
        <v>2285</v>
      </c>
      <c r="B57" s="12" t="s">
        <v>2264</v>
      </c>
      <c r="C57" s="8" t="s">
        <v>3745</v>
      </c>
      <c r="D57" s="8" t="s">
        <v>7793</v>
      </c>
      <c r="E57" s="8" t="s">
        <v>7772</v>
      </c>
      <c r="F57" s="8" t="s">
        <v>3603</v>
      </c>
      <c r="G57" s="8" t="s">
        <v>3746</v>
      </c>
      <c r="H57" s="9" t="s">
        <v>3747</v>
      </c>
      <c r="I57" s="8" t="s">
        <v>3748</v>
      </c>
      <c r="J57" s="18" t="s">
        <v>3749</v>
      </c>
      <c r="K57" s="11">
        <v>50.426689600000003</v>
      </c>
      <c r="L57" s="11">
        <v>25.3394224</v>
      </c>
      <c r="M57" s="9" t="s">
        <v>3750</v>
      </c>
      <c r="N57" s="13" t="s">
        <v>3751</v>
      </c>
      <c r="O57" s="12">
        <v>941</v>
      </c>
      <c r="P57" s="12"/>
      <c r="Q57" s="12"/>
      <c r="R57" s="12"/>
      <c r="S57" s="12"/>
      <c r="T57" s="12"/>
      <c r="U57" s="12"/>
      <c r="V57" s="12"/>
      <c r="W57" s="12"/>
      <c r="X57" s="12"/>
      <c r="Y57" s="12"/>
      <c r="Z57" s="12"/>
    </row>
    <row r="58" spans="1:26" ht="50">
      <c r="A58" s="12" t="s">
        <v>1549</v>
      </c>
      <c r="B58" s="12" t="s">
        <v>1532</v>
      </c>
      <c r="C58" s="8" t="s">
        <v>3752</v>
      </c>
      <c r="D58" s="8" t="s">
        <v>7794</v>
      </c>
      <c r="E58" s="8" t="s">
        <v>7753</v>
      </c>
      <c r="F58" s="8" t="s">
        <v>7754</v>
      </c>
      <c r="G58" s="8" t="s">
        <v>3753</v>
      </c>
      <c r="H58" s="9" t="s">
        <v>3754</v>
      </c>
      <c r="I58" s="8" t="s">
        <v>3755</v>
      </c>
      <c r="J58" s="18" t="s">
        <v>3756</v>
      </c>
      <c r="K58" s="11">
        <v>49.297950999999998</v>
      </c>
      <c r="L58" s="11">
        <v>38.935656999999999</v>
      </c>
      <c r="M58" s="9" t="s">
        <v>3757</v>
      </c>
      <c r="N58" s="13" t="s">
        <v>3758</v>
      </c>
      <c r="O58" s="12">
        <v>640</v>
      </c>
      <c r="P58" s="12"/>
      <c r="Q58" s="12"/>
      <c r="R58" s="12"/>
      <c r="S58" s="12"/>
      <c r="T58" s="12"/>
      <c r="U58" s="12"/>
      <c r="V58" s="12"/>
      <c r="W58" s="12"/>
      <c r="X58" s="12"/>
      <c r="Y58" s="12"/>
      <c r="Z58" s="12"/>
    </row>
    <row r="59" spans="1:26" ht="25">
      <c r="A59" s="12" t="s">
        <v>3372</v>
      </c>
      <c r="B59" s="12" t="s">
        <v>3315</v>
      </c>
      <c r="C59" s="8" t="s">
        <v>3759</v>
      </c>
      <c r="D59" s="8" t="s">
        <v>7795</v>
      </c>
      <c r="E59" s="8" t="s">
        <v>7796</v>
      </c>
      <c r="F59" s="8" t="s">
        <v>7705</v>
      </c>
      <c r="G59" s="8" t="s">
        <v>3760</v>
      </c>
      <c r="H59" s="9" t="s">
        <v>3761</v>
      </c>
      <c r="I59" s="8" t="s">
        <v>3762</v>
      </c>
      <c r="J59" s="19" t="s">
        <v>3763</v>
      </c>
      <c r="K59" s="11">
        <v>50.474518000000003</v>
      </c>
      <c r="L59" s="11">
        <v>32.703164000000001</v>
      </c>
      <c r="M59" s="9" t="s">
        <v>3764</v>
      </c>
      <c r="N59" s="9"/>
      <c r="O59" s="12">
        <v>1408</v>
      </c>
      <c r="P59" s="12"/>
      <c r="Q59" s="12"/>
      <c r="R59" s="12"/>
      <c r="S59" s="12"/>
      <c r="T59" s="12"/>
      <c r="U59" s="12"/>
      <c r="V59" s="12"/>
      <c r="W59" s="12"/>
      <c r="X59" s="12"/>
      <c r="Y59" s="12"/>
      <c r="Z59" s="12"/>
    </row>
    <row r="60" spans="1:26" ht="25">
      <c r="A60" s="12" t="s">
        <v>3047</v>
      </c>
      <c r="B60" s="12" t="s">
        <v>3046</v>
      </c>
      <c r="C60" s="8" t="s">
        <v>3765</v>
      </c>
      <c r="D60" s="8" t="s">
        <v>7797</v>
      </c>
      <c r="E60" s="8" t="s">
        <v>7798</v>
      </c>
      <c r="F60" s="8" t="s">
        <v>7708</v>
      </c>
      <c r="G60" s="8" t="s">
        <v>3766</v>
      </c>
      <c r="H60" s="9" t="s">
        <v>3767</v>
      </c>
      <c r="I60" s="8" t="s">
        <v>3768</v>
      </c>
      <c r="J60" s="19" t="s">
        <v>3769</v>
      </c>
      <c r="K60" s="11">
        <v>49.011256000000003</v>
      </c>
      <c r="L60" s="11">
        <v>31.370049000000002</v>
      </c>
      <c r="M60" s="9" t="s">
        <v>3770</v>
      </c>
      <c r="N60" s="13" t="s">
        <v>3771</v>
      </c>
      <c r="O60" s="12">
        <v>1279</v>
      </c>
      <c r="P60" s="12"/>
      <c r="Q60" s="12"/>
      <c r="R60" s="12"/>
      <c r="S60" s="12"/>
      <c r="T60" s="12"/>
      <c r="U60" s="12"/>
      <c r="V60" s="12"/>
      <c r="W60" s="12"/>
      <c r="X60" s="12"/>
      <c r="Y60" s="12"/>
      <c r="Z60" s="12"/>
    </row>
    <row r="61" spans="1:26" ht="26">
      <c r="A61" s="12" t="s">
        <v>2528</v>
      </c>
      <c r="B61" s="12" t="s">
        <v>2527</v>
      </c>
      <c r="C61" s="20" t="s">
        <v>3772</v>
      </c>
      <c r="D61" s="8" t="s">
        <v>7799</v>
      </c>
      <c r="E61" s="8" t="s">
        <v>7800</v>
      </c>
      <c r="F61" s="8" t="s">
        <v>7727</v>
      </c>
      <c r="G61" s="8" t="s">
        <v>3773</v>
      </c>
      <c r="H61" s="9" t="s">
        <v>3774</v>
      </c>
      <c r="I61" s="8" t="s">
        <v>3775</v>
      </c>
      <c r="J61" s="19" t="s">
        <v>3771</v>
      </c>
      <c r="K61" s="11">
        <v>49.861308999999999</v>
      </c>
      <c r="L61" s="11">
        <v>26.090405000000001</v>
      </c>
      <c r="M61" s="9" t="s">
        <v>3776</v>
      </c>
      <c r="N61" s="13" t="s">
        <v>3777</v>
      </c>
      <c r="O61" s="12">
        <v>1048</v>
      </c>
      <c r="P61" s="12"/>
      <c r="Q61" s="12"/>
      <c r="R61" s="12"/>
      <c r="S61" s="12"/>
      <c r="T61" s="12"/>
      <c r="U61" s="12"/>
      <c r="V61" s="12"/>
      <c r="W61" s="12"/>
      <c r="X61" s="12"/>
      <c r="Y61" s="12"/>
      <c r="Z61" s="12"/>
    </row>
    <row r="62" spans="1:26" ht="25">
      <c r="A62" s="12" t="s">
        <v>2732</v>
      </c>
      <c r="B62" s="12" t="s">
        <v>2648</v>
      </c>
      <c r="C62" s="8" t="s">
        <v>3778</v>
      </c>
      <c r="D62" s="8" t="s">
        <v>7801</v>
      </c>
      <c r="E62" s="8" t="s">
        <v>7778</v>
      </c>
      <c r="F62" s="8" t="s">
        <v>7601</v>
      </c>
      <c r="G62" s="8" t="s">
        <v>2749</v>
      </c>
      <c r="H62" s="9" t="s">
        <v>3779</v>
      </c>
      <c r="I62" s="8" t="s">
        <v>3780</v>
      </c>
      <c r="J62" s="19" t="s">
        <v>3781</v>
      </c>
      <c r="K62" s="11">
        <v>49.942300000000003</v>
      </c>
      <c r="L62" s="11">
        <v>35.935031000000002</v>
      </c>
      <c r="M62" s="9" t="s">
        <v>3782</v>
      </c>
      <c r="N62" s="13" t="s">
        <v>3783</v>
      </c>
      <c r="O62" s="12">
        <v>1135</v>
      </c>
      <c r="P62" s="12"/>
      <c r="Q62" s="12"/>
      <c r="R62" s="12"/>
      <c r="S62" s="12"/>
      <c r="T62" s="12"/>
      <c r="U62" s="12"/>
      <c r="V62" s="12"/>
      <c r="W62" s="12"/>
      <c r="X62" s="12"/>
      <c r="Y62" s="12"/>
      <c r="Z62" s="12"/>
    </row>
    <row r="63" spans="1:26" ht="26">
      <c r="A63" s="12" t="s">
        <v>2528</v>
      </c>
      <c r="B63" s="12" t="s">
        <v>2527</v>
      </c>
      <c r="C63" s="20" t="s">
        <v>3772</v>
      </c>
      <c r="D63" s="8" t="s">
        <v>7799</v>
      </c>
      <c r="E63" s="8" t="s">
        <v>7800</v>
      </c>
      <c r="F63" s="8" t="s">
        <v>7727</v>
      </c>
      <c r="G63" s="8" t="s">
        <v>3784</v>
      </c>
      <c r="H63" s="9" t="s">
        <v>3785</v>
      </c>
      <c r="I63" s="8" t="s">
        <v>3482</v>
      </c>
      <c r="J63" s="12"/>
      <c r="K63" s="11">
        <v>49.813665999999998</v>
      </c>
      <c r="L63" s="11">
        <v>25.976195000000001</v>
      </c>
      <c r="M63" s="9" t="s">
        <v>3786</v>
      </c>
      <c r="N63" s="9"/>
      <c r="O63" s="12">
        <v>1048</v>
      </c>
      <c r="P63" s="12"/>
      <c r="Q63" s="12"/>
      <c r="R63" s="12"/>
      <c r="S63" s="12"/>
      <c r="T63" s="12"/>
      <c r="U63" s="12"/>
      <c r="V63" s="12"/>
      <c r="W63" s="12"/>
      <c r="X63" s="12"/>
      <c r="Y63" s="12"/>
      <c r="Z63" s="12"/>
    </row>
    <row r="64" spans="1:26" ht="25">
      <c r="A64" s="12" t="s">
        <v>3395</v>
      </c>
      <c r="B64" s="12" t="s">
        <v>3315</v>
      </c>
      <c r="C64" s="8" t="s">
        <v>3787</v>
      </c>
      <c r="D64" s="8" t="s">
        <v>7802</v>
      </c>
      <c r="E64" s="8" t="s">
        <v>7711</v>
      </c>
      <c r="F64" s="8" t="s">
        <v>7705</v>
      </c>
      <c r="G64" s="8" t="s">
        <v>3788</v>
      </c>
      <c r="H64" s="9" t="s">
        <v>3789</v>
      </c>
      <c r="I64" s="8" t="s">
        <v>3681</v>
      </c>
      <c r="J64" s="19" t="s">
        <v>3790</v>
      </c>
      <c r="K64" s="11">
        <v>51.891809000000002</v>
      </c>
      <c r="L64" s="11">
        <v>31.601814000000001</v>
      </c>
      <c r="M64" s="9" t="s">
        <v>3791</v>
      </c>
      <c r="N64" s="13" t="s">
        <v>3792</v>
      </c>
      <c r="O64" s="12">
        <v>1421</v>
      </c>
      <c r="P64" s="12"/>
      <c r="Q64" s="12"/>
      <c r="R64" s="12"/>
      <c r="S64" s="12"/>
      <c r="T64" s="12"/>
      <c r="U64" s="12"/>
      <c r="V64" s="12"/>
      <c r="W64" s="12"/>
      <c r="X64" s="12"/>
      <c r="Y64" s="12"/>
      <c r="Z64" s="12"/>
    </row>
    <row r="65" spans="1:26" ht="25">
      <c r="A65" s="12" t="s">
        <v>2546</v>
      </c>
      <c r="B65" s="12" t="s">
        <v>2527</v>
      </c>
      <c r="C65" s="8" t="s">
        <v>3793</v>
      </c>
      <c r="D65" s="8" t="s">
        <v>7803</v>
      </c>
      <c r="E65" s="8" t="s">
        <v>7728</v>
      </c>
      <c r="F65" s="8" t="s">
        <v>7727</v>
      </c>
      <c r="G65" s="8" t="s">
        <v>3794</v>
      </c>
      <c r="H65" s="9" t="s">
        <v>3795</v>
      </c>
      <c r="I65" s="8"/>
      <c r="J65" s="12"/>
      <c r="K65" s="11">
        <v>49.392277999999997</v>
      </c>
      <c r="L65" s="11">
        <v>25.606871000000002</v>
      </c>
      <c r="M65" s="9" t="s">
        <v>3796</v>
      </c>
      <c r="N65" s="9"/>
      <c r="O65" s="12">
        <v>1066</v>
      </c>
      <c r="P65" s="12"/>
      <c r="Q65" s="12"/>
      <c r="R65" s="12"/>
      <c r="S65" s="12"/>
      <c r="T65" s="12"/>
      <c r="U65" s="12"/>
      <c r="V65" s="12"/>
      <c r="W65" s="12"/>
      <c r="X65" s="12"/>
      <c r="Y65" s="12"/>
      <c r="Z65" s="12"/>
    </row>
    <row r="66" spans="1:26" ht="25">
      <c r="A66" s="12" t="s">
        <v>607</v>
      </c>
      <c r="B66" s="12" t="s">
        <v>584</v>
      </c>
      <c r="C66" s="8" t="s">
        <v>3797</v>
      </c>
      <c r="D66" s="8" t="s">
        <v>7804</v>
      </c>
      <c r="E66" s="8" t="s">
        <v>7788</v>
      </c>
      <c r="F66" s="8" t="s">
        <v>7780</v>
      </c>
      <c r="G66" s="8" t="s">
        <v>611</v>
      </c>
      <c r="H66" s="9" t="s">
        <v>3798</v>
      </c>
      <c r="I66" s="8"/>
      <c r="J66" s="12"/>
      <c r="K66" s="11">
        <v>47.200875000000003</v>
      </c>
      <c r="L66" s="11">
        <v>30.909112</v>
      </c>
      <c r="M66" s="9" t="s">
        <v>3799</v>
      </c>
      <c r="N66" s="9" t="s">
        <v>3800</v>
      </c>
      <c r="O66" s="12">
        <v>261</v>
      </c>
      <c r="P66" s="12"/>
      <c r="Q66" s="12"/>
      <c r="R66" s="12"/>
      <c r="S66" s="12"/>
      <c r="T66" s="12"/>
      <c r="U66" s="12"/>
      <c r="V66" s="12"/>
      <c r="W66" s="12"/>
      <c r="X66" s="12"/>
      <c r="Y66" s="12"/>
      <c r="Z66" s="12"/>
    </row>
    <row r="67" spans="1:26" ht="25">
      <c r="A67" s="12" t="s">
        <v>813</v>
      </c>
      <c r="B67" s="12" t="s">
        <v>733</v>
      </c>
      <c r="C67" s="8" t="s">
        <v>3801</v>
      </c>
      <c r="D67" s="8" t="s">
        <v>7805</v>
      </c>
      <c r="E67" s="8" t="s">
        <v>7806</v>
      </c>
      <c r="F67" s="8" t="s">
        <v>7807</v>
      </c>
      <c r="G67" s="8" t="s">
        <v>3802</v>
      </c>
      <c r="H67" s="9" t="s">
        <v>3803</v>
      </c>
      <c r="I67" s="8" t="s">
        <v>3804</v>
      </c>
      <c r="J67" s="19" t="s">
        <v>3805</v>
      </c>
      <c r="K67" s="11">
        <v>48.100962000000003</v>
      </c>
      <c r="L67" s="11">
        <v>23.739515999999998</v>
      </c>
      <c r="M67" s="9" t="s">
        <v>3806</v>
      </c>
      <c r="N67" s="13" t="s">
        <v>3807</v>
      </c>
      <c r="O67" s="12">
        <v>345</v>
      </c>
      <c r="P67" s="12"/>
      <c r="Q67" s="12"/>
      <c r="R67" s="12"/>
      <c r="S67" s="12"/>
      <c r="T67" s="12"/>
      <c r="U67" s="12"/>
      <c r="V67" s="12"/>
      <c r="W67" s="12"/>
      <c r="X67" s="12"/>
      <c r="Y67" s="12"/>
      <c r="Z67" s="12"/>
    </row>
    <row r="68" spans="1:26">
      <c r="A68" s="12" t="s">
        <v>879</v>
      </c>
      <c r="B68" s="12" t="s">
        <v>733</v>
      </c>
      <c r="C68" s="8" t="s">
        <v>3808</v>
      </c>
      <c r="D68" s="8" t="s">
        <v>7808</v>
      </c>
      <c r="E68" s="8" t="s">
        <v>7948</v>
      </c>
      <c r="F68" s="8" t="s">
        <v>7807</v>
      </c>
      <c r="G68" s="8" t="s">
        <v>3809</v>
      </c>
      <c r="H68" s="9" t="s">
        <v>3810</v>
      </c>
      <c r="I68" s="8" t="s">
        <v>3811</v>
      </c>
      <c r="J68" s="19" t="s">
        <v>3812</v>
      </c>
      <c r="K68" s="11">
        <v>48.313350999999997</v>
      </c>
      <c r="L68" s="11">
        <v>23.035786999999999</v>
      </c>
      <c r="M68" s="9" t="s">
        <v>3813</v>
      </c>
      <c r="N68" s="9"/>
      <c r="O68" s="12">
        <v>367</v>
      </c>
      <c r="P68" s="12"/>
      <c r="Q68" s="12"/>
      <c r="R68" s="12"/>
      <c r="S68" s="12"/>
      <c r="T68" s="12"/>
      <c r="U68" s="12"/>
      <c r="V68" s="12"/>
      <c r="W68" s="12"/>
      <c r="X68" s="12"/>
      <c r="Y68" s="12"/>
      <c r="Z68" s="12"/>
    </row>
    <row r="69" spans="1:26" ht="25">
      <c r="A69" s="12" t="s">
        <v>288</v>
      </c>
      <c r="B69" s="12" t="s">
        <v>287</v>
      </c>
      <c r="C69" s="8" t="s">
        <v>3814</v>
      </c>
      <c r="D69" s="8" t="s">
        <v>7810</v>
      </c>
      <c r="E69" s="8" t="s">
        <v>7787</v>
      </c>
      <c r="F69" s="8" t="s">
        <v>7700</v>
      </c>
      <c r="G69" s="8" t="s">
        <v>3815</v>
      </c>
      <c r="H69" s="9" t="s">
        <v>3816</v>
      </c>
      <c r="I69" s="8"/>
      <c r="J69" s="12"/>
      <c r="K69" s="11">
        <v>48.532001000000001</v>
      </c>
      <c r="L69" s="11">
        <v>35.071424999999998</v>
      </c>
      <c r="M69" s="9" t="s">
        <v>3817</v>
      </c>
      <c r="N69" s="9"/>
      <c r="O69" s="12">
        <v>130</v>
      </c>
      <c r="P69" s="12"/>
      <c r="Q69" s="12"/>
      <c r="R69" s="12"/>
      <c r="S69" s="12"/>
      <c r="T69" s="12"/>
      <c r="U69" s="12"/>
      <c r="V69" s="12"/>
      <c r="W69" s="12"/>
      <c r="X69" s="12"/>
      <c r="Y69" s="12"/>
      <c r="Z69" s="12"/>
    </row>
    <row r="70" spans="1:26" ht="50">
      <c r="A70" s="12" t="s">
        <v>841</v>
      </c>
      <c r="B70" s="12" t="s">
        <v>733</v>
      </c>
      <c r="C70" s="8" t="s">
        <v>3818</v>
      </c>
      <c r="D70" s="8" t="s">
        <v>7811</v>
      </c>
      <c r="E70" s="8" t="s">
        <v>7809</v>
      </c>
      <c r="F70" s="8" t="s">
        <v>7807</v>
      </c>
      <c r="G70" s="8" t="s">
        <v>3819</v>
      </c>
      <c r="H70" s="9" t="s">
        <v>3820</v>
      </c>
      <c r="I70" s="8" t="s">
        <v>3821</v>
      </c>
      <c r="J70" s="18" t="s">
        <v>3822</v>
      </c>
      <c r="K70" s="11">
        <v>48.734231000000001</v>
      </c>
      <c r="L70" s="11">
        <v>22.464075999999999</v>
      </c>
      <c r="M70" s="9" t="s">
        <v>3823</v>
      </c>
      <c r="N70" s="13" t="s">
        <v>3824</v>
      </c>
      <c r="O70" s="12">
        <v>359</v>
      </c>
      <c r="P70" s="12"/>
      <c r="Q70" s="12"/>
      <c r="R70" s="12"/>
      <c r="S70" s="12"/>
      <c r="T70" s="12"/>
      <c r="U70" s="12"/>
      <c r="V70" s="12"/>
      <c r="W70" s="12"/>
      <c r="X70" s="12"/>
      <c r="Y70" s="12"/>
      <c r="Z70" s="12"/>
    </row>
    <row r="71" spans="1:26" ht="25">
      <c r="A71" s="12" t="s">
        <v>813</v>
      </c>
      <c r="B71" s="12" t="s">
        <v>733</v>
      </c>
      <c r="C71" s="8" t="s">
        <v>3825</v>
      </c>
      <c r="D71" s="8" t="s">
        <v>7812</v>
      </c>
      <c r="E71" s="8" t="s">
        <v>7806</v>
      </c>
      <c r="F71" s="8" t="s">
        <v>7807</v>
      </c>
      <c r="G71" s="8" t="s">
        <v>3826</v>
      </c>
      <c r="H71" s="9" t="s">
        <v>3827</v>
      </c>
      <c r="I71" s="8" t="s">
        <v>3828</v>
      </c>
      <c r="J71" s="18" t="s">
        <v>3829</v>
      </c>
      <c r="K71" s="11">
        <v>48.015121999999998</v>
      </c>
      <c r="L71" s="11">
        <v>23.571314000000001</v>
      </c>
      <c r="M71" s="9" t="s">
        <v>3830</v>
      </c>
      <c r="N71" s="13" t="s">
        <v>3831</v>
      </c>
      <c r="O71" s="12">
        <v>350</v>
      </c>
      <c r="P71" s="12"/>
      <c r="Q71" s="12"/>
      <c r="R71" s="12"/>
      <c r="S71" s="12"/>
      <c r="T71" s="12"/>
      <c r="U71" s="12"/>
      <c r="V71" s="12"/>
      <c r="W71" s="12"/>
      <c r="X71" s="12"/>
      <c r="Y71" s="12"/>
      <c r="Z71" s="12"/>
    </row>
    <row r="72" spans="1:26" ht="25">
      <c r="A72" s="12" t="s">
        <v>504</v>
      </c>
      <c r="B72" s="12" t="s">
        <v>464</v>
      </c>
      <c r="C72" s="8" t="s">
        <v>3832</v>
      </c>
      <c r="D72" s="8" t="s">
        <v>7813</v>
      </c>
      <c r="E72" s="8" t="s">
        <v>7814</v>
      </c>
      <c r="F72" s="8" t="s">
        <v>7710</v>
      </c>
      <c r="G72" s="8" t="s">
        <v>516</v>
      </c>
      <c r="H72" s="9" t="s">
        <v>3833</v>
      </c>
      <c r="I72" s="8" t="s">
        <v>3834</v>
      </c>
      <c r="J72" s="19" t="s">
        <v>3835</v>
      </c>
      <c r="K72" s="11">
        <v>48.734909999999999</v>
      </c>
      <c r="L72" s="11">
        <v>37.577621999999998</v>
      </c>
      <c r="M72" s="9" t="s">
        <v>3836</v>
      </c>
      <c r="N72" s="13" t="s">
        <v>3837</v>
      </c>
      <c r="O72" s="12">
        <v>223</v>
      </c>
      <c r="P72" s="12"/>
      <c r="Q72" s="12"/>
      <c r="R72" s="12"/>
      <c r="S72" s="12"/>
      <c r="T72" s="12"/>
      <c r="U72" s="12"/>
      <c r="V72" s="12"/>
      <c r="W72" s="12"/>
      <c r="X72" s="12"/>
      <c r="Y72" s="12"/>
      <c r="Z72" s="12"/>
    </row>
    <row r="73" spans="1:26" ht="25">
      <c r="A73" s="12" t="s">
        <v>916</v>
      </c>
      <c r="B73" s="12" t="s">
        <v>915</v>
      </c>
      <c r="C73" s="8" t="s">
        <v>3838</v>
      </c>
      <c r="D73" s="8" t="s">
        <v>7815</v>
      </c>
      <c r="E73" s="8" t="s">
        <v>7783</v>
      </c>
      <c r="F73" s="8" t="s">
        <v>7701</v>
      </c>
      <c r="G73" s="8" t="s">
        <v>3839</v>
      </c>
      <c r="H73" s="9" t="s">
        <v>3840</v>
      </c>
      <c r="I73" s="8"/>
      <c r="J73" s="12"/>
      <c r="K73" s="11">
        <v>46.725157000000003</v>
      </c>
      <c r="L73" s="11">
        <v>36.348039</v>
      </c>
      <c r="M73" s="9" t="s">
        <v>3841</v>
      </c>
      <c r="N73" s="9"/>
      <c r="O73" s="12">
        <v>386</v>
      </c>
      <c r="P73" s="12"/>
      <c r="Q73" s="12"/>
      <c r="R73" s="12"/>
      <c r="S73" s="12"/>
      <c r="T73" s="12"/>
      <c r="U73" s="12"/>
      <c r="V73" s="12"/>
      <c r="W73" s="12"/>
      <c r="X73" s="12"/>
      <c r="Y73" s="12"/>
      <c r="Z73" s="12"/>
    </row>
    <row r="74" spans="1:26" ht="25">
      <c r="A74" s="12" t="s">
        <v>207</v>
      </c>
      <c r="B74" s="12" t="s">
        <v>171</v>
      </c>
      <c r="C74" s="8" t="s">
        <v>3842</v>
      </c>
      <c r="D74" s="8" t="s">
        <v>7816</v>
      </c>
      <c r="E74" s="8" t="s">
        <v>7719</v>
      </c>
      <c r="F74" s="8" t="s">
        <v>7714</v>
      </c>
      <c r="G74" s="8" t="s">
        <v>3843</v>
      </c>
      <c r="H74" s="9" t="s">
        <v>3844</v>
      </c>
      <c r="I74" s="8"/>
      <c r="J74" s="12"/>
      <c r="K74" s="11">
        <v>51.441259000000002</v>
      </c>
      <c r="L74" s="11">
        <v>24.433140999999999</v>
      </c>
      <c r="M74" s="9" t="s">
        <v>3845</v>
      </c>
      <c r="N74" s="9"/>
      <c r="O74" s="12">
        <v>100</v>
      </c>
      <c r="P74" s="12"/>
      <c r="Q74" s="12"/>
      <c r="R74" s="12"/>
      <c r="S74" s="12"/>
      <c r="T74" s="12"/>
      <c r="U74" s="12"/>
      <c r="V74" s="12"/>
      <c r="W74" s="12"/>
      <c r="X74" s="12"/>
      <c r="Y74" s="12"/>
      <c r="Z74" s="12"/>
    </row>
    <row r="75" spans="1:26" ht="25">
      <c r="A75" s="12" t="s">
        <v>2327</v>
      </c>
      <c r="B75" s="12" t="s">
        <v>2264</v>
      </c>
      <c r="C75" s="8" t="s">
        <v>3846</v>
      </c>
      <c r="D75" s="8" t="s">
        <v>7817</v>
      </c>
      <c r="E75" s="8" t="s">
        <v>7818</v>
      </c>
      <c r="F75" s="8" t="s">
        <v>3603</v>
      </c>
      <c r="G75" s="8" t="s">
        <v>2379</v>
      </c>
      <c r="H75" s="9" t="s">
        <v>3847</v>
      </c>
      <c r="I75" s="8" t="s">
        <v>3848</v>
      </c>
      <c r="J75" s="18" t="s">
        <v>3849</v>
      </c>
      <c r="K75" s="11">
        <v>50.327770999999998</v>
      </c>
      <c r="L75" s="11">
        <v>26.51193</v>
      </c>
      <c r="M75" s="9" t="s">
        <v>3850</v>
      </c>
      <c r="N75" s="13" t="s">
        <v>3851</v>
      </c>
      <c r="O75" s="12">
        <v>978</v>
      </c>
      <c r="P75" s="12"/>
      <c r="Q75" s="12"/>
      <c r="R75" s="12"/>
      <c r="S75" s="12"/>
      <c r="T75" s="12"/>
      <c r="U75" s="12"/>
      <c r="V75" s="12"/>
      <c r="W75" s="12"/>
      <c r="X75" s="12"/>
      <c r="Y75" s="12"/>
      <c r="Z75" s="12"/>
    </row>
    <row r="76" spans="1:26" ht="25">
      <c r="A76" s="12" t="s">
        <v>963</v>
      </c>
      <c r="B76" s="12" t="s">
        <v>915</v>
      </c>
      <c r="C76" s="8" t="s">
        <v>3852</v>
      </c>
      <c r="D76" s="8" t="s">
        <v>7819</v>
      </c>
      <c r="E76" s="8" t="s">
        <v>7773</v>
      </c>
      <c r="F76" s="8" t="s">
        <v>7701</v>
      </c>
      <c r="G76" s="8" t="s">
        <v>977</v>
      </c>
      <c r="H76" s="9" t="s">
        <v>3853</v>
      </c>
      <c r="I76" s="8" t="s">
        <v>3854</v>
      </c>
      <c r="J76" s="18" t="s">
        <v>3855</v>
      </c>
      <c r="K76" s="11">
        <v>47.710373300000001</v>
      </c>
      <c r="L76" s="11">
        <v>35.214494199999997</v>
      </c>
      <c r="M76" s="9" t="s">
        <v>3856</v>
      </c>
      <c r="N76" s="13" t="s">
        <v>3857</v>
      </c>
      <c r="O76" s="12">
        <v>404</v>
      </c>
      <c r="P76" s="12"/>
      <c r="Q76" s="12"/>
      <c r="R76" s="12"/>
      <c r="S76" s="12"/>
      <c r="T76" s="12"/>
      <c r="U76" s="12"/>
      <c r="V76" s="12"/>
      <c r="W76" s="12"/>
      <c r="X76" s="12"/>
      <c r="Y76" s="12"/>
      <c r="Z76" s="12"/>
    </row>
    <row r="77" spans="1:26" ht="25">
      <c r="A77" s="12" t="s">
        <v>1306</v>
      </c>
      <c r="B77" s="12" t="s">
        <v>1220</v>
      </c>
      <c r="C77" s="8" t="s">
        <v>3858</v>
      </c>
      <c r="D77" s="8" t="s">
        <v>7820</v>
      </c>
      <c r="E77" s="8" t="s">
        <v>7876</v>
      </c>
      <c r="F77" s="8" t="s">
        <v>7732</v>
      </c>
      <c r="G77" s="8" t="s">
        <v>1308</v>
      </c>
      <c r="H77" s="9" t="s">
        <v>3859</v>
      </c>
      <c r="I77" s="8">
        <v>2010</v>
      </c>
      <c r="J77" s="18" t="s">
        <v>3860</v>
      </c>
      <c r="K77" s="11">
        <v>49.802782000000001</v>
      </c>
      <c r="L77" s="11">
        <v>30.107558999999998</v>
      </c>
      <c r="M77" s="9" t="s">
        <v>3861</v>
      </c>
      <c r="N77" s="9"/>
      <c r="O77" s="12">
        <v>540</v>
      </c>
      <c r="P77" s="12"/>
      <c r="Q77" s="12"/>
      <c r="R77" s="12"/>
      <c r="S77" s="12"/>
      <c r="T77" s="12"/>
      <c r="U77" s="12"/>
      <c r="V77" s="12"/>
      <c r="W77" s="12"/>
      <c r="X77" s="12"/>
      <c r="Y77" s="12"/>
      <c r="Z77" s="12"/>
    </row>
    <row r="78" spans="1:26">
      <c r="A78" s="12" t="s">
        <v>207</v>
      </c>
      <c r="B78" s="12" t="s">
        <v>171</v>
      </c>
      <c r="C78" s="8" t="s">
        <v>3602</v>
      </c>
      <c r="D78" s="8" t="s">
        <v>3603</v>
      </c>
      <c r="E78" s="8" t="s">
        <v>7719</v>
      </c>
      <c r="F78" s="8" t="s">
        <v>7714</v>
      </c>
      <c r="G78" s="8" t="s">
        <v>1504</v>
      </c>
      <c r="H78" s="9" t="s">
        <v>3862</v>
      </c>
      <c r="I78" s="8" t="s">
        <v>3863</v>
      </c>
      <c r="J78" s="12"/>
      <c r="K78" s="11">
        <v>50.616430999999999</v>
      </c>
      <c r="L78" s="11">
        <v>26.244575999999999</v>
      </c>
      <c r="M78" s="9" t="s">
        <v>3864</v>
      </c>
      <c r="N78" s="9"/>
      <c r="O78" s="12">
        <v>96</v>
      </c>
      <c r="P78" s="12"/>
      <c r="Q78" s="12"/>
      <c r="R78" s="12"/>
      <c r="S78" s="12"/>
      <c r="T78" s="12"/>
      <c r="U78" s="12"/>
      <c r="V78" s="12"/>
      <c r="W78" s="12"/>
      <c r="X78" s="12"/>
      <c r="Y78" s="12"/>
      <c r="Z78" s="12"/>
    </row>
    <row r="79" spans="1:26" ht="25">
      <c r="A79" s="12" t="s">
        <v>3006</v>
      </c>
      <c r="B79" s="12" t="s">
        <v>2909</v>
      </c>
      <c r="C79" s="8" t="s">
        <v>3865</v>
      </c>
      <c r="D79" s="8" t="s">
        <v>7821</v>
      </c>
      <c r="E79" s="8" t="s">
        <v>7822</v>
      </c>
      <c r="F79" s="8" t="s">
        <v>7717</v>
      </c>
      <c r="G79" s="8" t="s">
        <v>3866</v>
      </c>
      <c r="H79" s="9" t="s">
        <v>3867</v>
      </c>
      <c r="I79" s="8" t="s">
        <v>3868</v>
      </c>
      <c r="J79" s="18" t="s">
        <v>3869</v>
      </c>
      <c r="K79" s="11">
        <v>50.295206</v>
      </c>
      <c r="L79" s="11">
        <v>26.856850999999999</v>
      </c>
      <c r="M79" s="9" t="s">
        <v>3870</v>
      </c>
      <c r="N79" s="13" t="s">
        <v>3869</v>
      </c>
      <c r="O79" s="12">
        <v>1258</v>
      </c>
      <c r="P79" s="12"/>
      <c r="Q79" s="12"/>
      <c r="R79" s="12"/>
      <c r="S79" s="12"/>
      <c r="T79" s="12"/>
      <c r="U79" s="12"/>
      <c r="V79" s="12"/>
      <c r="W79" s="12"/>
      <c r="X79" s="12"/>
      <c r="Y79" s="12"/>
      <c r="Z79" s="12"/>
    </row>
    <row r="80" spans="1:26" ht="25">
      <c r="A80" s="12" t="s">
        <v>2833</v>
      </c>
      <c r="B80" s="12" t="s">
        <v>2793</v>
      </c>
      <c r="C80" s="8" t="s">
        <v>3871</v>
      </c>
      <c r="D80" s="8" t="s">
        <v>3872</v>
      </c>
      <c r="E80" s="8" t="s">
        <v>7845</v>
      </c>
      <c r="F80" s="8" t="s">
        <v>7737</v>
      </c>
      <c r="G80" s="8" t="s">
        <v>3872</v>
      </c>
      <c r="H80" s="9" t="s">
        <v>3873</v>
      </c>
      <c r="I80" s="8">
        <v>2018</v>
      </c>
      <c r="J80" s="12"/>
      <c r="K80" s="11">
        <v>46.451644000000002</v>
      </c>
      <c r="L80" s="11">
        <v>33.870573999999998</v>
      </c>
      <c r="M80" s="9" t="s">
        <v>3874</v>
      </c>
      <c r="N80" s="9"/>
      <c r="O80" s="12">
        <v>1169</v>
      </c>
      <c r="P80" s="12"/>
      <c r="Q80" s="12"/>
      <c r="R80" s="12"/>
      <c r="S80" s="12"/>
      <c r="T80" s="12"/>
      <c r="U80" s="12"/>
      <c r="V80" s="12"/>
      <c r="W80" s="12"/>
      <c r="X80" s="12"/>
      <c r="Y80" s="12"/>
      <c r="Z80" s="12"/>
    </row>
    <row r="81" spans="1:26" ht="25">
      <c r="A81" s="12" t="s">
        <v>1154</v>
      </c>
      <c r="B81" s="12" t="s">
        <v>1065</v>
      </c>
      <c r="C81" s="8" t="s">
        <v>3875</v>
      </c>
      <c r="D81" s="8" t="s">
        <v>7823</v>
      </c>
      <c r="E81" s="8" t="s">
        <v>7723</v>
      </c>
      <c r="F81" s="8" t="s">
        <v>7702</v>
      </c>
      <c r="G81" s="8" t="s">
        <v>1163</v>
      </c>
      <c r="H81" s="9" t="s">
        <v>3876</v>
      </c>
      <c r="I81" s="8" t="s">
        <v>3877</v>
      </c>
      <c r="J81" s="19" t="s">
        <v>3878</v>
      </c>
      <c r="K81" s="11">
        <v>48.529882000000001</v>
      </c>
      <c r="L81" s="11">
        <v>25.029136000000001</v>
      </c>
      <c r="M81" s="9" t="s">
        <v>3879</v>
      </c>
      <c r="N81" s="9"/>
      <c r="O81" s="12">
        <v>486</v>
      </c>
      <c r="P81" s="12"/>
      <c r="Q81" s="12"/>
      <c r="R81" s="12"/>
      <c r="S81" s="12"/>
      <c r="T81" s="12"/>
      <c r="U81" s="12"/>
      <c r="V81" s="12"/>
      <c r="W81" s="12"/>
      <c r="X81" s="12"/>
      <c r="Y81" s="12"/>
      <c r="Z81" s="12"/>
    </row>
    <row r="82" spans="1:26">
      <c r="A82" s="12" t="s">
        <v>2684</v>
      </c>
      <c r="B82" s="12" t="s">
        <v>2648</v>
      </c>
      <c r="C82" s="3" t="s">
        <v>3880</v>
      </c>
      <c r="D82" s="8" t="s">
        <v>7824</v>
      </c>
      <c r="E82" s="8" t="s">
        <v>7825</v>
      </c>
      <c r="F82" s="8" t="s">
        <v>7601</v>
      </c>
      <c r="G82" s="8" t="s">
        <v>2691</v>
      </c>
      <c r="H82" s="9" t="s">
        <v>3881</v>
      </c>
      <c r="I82" s="8" t="s">
        <v>3882</v>
      </c>
      <c r="J82" s="18" t="s">
        <v>3883</v>
      </c>
      <c r="K82" s="11">
        <v>49.370404999999998</v>
      </c>
      <c r="L82" s="11">
        <v>35.445269000000003</v>
      </c>
      <c r="M82" s="9" t="s">
        <v>3884</v>
      </c>
      <c r="N82" s="9"/>
      <c r="O82" s="12">
        <v>1113</v>
      </c>
      <c r="P82" s="12"/>
      <c r="Q82" s="12"/>
      <c r="R82" s="12"/>
      <c r="S82" s="12"/>
      <c r="T82" s="12"/>
      <c r="U82" s="12"/>
      <c r="V82" s="12"/>
      <c r="W82" s="12"/>
      <c r="X82" s="12"/>
      <c r="Y82" s="12"/>
      <c r="Z82" s="12"/>
    </row>
    <row r="83" spans="1:26" ht="25">
      <c r="A83" s="12" t="s">
        <v>2546</v>
      </c>
      <c r="B83" s="12" t="s">
        <v>2527</v>
      </c>
      <c r="C83" s="8" t="s">
        <v>3885</v>
      </c>
      <c r="D83" s="8" t="s">
        <v>7826</v>
      </c>
      <c r="E83" s="8" t="s">
        <v>7728</v>
      </c>
      <c r="F83" s="8" t="s">
        <v>7727</v>
      </c>
      <c r="G83" s="8" t="s">
        <v>3886</v>
      </c>
      <c r="H83" s="9" t="s">
        <v>3887</v>
      </c>
      <c r="I83" s="8" t="s">
        <v>3888</v>
      </c>
      <c r="J83" s="18" t="s">
        <v>3889</v>
      </c>
      <c r="K83" s="11">
        <v>49.531357999999997</v>
      </c>
      <c r="L83" s="11">
        <v>26.144079900000001</v>
      </c>
      <c r="M83" s="9" t="s">
        <v>3890</v>
      </c>
      <c r="N83" s="13" t="s">
        <v>3891</v>
      </c>
      <c r="O83" s="12">
        <v>1069</v>
      </c>
      <c r="P83" s="12"/>
      <c r="Q83" s="12"/>
      <c r="R83" s="12"/>
      <c r="S83" s="12"/>
      <c r="T83" s="12"/>
      <c r="U83" s="12"/>
      <c r="V83" s="12"/>
      <c r="W83" s="12"/>
      <c r="X83" s="12"/>
      <c r="Y83" s="12"/>
      <c r="Z83" s="12"/>
    </row>
    <row r="84" spans="1:26" ht="25">
      <c r="A84" s="12" t="s">
        <v>531</v>
      </c>
      <c r="B84" s="12" t="s">
        <v>464</v>
      </c>
      <c r="C84" s="8" t="s">
        <v>3892</v>
      </c>
      <c r="D84" s="8" t="s">
        <v>7827</v>
      </c>
      <c r="E84" s="8" t="s">
        <v>7828</v>
      </c>
      <c r="F84" s="8" t="s">
        <v>7710</v>
      </c>
      <c r="G84" s="8" t="s">
        <v>539</v>
      </c>
      <c r="H84" s="9" t="s">
        <v>3893</v>
      </c>
      <c r="I84" s="8" t="s">
        <v>3894</v>
      </c>
      <c r="J84" s="19" t="s">
        <v>3895</v>
      </c>
      <c r="K84" s="11">
        <v>47.1260136</v>
      </c>
      <c r="L84" s="11">
        <v>37.539383100000002</v>
      </c>
      <c r="M84" s="9" t="s">
        <v>3896</v>
      </c>
      <c r="N84" s="9"/>
      <c r="O84" s="12">
        <v>233</v>
      </c>
      <c r="P84" s="12"/>
      <c r="Q84" s="12"/>
      <c r="R84" s="12"/>
      <c r="S84" s="12"/>
      <c r="T84" s="12"/>
      <c r="U84" s="12"/>
      <c r="V84" s="12"/>
      <c r="W84" s="12"/>
      <c r="X84" s="12"/>
      <c r="Y84" s="12"/>
      <c r="Z84" s="12"/>
    </row>
    <row r="85" spans="1:26" ht="25">
      <c r="A85" s="12" t="s">
        <v>1598</v>
      </c>
      <c r="B85" s="12" t="s">
        <v>1597</v>
      </c>
      <c r="C85" s="8" t="s">
        <v>3897</v>
      </c>
      <c r="D85" s="8" t="s">
        <v>7829</v>
      </c>
      <c r="E85" s="8" t="s">
        <v>7830</v>
      </c>
      <c r="F85" s="8" t="s">
        <v>7704</v>
      </c>
      <c r="G85" s="8" t="s">
        <v>3898</v>
      </c>
      <c r="H85" s="9" t="s">
        <v>3899</v>
      </c>
      <c r="I85" s="8" t="s">
        <v>3900</v>
      </c>
      <c r="J85" s="19" t="s">
        <v>3901</v>
      </c>
      <c r="K85" s="11">
        <v>49.426740000000002</v>
      </c>
      <c r="L85" s="11">
        <v>23.746248000000001</v>
      </c>
      <c r="M85" s="9" t="s">
        <v>3902</v>
      </c>
      <c r="N85" s="9"/>
      <c r="O85" s="12">
        <v>655</v>
      </c>
      <c r="P85" s="12"/>
      <c r="Q85" s="12"/>
      <c r="R85" s="12"/>
      <c r="S85" s="12"/>
      <c r="T85" s="12"/>
      <c r="U85" s="12"/>
      <c r="V85" s="12"/>
      <c r="W85" s="12"/>
      <c r="X85" s="12"/>
      <c r="Y85" s="12"/>
      <c r="Z85" s="12"/>
    </row>
    <row r="86" spans="1:26" ht="25">
      <c r="A86" s="12" t="s">
        <v>1633</v>
      </c>
      <c r="B86" s="12" t="s">
        <v>1597</v>
      </c>
      <c r="C86" s="8" t="s">
        <v>3903</v>
      </c>
      <c r="D86" s="8" t="s">
        <v>3904</v>
      </c>
      <c r="E86" s="8" t="s">
        <v>7746</v>
      </c>
      <c r="F86" s="8" t="s">
        <v>7704</v>
      </c>
      <c r="G86" s="8" t="s">
        <v>3904</v>
      </c>
      <c r="H86" s="9" t="s">
        <v>3905</v>
      </c>
      <c r="I86" s="8" t="s">
        <v>1379</v>
      </c>
      <c r="J86" s="18" t="s">
        <v>3906</v>
      </c>
      <c r="K86" s="11">
        <v>50.105026299999999</v>
      </c>
      <c r="L86" s="11">
        <v>24.3380562</v>
      </c>
      <c r="M86" s="9" t="s">
        <v>3907</v>
      </c>
      <c r="N86" s="9"/>
      <c r="O86" s="12">
        <v>674</v>
      </c>
      <c r="P86" s="12"/>
      <c r="Q86" s="12"/>
      <c r="R86" s="12"/>
      <c r="S86" s="12"/>
      <c r="T86" s="12"/>
      <c r="U86" s="12"/>
      <c r="V86" s="12"/>
      <c r="W86" s="12"/>
      <c r="X86" s="12"/>
      <c r="Y86" s="12"/>
      <c r="Z86" s="12"/>
    </row>
    <row r="87" spans="1:26" ht="25">
      <c r="A87" s="12" t="s">
        <v>1756</v>
      </c>
      <c r="B87" s="12" t="s">
        <v>1597</v>
      </c>
      <c r="C87" s="8" t="s">
        <v>3908</v>
      </c>
      <c r="D87" s="8" t="s">
        <v>7831</v>
      </c>
      <c r="E87" s="8" t="s">
        <v>7832</v>
      </c>
      <c r="F87" s="8" t="s">
        <v>7704</v>
      </c>
      <c r="G87" s="8" t="s">
        <v>1770</v>
      </c>
      <c r="H87" s="9" t="s">
        <v>3909</v>
      </c>
      <c r="I87" s="8" t="s">
        <v>3910</v>
      </c>
      <c r="J87" s="18" t="s">
        <v>3911</v>
      </c>
      <c r="K87" s="11">
        <v>50.483161299999999</v>
      </c>
      <c r="L87" s="11">
        <v>24.2816145</v>
      </c>
      <c r="M87" s="9" t="s">
        <v>3912</v>
      </c>
      <c r="N87" s="9"/>
      <c r="O87" s="12">
        <v>718</v>
      </c>
      <c r="P87" s="12"/>
      <c r="Q87" s="12"/>
      <c r="R87" s="12"/>
      <c r="S87" s="12"/>
      <c r="T87" s="12"/>
      <c r="U87" s="12"/>
      <c r="V87" s="12"/>
      <c r="W87" s="12"/>
      <c r="X87" s="12"/>
      <c r="Y87" s="12"/>
      <c r="Z87" s="12"/>
    </row>
    <row r="88" spans="1:26" ht="25">
      <c r="A88" s="12" t="s">
        <v>2327</v>
      </c>
      <c r="B88" s="12" t="s">
        <v>2264</v>
      </c>
      <c r="C88" s="8" t="s">
        <v>3913</v>
      </c>
      <c r="D88" s="8" t="s">
        <v>7833</v>
      </c>
      <c r="E88" s="8" t="s">
        <v>7818</v>
      </c>
      <c r="F88" s="8" t="s">
        <v>3603</v>
      </c>
      <c r="G88" s="8"/>
      <c r="H88" s="9" t="s">
        <v>3914</v>
      </c>
      <c r="I88" s="8" t="s">
        <v>3915</v>
      </c>
      <c r="J88" s="18" t="s">
        <v>3916</v>
      </c>
      <c r="K88" s="11">
        <v>50.497332200000002</v>
      </c>
      <c r="L88" s="11">
        <v>26.248010799999999</v>
      </c>
      <c r="M88" s="9" t="s">
        <v>3917</v>
      </c>
      <c r="N88" s="13" t="s">
        <v>3916</v>
      </c>
      <c r="O88" s="12">
        <v>967</v>
      </c>
      <c r="P88" s="12"/>
      <c r="Q88" s="12"/>
      <c r="R88" s="12"/>
      <c r="S88" s="12"/>
      <c r="T88" s="12"/>
      <c r="U88" s="12"/>
      <c r="V88" s="12"/>
      <c r="W88" s="12"/>
      <c r="X88" s="12"/>
      <c r="Y88" s="12"/>
      <c r="Z88" s="12"/>
    </row>
    <row r="89" spans="1:26" ht="25">
      <c r="A89" s="12" t="s">
        <v>2207</v>
      </c>
      <c r="B89" s="12" t="s">
        <v>2124</v>
      </c>
      <c r="C89" s="8" t="s">
        <v>3918</v>
      </c>
      <c r="D89" s="8" t="s">
        <v>7834</v>
      </c>
      <c r="E89" s="8" t="s">
        <v>7835</v>
      </c>
      <c r="F89" s="8" t="s">
        <v>7703</v>
      </c>
      <c r="G89" s="8" t="s">
        <v>3918</v>
      </c>
      <c r="H89" s="9" t="s">
        <v>3919</v>
      </c>
      <c r="I89" s="8" t="s">
        <v>3920</v>
      </c>
      <c r="J89" s="19" t="s">
        <v>3921</v>
      </c>
      <c r="K89" s="11">
        <v>49.837563000000003</v>
      </c>
      <c r="L89" s="11">
        <v>35.292634</v>
      </c>
      <c r="M89" s="9" t="s">
        <v>3922</v>
      </c>
      <c r="N89" s="13" t="s">
        <v>3923</v>
      </c>
      <c r="O89" s="12">
        <v>912</v>
      </c>
      <c r="P89" s="12"/>
      <c r="Q89" s="12"/>
      <c r="R89" s="12"/>
      <c r="S89" s="12"/>
      <c r="T89" s="12"/>
      <c r="U89" s="12"/>
      <c r="V89" s="12"/>
      <c r="W89" s="12"/>
      <c r="X89" s="12"/>
      <c r="Y89" s="12"/>
      <c r="Z89" s="12"/>
    </row>
    <row r="90" spans="1:26" ht="62.5">
      <c r="A90" s="12" t="s">
        <v>706</v>
      </c>
      <c r="B90" s="12" t="s">
        <v>584</v>
      </c>
      <c r="C90" s="8" t="s">
        <v>3924</v>
      </c>
      <c r="D90" s="8" t="s">
        <v>7836</v>
      </c>
      <c r="E90" s="8" t="s">
        <v>722</v>
      </c>
      <c r="F90" s="8" t="s">
        <v>7780</v>
      </c>
      <c r="G90" s="8" t="s">
        <v>722</v>
      </c>
      <c r="H90" s="9" t="s">
        <v>3925</v>
      </c>
      <c r="I90" s="8" t="s">
        <v>3926</v>
      </c>
      <c r="J90" s="19" t="s">
        <v>3927</v>
      </c>
      <c r="K90" s="11">
        <v>50.594119999999997</v>
      </c>
      <c r="L90" s="11">
        <v>27.616499999999998</v>
      </c>
      <c r="M90" s="9" t="s">
        <v>3928</v>
      </c>
      <c r="N90" s="13" t="s">
        <v>3929</v>
      </c>
      <c r="O90" s="12">
        <v>311</v>
      </c>
      <c r="P90" s="12"/>
      <c r="Q90" s="12"/>
      <c r="R90" s="12"/>
      <c r="S90" s="12"/>
      <c r="T90" s="12"/>
      <c r="U90" s="12"/>
      <c r="V90" s="12"/>
      <c r="W90" s="12"/>
      <c r="X90" s="12"/>
      <c r="Y90" s="12"/>
      <c r="Z90" s="12"/>
    </row>
    <row r="91" spans="1:26" ht="25">
      <c r="A91" s="12" t="s">
        <v>1066</v>
      </c>
      <c r="B91" s="12" t="s">
        <v>1065</v>
      </c>
      <c r="C91" s="8" t="s">
        <v>3930</v>
      </c>
      <c r="D91" s="8" t="s">
        <v>7837</v>
      </c>
      <c r="E91" s="8" t="s">
        <v>7734</v>
      </c>
      <c r="F91" s="8" t="s">
        <v>7702</v>
      </c>
      <c r="G91" s="8" t="s">
        <v>3931</v>
      </c>
      <c r="H91" s="9" t="s">
        <v>3932</v>
      </c>
      <c r="I91" s="8" t="s">
        <v>3933</v>
      </c>
      <c r="J91" s="19" t="s">
        <v>3934</v>
      </c>
      <c r="K91" s="11">
        <v>48.959102999999999</v>
      </c>
      <c r="L91" s="11">
        <v>24.682514000000001</v>
      </c>
      <c r="M91" s="9" t="s">
        <v>3935</v>
      </c>
      <c r="N91" s="9"/>
      <c r="O91" s="12">
        <v>465</v>
      </c>
      <c r="P91" s="12"/>
      <c r="Q91" s="12"/>
      <c r="R91" s="12"/>
      <c r="S91" s="12"/>
      <c r="T91" s="12"/>
      <c r="U91" s="12"/>
      <c r="V91" s="12"/>
      <c r="W91" s="12"/>
      <c r="X91" s="12"/>
      <c r="Y91" s="12"/>
      <c r="Z91" s="12"/>
    </row>
    <row r="92" spans="1:26" ht="25">
      <c r="A92" s="12" t="s">
        <v>429</v>
      </c>
      <c r="B92" s="12" t="s">
        <v>287</v>
      </c>
      <c r="C92" s="8" t="s">
        <v>3936</v>
      </c>
      <c r="D92" s="8" t="s">
        <v>7838</v>
      </c>
      <c r="E92" s="8" t="s">
        <v>7736</v>
      </c>
      <c r="F92" s="8" t="s">
        <v>7700</v>
      </c>
      <c r="G92" s="8" t="s">
        <v>1366</v>
      </c>
      <c r="H92" s="9" t="s">
        <v>3937</v>
      </c>
      <c r="I92" s="8" t="s">
        <v>3938</v>
      </c>
      <c r="J92" s="19" t="s">
        <v>3939</v>
      </c>
      <c r="K92" s="11">
        <v>50.177427100000003</v>
      </c>
      <c r="L92" s="11">
        <v>30.3201848</v>
      </c>
      <c r="M92" s="9" t="s">
        <v>3940</v>
      </c>
      <c r="N92" s="9"/>
      <c r="O92" s="12">
        <v>187</v>
      </c>
      <c r="P92" s="12"/>
      <c r="Q92" s="12"/>
      <c r="R92" s="12"/>
      <c r="S92" s="12"/>
      <c r="T92" s="12"/>
      <c r="U92" s="12"/>
      <c r="V92" s="12"/>
      <c r="W92" s="12"/>
      <c r="X92" s="12"/>
      <c r="Y92" s="12"/>
      <c r="Z92" s="12"/>
    </row>
    <row r="93" spans="1:26" ht="25">
      <c r="A93" s="12" t="s">
        <v>1633</v>
      </c>
      <c r="B93" s="12" t="s">
        <v>1597</v>
      </c>
      <c r="C93" s="8" t="s">
        <v>3941</v>
      </c>
      <c r="D93" s="8" t="s">
        <v>7839</v>
      </c>
      <c r="E93" s="8" t="s">
        <v>7746</v>
      </c>
      <c r="F93" s="8" t="s">
        <v>7704</v>
      </c>
      <c r="G93" s="8" t="s">
        <v>1647</v>
      </c>
      <c r="H93" s="9" t="s">
        <v>3942</v>
      </c>
      <c r="I93" s="21" t="s">
        <v>3943</v>
      </c>
      <c r="J93" s="19" t="s">
        <v>3944</v>
      </c>
      <c r="K93" s="11">
        <v>50.056134</v>
      </c>
      <c r="L93" s="11">
        <v>23.9711967</v>
      </c>
      <c r="M93" s="9" t="s">
        <v>3945</v>
      </c>
      <c r="N93" s="13" t="s">
        <v>3946</v>
      </c>
      <c r="O93" s="12">
        <v>671</v>
      </c>
      <c r="P93" s="12"/>
      <c r="Q93" s="12"/>
      <c r="R93" s="12"/>
      <c r="S93" s="12"/>
      <c r="T93" s="12"/>
      <c r="U93" s="12"/>
      <c r="V93" s="12"/>
      <c r="W93" s="12"/>
      <c r="X93" s="12"/>
      <c r="Y93" s="12"/>
      <c r="Z93" s="12"/>
    </row>
    <row r="94" spans="1:26">
      <c r="A94" s="12" t="s">
        <v>98</v>
      </c>
      <c r="B94" s="12" t="s">
        <v>17</v>
      </c>
      <c r="C94" s="8" t="s">
        <v>3947</v>
      </c>
      <c r="D94" s="8" t="s">
        <v>7840</v>
      </c>
      <c r="E94" s="8" t="s">
        <v>7841</v>
      </c>
      <c r="F94" s="8" t="s">
        <v>7699</v>
      </c>
      <c r="G94" s="8" t="s">
        <v>3948</v>
      </c>
      <c r="H94" s="9" t="s">
        <v>3949</v>
      </c>
      <c r="I94" s="8" t="s">
        <v>3950</v>
      </c>
      <c r="J94" s="19" t="s">
        <v>3951</v>
      </c>
      <c r="K94" s="11">
        <v>49.036155000000001</v>
      </c>
      <c r="L94" s="11">
        <v>28.106898999999999</v>
      </c>
      <c r="M94" s="9" t="s">
        <v>3952</v>
      </c>
      <c r="N94" s="9"/>
      <c r="O94" s="12">
        <v>33</v>
      </c>
      <c r="P94" s="12"/>
      <c r="Q94" s="12"/>
      <c r="R94" s="12"/>
      <c r="S94" s="12"/>
      <c r="T94" s="12"/>
      <c r="U94" s="12"/>
      <c r="V94" s="12"/>
      <c r="W94" s="12"/>
      <c r="X94" s="12"/>
      <c r="Y94" s="12"/>
      <c r="Z94" s="12"/>
    </row>
    <row r="95" spans="1:26" ht="25">
      <c r="A95" s="12" t="s">
        <v>2432</v>
      </c>
      <c r="B95" s="12" t="s">
        <v>2412</v>
      </c>
      <c r="C95" s="8" t="s">
        <v>3953</v>
      </c>
      <c r="D95" s="8" t="s">
        <v>7842</v>
      </c>
      <c r="E95" s="8" t="s">
        <v>7843</v>
      </c>
      <c r="F95" s="8" t="s">
        <v>7709</v>
      </c>
      <c r="G95" s="8" t="s">
        <v>2445</v>
      </c>
      <c r="H95" s="9" t="s">
        <v>3954</v>
      </c>
      <c r="I95" s="8" t="s">
        <v>3955</v>
      </c>
      <c r="J95" s="18" t="s">
        <v>3956</v>
      </c>
      <c r="K95" s="11">
        <v>50.306652100000001</v>
      </c>
      <c r="L95" s="11">
        <v>34.899956299999999</v>
      </c>
      <c r="M95" s="9" t="s">
        <v>3957</v>
      </c>
      <c r="N95" s="13" t="s">
        <v>3958</v>
      </c>
      <c r="O95" s="12">
        <v>1006</v>
      </c>
      <c r="P95" s="12"/>
      <c r="Q95" s="12"/>
      <c r="R95" s="12"/>
      <c r="S95" s="12"/>
      <c r="T95" s="12"/>
      <c r="U95" s="12"/>
      <c r="V95" s="12"/>
      <c r="W95" s="12"/>
      <c r="X95" s="12"/>
      <c r="Y95" s="12"/>
      <c r="Z95" s="12"/>
    </row>
    <row r="96" spans="1:26" ht="25">
      <c r="A96" s="12" t="s">
        <v>2833</v>
      </c>
      <c r="B96" s="12" t="s">
        <v>2793</v>
      </c>
      <c r="C96" s="8" t="s">
        <v>3959</v>
      </c>
      <c r="D96" s="8" t="s">
        <v>7844</v>
      </c>
      <c r="E96" s="8" t="s">
        <v>7845</v>
      </c>
      <c r="F96" s="8" t="s">
        <v>7737</v>
      </c>
      <c r="G96" s="8" t="s">
        <v>3960</v>
      </c>
      <c r="H96" s="9" t="s">
        <v>3961</v>
      </c>
      <c r="I96" s="8" t="s">
        <v>3962</v>
      </c>
      <c r="J96" s="18" t="s">
        <v>3963</v>
      </c>
      <c r="K96" s="11">
        <v>47.009098899999998</v>
      </c>
      <c r="L96" s="11">
        <v>33.729440500000003</v>
      </c>
      <c r="M96" s="9" t="s">
        <v>3964</v>
      </c>
      <c r="N96" s="9"/>
      <c r="O96" s="12">
        <v>1172</v>
      </c>
      <c r="P96" s="12"/>
      <c r="Q96" s="12"/>
      <c r="R96" s="12"/>
      <c r="S96" s="12"/>
      <c r="T96" s="12"/>
      <c r="U96" s="12"/>
      <c r="V96" s="12"/>
      <c r="W96" s="12"/>
      <c r="X96" s="12"/>
      <c r="Y96" s="12"/>
      <c r="Z96" s="12"/>
    </row>
    <row r="97" spans="1:26" ht="25">
      <c r="A97" s="12" t="s">
        <v>2470</v>
      </c>
      <c r="B97" s="12" t="s">
        <v>2412</v>
      </c>
      <c r="C97" s="8" t="s">
        <v>3965</v>
      </c>
      <c r="D97" s="8" t="s">
        <v>7709</v>
      </c>
      <c r="E97" s="8" t="s">
        <v>7846</v>
      </c>
      <c r="F97" s="8" t="s">
        <v>7709</v>
      </c>
      <c r="G97" s="8" t="s">
        <v>2495</v>
      </c>
      <c r="H97" s="9" t="s">
        <v>3966</v>
      </c>
      <c r="I97" s="8" t="s">
        <v>3967</v>
      </c>
      <c r="J97" s="19" t="s">
        <v>3968</v>
      </c>
      <c r="K97" s="11">
        <v>50.913635999999997</v>
      </c>
      <c r="L97" s="11">
        <v>34.774347300000002</v>
      </c>
      <c r="M97" s="9" t="s">
        <v>3969</v>
      </c>
      <c r="N97" s="13" t="s">
        <v>3970</v>
      </c>
      <c r="O97" s="12">
        <v>1031</v>
      </c>
      <c r="P97" s="12"/>
      <c r="Q97" s="12"/>
      <c r="R97" s="12"/>
      <c r="S97" s="12"/>
      <c r="T97" s="12"/>
      <c r="U97" s="12"/>
      <c r="V97" s="12"/>
      <c r="W97" s="12"/>
      <c r="X97" s="12"/>
      <c r="Y97" s="12"/>
      <c r="Z97" s="12"/>
    </row>
    <row r="98" spans="1:26" ht="25">
      <c r="A98" s="12" t="s">
        <v>1690</v>
      </c>
      <c r="B98" s="12" t="s">
        <v>1597</v>
      </c>
      <c r="C98" s="8" t="s">
        <v>3971</v>
      </c>
      <c r="D98" s="8" t="s">
        <v>7847</v>
      </c>
      <c r="E98" s="8" t="s">
        <v>7848</v>
      </c>
      <c r="F98" s="8" t="s">
        <v>7704</v>
      </c>
      <c r="G98" s="8" t="s">
        <v>1713</v>
      </c>
      <c r="H98" s="9" t="s">
        <v>3972</v>
      </c>
      <c r="I98" s="8" t="s">
        <v>3973</v>
      </c>
      <c r="J98" s="18" t="s">
        <v>3974</v>
      </c>
      <c r="K98" s="11">
        <v>49.334572399999999</v>
      </c>
      <c r="L98" s="11">
        <v>22.991382099999999</v>
      </c>
      <c r="M98" s="9" t="s">
        <v>3975</v>
      </c>
      <c r="N98" s="9"/>
      <c r="O98" s="12">
        <v>696</v>
      </c>
      <c r="P98" s="12"/>
      <c r="Q98" s="12"/>
      <c r="R98" s="12"/>
      <c r="S98" s="12"/>
      <c r="T98" s="12"/>
      <c r="U98" s="12"/>
      <c r="V98" s="12"/>
      <c r="W98" s="12"/>
      <c r="X98" s="12"/>
      <c r="Y98" s="12"/>
      <c r="Z98" s="12"/>
    </row>
    <row r="99" spans="1:26">
      <c r="A99" s="12" t="s">
        <v>841</v>
      </c>
      <c r="B99" s="12" t="s">
        <v>733</v>
      </c>
      <c r="C99" s="3" t="s">
        <v>3976</v>
      </c>
      <c r="D99" s="8" t="s">
        <v>7849</v>
      </c>
      <c r="E99" s="8" t="s">
        <v>7809</v>
      </c>
      <c r="F99" s="8" t="s">
        <v>7807</v>
      </c>
      <c r="G99" s="8" t="s">
        <v>872</v>
      </c>
      <c r="H99" s="9" t="s">
        <v>3977</v>
      </c>
      <c r="I99" s="8" t="s">
        <v>2305</v>
      </c>
      <c r="J99" s="18" t="s">
        <v>3978</v>
      </c>
      <c r="K99" s="11">
        <v>48.614253699999999</v>
      </c>
      <c r="L99" s="11">
        <v>22.292338699999998</v>
      </c>
      <c r="M99" s="9" t="s">
        <v>3979</v>
      </c>
      <c r="N99" s="9"/>
      <c r="O99" s="12">
        <v>364</v>
      </c>
      <c r="P99" s="12"/>
      <c r="Q99" s="12"/>
      <c r="R99" s="12"/>
      <c r="S99" s="12"/>
      <c r="T99" s="12"/>
      <c r="U99" s="12"/>
      <c r="V99" s="12"/>
      <c r="W99" s="12"/>
      <c r="X99" s="12"/>
      <c r="Y99" s="12"/>
      <c r="Z99" s="12"/>
    </row>
    <row r="100" spans="1:26" ht="25">
      <c r="A100" s="12" t="s">
        <v>734</v>
      </c>
      <c r="B100" s="12" t="s">
        <v>733</v>
      </c>
      <c r="C100" s="8" t="s">
        <v>3980</v>
      </c>
      <c r="D100" s="8" t="s">
        <v>7850</v>
      </c>
      <c r="E100" s="8" t="s">
        <v>7947</v>
      </c>
      <c r="F100" s="8" t="s">
        <v>7807</v>
      </c>
      <c r="G100" s="8" t="s">
        <v>736</v>
      </c>
      <c r="H100" s="9" t="s">
        <v>3981</v>
      </c>
      <c r="I100" s="8" t="s">
        <v>3982</v>
      </c>
      <c r="J100" s="19" t="s">
        <v>3983</v>
      </c>
      <c r="K100" s="11">
        <v>48.363740800000002</v>
      </c>
      <c r="L100" s="11">
        <v>22.399463099999998</v>
      </c>
      <c r="M100" s="9" t="s">
        <v>3984</v>
      </c>
      <c r="N100" s="13" t="s">
        <v>3985</v>
      </c>
      <c r="O100" s="12">
        <v>316</v>
      </c>
      <c r="P100" s="12"/>
      <c r="Q100" s="12"/>
      <c r="R100" s="12"/>
      <c r="S100" s="12"/>
      <c r="T100" s="12"/>
      <c r="U100" s="12"/>
      <c r="V100" s="12"/>
      <c r="W100" s="12"/>
      <c r="X100" s="12"/>
      <c r="Y100" s="12"/>
      <c r="Z100" s="12"/>
    </row>
    <row r="101" spans="1:26" ht="25">
      <c r="A101" s="12" t="s">
        <v>2601</v>
      </c>
      <c r="B101" s="12" t="s">
        <v>2527</v>
      </c>
      <c r="C101" s="22" t="s">
        <v>7670</v>
      </c>
      <c r="D101" s="8" t="s">
        <v>8061</v>
      </c>
      <c r="E101" s="8" t="s">
        <v>7859</v>
      </c>
      <c r="F101" s="8" t="s">
        <v>7727</v>
      </c>
      <c r="G101" s="22" t="s">
        <v>3986</v>
      </c>
      <c r="H101" s="23" t="s">
        <v>3987</v>
      </c>
      <c r="I101" s="22" t="s">
        <v>3988</v>
      </c>
      <c r="J101" s="24" t="s">
        <v>3989</v>
      </c>
      <c r="K101" s="25">
        <v>48.802556000000003</v>
      </c>
      <c r="L101" s="25">
        <v>26.040187</v>
      </c>
      <c r="M101" s="9" t="s">
        <v>3990</v>
      </c>
      <c r="N101" s="9"/>
      <c r="O101" s="12">
        <v>1044</v>
      </c>
      <c r="P101" s="12"/>
      <c r="Q101" s="12"/>
      <c r="R101" s="12"/>
      <c r="S101" s="12"/>
      <c r="T101" s="12"/>
      <c r="U101" s="12"/>
      <c r="V101" s="12"/>
      <c r="W101" s="12"/>
      <c r="X101" s="12"/>
      <c r="Y101" s="12"/>
      <c r="Z101" s="12"/>
    </row>
    <row r="102" spans="1:26" ht="25">
      <c r="A102" s="12" t="s">
        <v>1439</v>
      </c>
      <c r="B102" s="12" t="s">
        <v>1409</v>
      </c>
      <c r="C102" s="8" t="s">
        <v>3991</v>
      </c>
      <c r="D102" s="8" t="s">
        <v>7851</v>
      </c>
      <c r="E102" s="8" t="s">
        <v>1463</v>
      </c>
      <c r="F102" s="8" t="s">
        <v>7761</v>
      </c>
      <c r="G102" s="8" t="s">
        <v>1463</v>
      </c>
      <c r="H102" s="9" t="s">
        <v>3992</v>
      </c>
      <c r="I102" s="8" t="s">
        <v>3993</v>
      </c>
      <c r="J102" s="18" t="s">
        <v>3994</v>
      </c>
      <c r="K102" s="11">
        <v>48.508516200000003</v>
      </c>
      <c r="L102" s="11">
        <v>32.266175199999999</v>
      </c>
      <c r="M102" s="9" t="s">
        <v>3995</v>
      </c>
      <c r="N102" s="9"/>
      <c r="O102" s="12">
        <v>598</v>
      </c>
      <c r="P102" s="12"/>
      <c r="Q102" s="12"/>
      <c r="R102" s="12"/>
      <c r="S102" s="12"/>
      <c r="T102" s="12"/>
      <c r="U102" s="12"/>
      <c r="V102" s="12"/>
      <c r="W102" s="12"/>
      <c r="X102" s="12"/>
      <c r="Y102" s="12"/>
      <c r="Z102" s="12"/>
    </row>
    <row r="103" spans="1:26" ht="25">
      <c r="A103" s="12" t="s">
        <v>256</v>
      </c>
      <c r="B103" s="12" t="s">
        <v>171</v>
      </c>
      <c r="C103" s="8" t="s">
        <v>3441</v>
      </c>
      <c r="D103" s="8" t="s">
        <v>7712</v>
      </c>
      <c r="E103" s="8" t="s">
        <v>7713</v>
      </c>
      <c r="F103" s="8" t="s">
        <v>7714</v>
      </c>
      <c r="G103" s="8" t="s">
        <v>3442</v>
      </c>
      <c r="H103" s="9" t="s">
        <v>3996</v>
      </c>
      <c r="I103" s="8" t="s">
        <v>3997</v>
      </c>
      <c r="J103" s="19" t="s">
        <v>3998</v>
      </c>
      <c r="K103" s="11">
        <v>50.741742799999997</v>
      </c>
      <c r="L103" s="11">
        <v>25.354031299999999</v>
      </c>
      <c r="M103" s="9" t="s">
        <v>3999</v>
      </c>
      <c r="N103" s="13" t="s">
        <v>4000</v>
      </c>
      <c r="O103" s="12">
        <v>111</v>
      </c>
      <c r="P103" s="12"/>
      <c r="Q103" s="12"/>
      <c r="R103" s="12"/>
      <c r="S103" s="12"/>
      <c r="T103" s="12"/>
      <c r="U103" s="12"/>
      <c r="V103" s="12"/>
      <c r="W103" s="12"/>
      <c r="X103" s="12"/>
      <c r="Y103" s="12"/>
      <c r="Z103" s="12"/>
    </row>
    <row r="104" spans="1:26" ht="25">
      <c r="A104" s="12" t="s">
        <v>607</v>
      </c>
      <c r="B104" s="12" t="s">
        <v>584</v>
      </c>
      <c r="C104" s="8" t="s">
        <v>4001</v>
      </c>
      <c r="D104" s="8" t="s">
        <v>7852</v>
      </c>
      <c r="E104" s="8" t="s">
        <v>7788</v>
      </c>
      <c r="F104" s="8" t="s">
        <v>7780</v>
      </c>
      <c r="G104" s="8" t="s">
        <v>4002</v>
      </c>
      <c r="H104" s="9" t="s">
        <v>4003</v>
      </c>
      <c r="I104" s="8" t="s">
        <v>4004</v>
      </c>
      <c r="J104" s="18" t="s">
        <v>4005</v>
      </c>
      <c r="K104" s="11">
        <v>50.108712500000003</v>
      </c>
      <c r="L104" s="11">
        <v>27.7004001</v>
      </c>
      <c r="M104" s="9" t="s">
        <v>4006</v>
      </c>
      <c r="N104" s="13" t="s">
        <v>4007</v>
      </c>
      <c r="O104" s="12">
        <v>275</v>
      </c>
      <c r="P104" s="12"/>
      <c r="Q104" s="12"/>
      <c r="R104" s="12"/>
      <c r="S104" s="12"/>
      <c r="T104" s="12"/>
      <c r="U104" s="12"/>
      <c r="V104" s="12"/>
      <c r="W104" s="12"/>
      <c r="X104" s="12"/>
      <c r="Y104" s="12"/>
      <c r="Z104" s="12"/>
    </row>
    <row r="105" spans="1:26" ht="25">
      <c r="A105" s="12" t="s">
        <v>256</v>
      </c>
      <c r="B105" s="12" t="s">
        <v>171</v>
      </c>
      <c r="C105" s="8" t="s">
        <v>4008</v>
      </c>
      <c r="D105" s="8" t="s">
        <v>7853</v>
      </c>
      <c r="E105" s="8" t="s">
        <v>7713</v>
      </c>
      <c r="F105" s="8" t="s">
        <v>7714</v>
      </c>
      <c r="G105" s="8" t="s">
        <v>4009</v>
      </c>
      <c r="H105" s="9" t="s">
        <v>4010</v>
      </c>
      <c r="I105" s="8" t="s">
        <v>4011</v>
      </c>
      <c r="J105" s="19" t="s">
        <v>4012</v>
      </c>
      <c r="K105" s="11">
        <v>50.834249999999997</v>
      </c>
      <c r="L105" s="11">
        <v>25.458210000000001</v>
      </c>
      <c r="M105" s="9" t="s">
        <v>4013</v>
      </c>
      <c r="N105" s="13" t="s">
        <v>4014</v>
      </c>
      <c r="O105" s="12">
        <v>110</v>
      </c>
      <c r="P105" s="12"/>
      <c r="Q105" s="12"/>
      <c r="R105" s="12"/>
      <c r="S105" s="12"/>
      <c r="T105" s="12"/>
      <c r="U105" s="12"/>
      <c r="V105" s="12"/>
      <c r="W105" s="12"/>
      <c r="X105" s="12"/>
      <c r="Y105" s="12"/>
      <c r="Z105" s="12"/>
    </row>
    <row r="106" spans="1:26" ht="25">
      <c r="A106" s="12" t="s">
        <v>800</v>
      </c>
      <c r="B106" s="12" t="s">
        <v>733</v>
      </c>
      <c r="C106" s="8" t="s">
        <v>4015</v>
      </c>
      <c r="D106" s="8" t="s">
        <v>7854</v>
      </c>
      <c r="E106" s="8" t="s">
        <v>7855</v>
      </c>
      <c r="F106" s="8" t="s">
        <v>7807</v>
      </c>
      <c r="G106" s="8" t="s">
        <v>805</v>
      </c>
      <c r="H106" s="9" t="s">
        <v>4016</v>
      </c>
      <c r="I106" s="8" t="s">
        <v>4017</v>
      </c>
      <c r="J106" s="18" t="s">
        <v>4018</v>
      </c>
      <c r="K106" s="11">
        <v>47.973548999999998</v>
      </c>
      <c r="L106" s="11">
        <v>24.014739599999999</v>
      </c>
      <c r="M106" s="9" t="s">
        <v>4019</v>
      </c>
      <c r="N106" s="9"/>
      <c r="O106" s="12">
        <v>340</v>
      </c>
      <c r="P106" s="12"/>
      <c r="Q106" s="12"/>
      <c r="R106" s="12"/>
      <c r="S106" s="12"/>
      <c r="T106" s="12"/>
      <c r="U106" s="12"/>
      <c r="V106" s="12"/>
      <c r="W106" s="12"/>
      <c r="X106" s="12"/>
      <c r="Y106" s="12"/>
      <c r="Z106" s="12"/>
    </row>
    <row r="107" spans="1:26" ht="25">
      <c r="A107" s="12" t="s">
        <v>256</v>
      </c>
      <c r="B107" s="12" t="s">
        <v>171</v>
      </c>
      <c r="C107" s="8" t="s">
        <v>4020</v>
      </c>
      <c r="D107" s="8" t="s">
        <v>7856</v>
      </c>
      <c r="E107" s="8" t="s">
        <v>7713</v>
      </c>
      <c r="F107" s="8" t="s">
        <v>7714</v>
      </c>
      <c r="G107" s="8" t="s">
        <v>4021</v>
      </c>
      <c r="H107" s="9" t="s">
        <v>4022</v>
      </c>
      <c r="I107" s="8" t="s">
        <v>4023</v>
      </c>
      <c r="J107" s="19" t="s">
        <v>4024</v>
      </c>
      <c r="K107" s="11">
        <v>50.912379999999999</v>
      </c>
      <c r="L107" s="11">
        <v>25.2677221</v>
      </c>
      <c r="M107" s="9" t="s">
        <v>4025</v>
      </c>
      <c r="N107" s="9"/>
      <c r="O107" s="12">
        <v>115</v>
      </c>
      <c r="P107" s="12"/>
      <c r="Q107" s="12"/>
      <c r="R107" s="12"/>
      <c r="S107" s="12"/>
      <c r="T107" s="12"/>
      <c r="U107" s="12"/>
      <c r="V107" s="12"/>
      <c r="W107" s="12"/>
      <c r="X107" s="12"/>
      <c r="Y107" s="12"/>
      <c r="Z107" s="12"/>
    </row>
    <row r="108" spans="1:26" ht="25">
      <c r="A108" s="12" t="s">
        <v>607</v>
      </c>
      <c r="B108" s="12" t="s">
        <v>584</v>
      </c>
      <c r="C108" s="8" t="s">
        <v>4026</v>
      </c>
      <c r="D108" s="8" t="s">
        <v>7857</v>
      </c>
      <c r="E108" s="8" t="s">
        <v>7788</v>
      </c>
      <c r="F108" s="8" t="s">
        <v>7780</v>
      </c>
      <c r="G108" s="8" t="s">
        <v>4027</v>
      </c>
      <c r="H108" s="9" t="s">
        <v>4028</v>
      </c>
      <c r="I108" s="8" t="s">
        <v>4029</v>
      </c>
      <c r="J108" s="18" t="s">
        <v>4030</v>
      </c>
      <c r="K108" s="11">
        <v>50.132875900000002</v>
      </c>
      <c r="L108" s="11">
        <v>27.941064000000001</v>
      </c>
      <c r="M108" s="9" t="s">
        <v>4031</v>
      </c>
      <c r="N108" s="13" t="s">
        <v>4032</v>
      </c>
      <c r="O108" s="12">
        <v>283</v>
      </c>
      <c r="P108" s="12"/>
      <c r="Q108" s="12"/>
      <c r="R108" s="12"/>
      <c r="S108" s="12"/>
      <c r="T108" s="12"/>
      <c r="U108" s="12"/>
      <c r="V108" s="12"/>
      <c r="W108" s="12"/>
      <c r="X108" s="12"/>
      <c r="Y108" s="12"/>
      <c r="Z108" s="12"/>
    </row>
    <row r="109" spans="1:26" ht="25">
      <c r="A109" s="12" t="s">
        <v>2601</v>
      </c>
      <c r="B109" s="12" t="s">
        <v>2527</v>
      </c>
      <c r="C109" s="8" t="s">
        <v>4033</v>
      </c>
      <c r="D109" s="8" t="s">
        <v>7858</v>
      </c>
      <c r="E109" s="8" t="s">
        <v>7859</v>
      </c>
      <c r="F109" s="8" t="s">
        <v>7727</v>
      </c>
      <c r="G109" s="8" t="s">
        <v>2646</v>
      </c>
      <c r="H109" s="9" t="s">
        <v>4034</v>
      </c>
      <c r="I109" s="8" t="s">
        <v>1379</v>
      </c>
      <c r="J109" s="18" t="s">
        <v>4035</v>
      </c>
      <c r="K109" s="11">
        <v>49.017080999999997</v>
      </c>
      <c r="L109" s="11">
        <v>25.798089000000001</v>
      </c>
      <c r="M109" s="9" t="s">
        <v>4036</v>
      </c>
      <c r="N109" s="9"/>
      <c r="O109" s="12">
        <v>1097</v>
      </c>
      <c r="P109" s="12"/>
      <c r="Q109" s="12"/>
      <c r="R109" s="12"/>
      <c r="S109" s="12"/>
      <c r="T109" s="12"/>
      <c r="U109" s="12"/>
      <c r="V109" s="12"/>
      <c r="W109" s="12"/>
      <c r="X109" s="12"/>
      <c r="Y109" s="12"/>
      <c r="Z109" s="12"/>
    </row>
    <row r="110" spans="1:26" ht="25">
      <c r="A110" s="12" t="s">
        <v>547</v>
      </c>
      <c r="B110" s="12" t="s">
        <v>464</v>
      </c>
      <c r="C110" s="8" t="s">
        <v>4037</v>
      </c>
      <c r="D110" s="8" t="s">
        <v>7860</v>
      </c>
      <c r="E110" s="8" t="s">
        <v>7861</v>
      </c>
      <c r="F110" s="8" t="s">
        <v>7710</v>
      </c>
      <c r="G110" s="8" t="s">
        <v>566</v>
      </c>
      <c r="H110" s="9" t="s">
        <v>4038</v>
      </c>
      <c r="I110" s="8" t="s">
        <v>4039</v>
      </c>
      <c r="J110" s="18" t="s">
        <v>4040</v>
      </c>
      <c r="K110" s="11">
        <v>48.30791</v>
      </c>
      <c r="L110" s="11">
        <v>37.259099999999997</v>
      </c>
      <c r="M110" s="9" t="s">
        <v>4041</v>
      </c>
      <c r="N110" s="13" t="s">
        <v>4042</v>
      </c>
      <c r="O110" s="12">
        <v>243</v>
      </c>
      <c r="P110" s="12"/>
      <c r="Q110" s="12"/>
      <c r="R110" s="12"/>
      <c r="S110" s="12"/>
      <c r="T110" s="12"/>
      <c r="U110" s="12"/>
      <c r="V110" s="12"/>
      <c r="W110" s="12"/>
      <c r="X110" s="12"/>
      <c r="Y110" s="12"/>
      <c r="Z110" s="12"/>
    </row>
    <row r="111" spans="1:26" ht="25">
      <c r="A111" s="12" t="s">
        <v>1633</v>
      </c>
      <c r="B111" s="12" t="s">
        <v>1597</v>
      </c>
      <c r="C111" s="8" t="s">
        <v>4043</v>
      </c>
      <c r="D111" s="8" t="s">
        <v>7862</v>
      </c>
      <c r="E111" s="8" t="s">
        <v>7746</v>
      </c>
      <c r="F111" s="8" t="s">
        <v>7704</v>
      </c>
      <c r="G111" s="8" t="s">
        <v>4044</v>
      </c>
      <c r="H111" s="9" t="s">
        <v>4045</v>
      </c>
      <c r="I111" s="8" t="s">
        <v>4046</v>
      </c>
      <c r="J111" s="18" t="s">
        <v>4047</v>
      </c>
      <c r="K111" s="11">
        <v>50.133808399999999</v>
      </c>
      <c r="L111" s="11">
        <v>23.847348799999999</v>
      </c>
      <c r="M111" s="9" t="s">
        <v>4048</v>
      </c>
      <c r="N111" s="13" t="s">
        <v>4049</v>
      </c>
      <c r="O111" s="12">
        <v>670</v>
      </c>
      <c r="P111" s="12"/>
      <c r="Q111" s="12"/>
      <c r="R111" s="12"/>
      <c r="S111" s="12"/>
      <c r="T111" s="12"/>
      <c r="U111" s="12"/>
      <c r="V111" s="12"/>
      <c r="W111" s="12"/>
      <c r="X111" s="12"/>
      <c r="Y111" s="12"/>
      <c r="Z111" s="12"/>
    </row>
    <row r="112" spans="1:26" ht="25">
      <c r="A112" s="12" t="s">
        <v>2649</v>
      </c>
      <c r="B112" s="12" t="s">
        <v>2648</v>
      </c>
      <c r="C112" s="8" t="s">
        <v>4050</v>
      </c>
      <c r="D112" s="8" t="s">
        <v>7863</v>
      </c>
      <c r="E112" s="8" t="s">
        <v>7864</v>
      </c>
      <c r="F112" s="8" t="s">
        <v>7601</v>
      </c>
      <c r="G112" s="8" t="s">
        <v>2654</v>
      </c>
      <c r="H112" s="9" t="s">
        <v>4051</v>
      </c>
      <c r="I112" s="8" t="s">
        <v>4052</v>
      </c>
      <c r="J112" s="18" t="s">
        <v>4053</v>
      </c>
      <c r="K112" s="11">
        <v>49.462820299999997</v>
      </c>
      <c r="L112" s="11">
        <v>36.878691199999999</v>
      </c>
      <c r="M112" s="9" t="s">
        <v>4054</v>
      </c>
      <c r="N112" s="13" t="s">
        <v>4055</v>
      </c>
      <c r="O112" s="12">
        <v>1099</v>
      </c>
      <c r="P112" s="12"/>
      <c r="Q112" s="12"/>
      <c r="R112" s="12"/>
      <c r="S112" s="12"/>
      <c r="T112" s="12"/>
      <c r="U112" s="12"/>
      <c r="V112" s="12"/>
      <c r="W112" s="12"/>
      <c r="X112" s="12"/>
      <c r="Y112" s="12"/>
      <c r="Z112" s="12"/>
    </row>
    <row r="113" spans="1:26" ht="25">
      <c r="A113" s="12" t="s">
        <v>2285</v>
      </c>
      <c r="B113" s="12" t="s">
        <v>2264</v>
      </c>
      <c r="C113" s="8" t="s">
        <v>4056</v>
      </c>
      <c r="D113" s="8" t="s">
        <v>7865</v>
      </c>
      <c r="E113" s="8" t="s">
        <v>7772</v>
      </c>
      <c r="F113" s="8" t="s">
        <v>3603</v>
      </c>
      <c r="G113" s="8" t="s">
        <v>4057</v>
      </c>
      <c r="H113" s="9" t="s">
        <v>4058</v>
      </c>
      <c r="I113" s="8" t="s">
        <v>4059</v>
      </c>
      <c r="J113" s="18" t="s">
        <v>4060</v>
      </c>
      <c r="K113" s="11">
        <v>50.577174999999997</v>
      </c>
      <c r="L113" s="11">
        <v>25.864971000000001</v>
      </c>
      <c r="M113" s="9" t="s">
        <v>4061</v>
      </c>
      <c r="N113" s="13" t="s">
        <v>4062</v>
      </c>
      <c r="O113" s="12">
        <v>939</v>
      </c>
      <c r="P113" s="12"/>
      <c r="Q113" s="12"/>
      <c r="R113" s="12"/>
      <c r="S113" s="12"/>
      <c r="T113" s="12"/>
      <c r="U113" s="12"/>
      <c r="V113" s="12"/>
      <c r="W113" s="12"/>
      <c r="X113" s="12"/>
      <c r="Y113" s="12"/>
      <c r="Z113" s="12"/>
    </row>
    <row r="114" spans="1:26" ht="25">
      <c r="A114" s="12" t="s">
        <v>256</v>
      </c>
      <c r="B114" s="12" t="s">
        <v>171</v>
      </c>
      <c r="C114" s="8" t="s">
        <v>4063</v>
      </c>
      <c r="D114" s="8" t="s">
        <v>7866</v>
      </c>
      <c r="E114" s="8" t="s">
        <v>7713</v>
      </c>
      <c r="F114" s="8" t="s">
        <v>7714</v>
      </c>
      <c r="G114" s="8" t="s">
        <v>4064</v>
      </c>
      <c r="H114" s="9" t="s">
        <v>4065</v>
      </c>
      <c r="I114" s="8" t="s">
        <v>4066</v>
      </c>
      <c r="J114" s="18" t="s">
        <v>4067</v>
      </c>
      <c r="K114" s="11">
        <v>50.764429999999997</v>
      </c>
      <c r="L114" s="11">
        <v>24.998685999999999</v>
      </c>
      <c r="M114" s="9" t="s">
        <v>4068</v>
      </c>
      <c r="N114" s="13" t="s">
        <v>4067</v>
      </c>
      <c r="O114" s="12">
        <v>116</v>
      </c>
      <c r="P114" s="12"/>
      <c r="Q114" s="12"/>
      <c r="R114" s="12"/>
      <c r="S114" s="12"/>
      <c r="T114" s="12"/>
      <c r="U114" s="12"/>
      <c r="V114" s="12"/>
      <c r="W114" s="12"/>
      <c r="X114" s="12"/>
      <c r="Y114" s="12"/>
      <c r="Z114" s="12"/>
    </row>
    <row r="115" spans="1:26" ht="25">
      <c r="A115" s="12" t="s">
        <v>379</v>
      </c>
      <c r="B115" s="12" t="s">
        <v>287</v>
      </c>
      <c r="C115" s="8" t="s">
        <v>4069</v>
      </c>
      <c r="D115" s="8" t="s">
        <v>7867</v>
      </c>
      <c r="E115" s="8" t="s">
        <v>7868</v>
      </c>
      <c r="F115" s="8" t="s">
        <v>7700</v>
      </c>
      <c r="G115" s="8" t="s">
        <v>4070</v>
      </c>
      <c r="H115" s="9" t="s">
        <v>4071</v>
      </c>
      <c r="I115" s="8" t="s">
        <v>4072</v>
      </c>
      <c r="J115" s="18" t="s">
        <v>4073</v>
      </c>
      <c r="K115" s="11">
        <v>49.1</v>
      </c>
      <c r="L115" s="11">
        <v>34.736141099999998</v>
      </c>
      <c r="M115" s="9" t="s">
        <v>4074</v>
      </c>
      <c r="N115" s="9"/>
      <c r="O115" s="12">
        <v>169</v>
      </c>
      <c r="P115" s="12"/>
      <c r="Q115" s="12"/>
      <c r="R115" s="12"/>
      <c r="S115" s="12"/>
      <c r="T115" s="12"/>
      <c r="U115" s="12"/>
      <c r="V115" s="12"/>
      <c r="W115" s="12"/>
      <c r="X115" s="12"/>
      <c r="Y115" s="12"/>
      <c r="Z115" s="12"/>
    </row>
    <row r="116" spans="1:26">
      <c r="A116" s="12" t="s">
        <v>3395</v>
      </c>
      <c r="B116" s="12" t="s">
        <v>3315</v>
      </c>
      <c r="C116" s="8" t="s">
        <v>4075</v>
      </c>
      <c r="D116" s="8" t="s">
        <v>7869</v>
      </c>
      <c r="E116" s="8" t="s">
        <v>7711</v>
      </c>
      <c r="F116" s="8" t="s">
        <v>7705</v>
      </c>
      <c r="G116" s="8" t="s">
        <v>4076</v>
      </c>
      <c r="H116" s="9" t="s">
        <v>4077</v>
      </c>
      <c r="I116" s="8" t="s">
        <v>4078</v>
      </c>
      <c r="J116" s="18" t="s">
        <v>4079</v>
      </c>
      <c r="K116" s="11">
        <v>51.056910999999999</v>
      </c>
      <c r="L116" s="11">
        <v>31.150811699999998</v>
      </c>
      <c r="M116" s="9" t="s">
        <v>4080</v>
      </c>
      <c r="N116" s="13" t="s">
        <v>4081</v>
      </c>
      <c r="O116" s="12">
        <v>1428</v>
      </c>
      <c r="P116" s="12"/>
      <c r="Q116" s="12"/>
      <c r="R116" s="12"/>
      <c r="S116" s="12"/>
      <c r="T116" s="12"/>
      <c r="U116" s="12"/>
      <c r="V116" s="12"/>
      <c r="W116" s="12"/>
      <c r="X116" s="12"/>
      <c r="Y116" s="12"/>
      <c r="Z116" s="12"/>
    </row>
    <row r="117" spans="1:26" ht="25">
      <c r="A117" s="12" t="s">
        <v>2772</v>
      </c>
      <c r="B117" s="12" t="s">
        <v>2648</v>
      </c>
      <c r="C117" s="8" t="s">
        <v>4082</v>
      </c>
      <c r="D117" s="8" t="s">
        <v>7870</v>
      </c>
      <c r="E117" s="8" t="s">
        <v>7871</v>
      </c>
      <c r="F117" s="8" t="s">
        <v>7601</v>
      </c>
      <c r="G117" s="8" t="s">
        <v>4082</v>
      </c>
      <c r="H117" s="9" t="s">
        <v>4083</v>
      </c>
      <c r="I117" s="8" t="s">
        <v>4084</v>
      </c>
      <c r="J117" s="18" t="s">
        <v>4085</v>
      </c>
      <c r="K117" s="11">
        <v>49.678437000000002</v>
      </c>
      <c r="L117" s="11">
        <v>36.355607999999997</v>
      </c>
      <c r="M117" s="9" t="s">
        <v>4086</v>
      </c>
      <c r="N117" s="13" t="s">
        <v>4087</v>
      </c>
      <c r="O117" s="12">
        <v>1146</v>
      </c>
      <c r="P117" s="12"/>
      <c r="Q117" s="12"/>
      <c r="R117" s="12"/>
      <c r="S117" s="12"/>
      <c r="T117" s="12"/>
      <c r="U117" s="12"/>
      <c r="V117" s="12"/>
      <c r="W117" s="12"/>
      <c r="X117" s="12"/>
      <c r="Y117" s="12"/>
      <c r="Z117" s="12"/>
    </row>
    <row r="118" spans="1:26" ht="25">
      <c r="A118" s="12" t="s">
        <v>256</v>
      </c>
      <c r="B118" s="12" t="s">
        <v>171</v>
      </c>
      <c r="C118" s="8" t="s">
        <v>4088</v>
      </c>
      <c r="D118" s="8" t="s">
        <v>7872</v>
      </c>
      <c r="E118" s="8" t="s">
        <v>7713</v>
      </c>
      <c r="F118" s="8" t="s">
        <v>7714</v>
      </c>
      <c r="G118" s="8" t="s">
        <v>4089</v>
      </c>
      <c r="H118" s="9" t="s">
        <v>4090</v>
      </c>
      <c r="I118" s="8" t="s">
        <v>4091</v>
      </c>
      <c r="J118" s="18" t="s">
        <v>4092</v>
      </c>
      <c r="K118" s="11">
        <v>50.767063</v>
      </c>
      <c r="L118" s="11">
        <v>25.515243000000002</v>
      </c>
      <c r="M118" s="9" t="s">
        <v>4093</v>
      </c>
      <c r="N118" s="13" t="s">
        <v>4094</v>
      </c>
      <c r="O118" s="12">
        <v>114</v>
      </c>
      <c r="P118" s="12"/>
      <c r="Q118" s="12"/>
      <c r="R118" s="12"/>
      <c r="S118" s="12"/>
      <c r="T118" s="12"/>
      <c r="U118" s="12"/>
      <c r="V118" s="12"/>
      <c r="W118" s="12"/>
      <c r="X118" s="12"/>
      <c r="Y118" s="12"/>
      <c r="Z118" s="12"/>
    </row>
    <row r="119" spans="1:26" ht="25">
      <c r="A119" s="12" t="s">
        <v>324</v>
      </c>
      <c r="B119" s="12" t="s">
        <v>287</v>
      </c>
      <c r="C119" s="8" t="s">
        <v>4095</v>
      </c>
      <c r="D119" s="8" t="s">
        <v>7873</v>
      </c>
      <c r="E119" s="8" t="s">
        <v>7874</v>
      </c>
      <c r="F119" s="8" t="s">
        <v>7700</v>
      </c>
      <c r="G119" s="8" t="s">
        <v>4096</v>
      </c>
      <c r="H119" s="9" t="s">
        <v>3961</v>
      </c>
      <c r="I119" s="8" t="s">
        <v>3482</v>
      </c>
      <c r="J119" s="12"/>
      <c r="K119" s="11">
        <v>48.654191500000003</v>
      </c>
      <c r="L119" s="11">
        <v>34.334777899999999</v>
      </c>
      <c r="M119" s="9" t="s">
        <v>4097</v>
      </c>
      <c r="N119" s="13" t="s">
        <v>4098</v>
      </c>
      <c r="O119" s="12">
        <v>136</v>
      </c>
      <c r="P119" s="12"/>
      <c r="Q119" s="12"/>
      <c r="R119" s="12"/>
      <c r="S119" s="12"/>
      <c r="T119" s="12"/>
      <c r="U119" s="12"/>
      <c r="V119" s="12"/>
      <c r="W119" s="12"/>
      <c r="X119" s="12"/>
      <c r="Y119" s="12"/>
      <c r="Z119" s="12"/>
    </row>
    <row r="120" spans="1:26">
      <c r="A120" s="12"/>
      <c r="B120" s="12"/>
      <c r="C120" s="8"/>
      <c r="D120" s="8"/>
      <c r="E120" s="8"/>
      <c r="F120" s="8"/>
      <c r="G120" s="8"/>
      <c r="H120" s="8"/>
      <c r="I120" s="8"/>
      <c r="J120" s="12"/>
      <c r="K120" s="12"/>
      <c r="L120" s="12"/>
      <c r="M120" s="12"/>
      <c r="N120" s="12"/>
      <c r="O120" s="12"/>
      <c r="P120" s="12"/>
      <c r="Q120" s="12"/>
      <c r="R120" s="12"/>
      <c r="S120" s="12"/>
      <c r="T120" s="12"/>
      <c r="U120" s="12"/>
      <c r="V120" s="12"/>
      <c r="W120" s="12"/>
      <c r="X120" s="12"/>
      <c r="Y120" s="12"/>
      <c r="Z120" s="12"/>
    </row>
    <row r="121" spans="1:26">
      <c r="A121" s="12"/>
      <c r="B121" s="12"/>
      <c r="C121" s="8"/>
      <c r="D121" s="8"/>
      <c r="E121" s="8"/>
      <c r="F121" s="8"/>
      <c r="G121" s="8"/>
      <c r="H121" s="8"/>
      <c r="I121" s="8"/>
      <c r="J121" s="12"/>
      <c r="K121" s="12"/>
      <c r="L121" s="12"/>
      <c r="M121" s="12"/>
      <c r="N121" s="12"/>
      <c r="O121" s="12"/>
      <c r="P121" s="12"/>
      <c r="Q121" s="12"/>
      <c r="R121" s="12"/>
      <c r="S121" s="12"/>
      <c r="T121" s="12"/>
      <c r="U121" s="12"/>
      <c r="V121" s="12"/>
      <c r="W121" s="12"/>
      <c r="X121" s="12"/>
      <c r="Y121" s="12"/>
      <c r="Z121" s="12"/>
    </row>
    <row r="122" spans="1:26">
      <c r="A122" s="12"/>
      <c r="B122" s="12"/>
      <c r="C122" s="8"/>
      <c r="D122" s="8"/>
      <c r="E122" s="8"/>
      <c r="F122" s="8"/>
      <c r="G122" s="8"/>
      <c r="H122" s="8"/>
      <c r="I122" s="8"/>
      <c r="J122" s="12"/>
      <c r="K122" s="12"/>
      <c r="L122" s="12"/>
      <c r="M122" s="12"/>
      <c r="N122" s="12"/>
      <c r="O122" s="12"/>
      <c r="P122" s="12"/>
      <c r="Q122" s="12"/>
      <c r="R122" s="12"/>
      <c r="S122" s="12"/>
      <c r="T122" s="12"/>
      <c r="U122" s="12"/>
      <c r="V122" s="12"/>
      <c r="W122" s="12"/>
      <c r="X122" s="12"/>
      <c r="Y122" s="12"/>
      <c r="Z122" s="12"/>
    </row>
    <row r="123" spans="1:26">
      <c r="A123" s="12"/>
      <c r="B123" s="12"/>
      <c r="C123" s="8"/>
      <c r="D123" s="8"/>
      <c r="E123" s="8"/>
      <c r="F123" s="8"/>
      <c r="G123" s="8"/>
      <c r="H123" s="8"/>
      <c r="I123" s="8"/>
      <c r="J123" s="12"/>
      <c r="K123" s="12"/>
      <c r="L123" s="12"/>
      <c r="M123" s="12"/>
      <c r="N123" s="12"/>
      <c r="O123" s="12"/>
      <c r="P123" s="12"/>
      <c r="Q123" s="12"/>
      <c r="R123" s="12"/>
      <c r="S123" s="12"/>
      <c r="T123" s="12"/>
      <c r="U123" s="12"/>
      <c r="V123" s="12"/>
      <c r="W123" s="12"/>
      <c r="X123" s="12"/>
      <c r="Y123" s="12"/>
      <c r="Z123" s="12"/>
    </row>
    <row r="124" spans="1:26">
      <c r="A124" s="12"/>
      <c r="B124" s="12"/>
      <c r="C124" s="8"/>
      <c r="D124" s="8"/>
      <c r="E124" s="8"/>
      <c r="F124" s="8"/>
      <c r="G124" s="8"/>
      <c r="H124" s="8"/>
      <c r="I124" s="8"/>
      <c r="J124" s="12"/>
      <c r="K124" s="12"/>
      <c r="L124" s="12"/>
      <c r="M124" s="12"/>
      <c r="N124" s="12"/>
      <c r="O124" s="12"/>
      <c r="P124" s="12"/>
      <c r="Q124" s="12"/>
      <c r="R124" s="12"/>
      <c r="S124" s="12"/>
      <c r="T124" s="12"/>
      <c r="U124" s="12"/>
      <c r="V124" s="12"/>
      <c r="W124" s="12"/>
      <c r="X124" s="12"/>
      <c r="Y124" s="12"/>
      <c r="Z124" s="12"/>
    </row>
    <row r="125" spans="1:26">
      <c r="A125" s="12"/>
      <c r="B125" s="12"/>
      <c r="C125" s="8"/>
      <c r="D125" s="8"/>
      <c r="E125" s="8"/>
      <c r="F125" s="8"/>
      <c r="G125" s="8"/>
      <c r="H125" s="8"/>
      <c r="I125" s="8"/>
      <c r="J125" s="12"/>
      <c r="K125" s="12"/>
      <c r="L125" s="12"/>
      <c r="M125" s="12"/>
      <c r="N125" s="12"/>
      <c r="O125" s="12"/>
      <c r="P125" s="12"/>
      <c r="Q125" s="12"/>
      <c r="R125" s="12"/>
      <c r="S125" s="12"/>
      <c r="T125" s="12"/>
      <c r="U125" s="12"/>
      <c r="V125" s="12"/>
      <c r="W125" s="12"/>
      <c r="X125" s="12"/>
      <c r="Y125" s="12"/>
      <c r="Z125" s="12"/>
    </row>
    <row r="126" spans="1:26">
      <c r="A126" s="12"/>
      <c r="B126" s="12"/>
      <c r="C126" s="8"/>
      <c r="D126" s="8"/>
      <c r="E126" s="8"/>
      <c r="F126" s="8"/>
      <c r="G126" s="8"/>
      <c r="H126" s="8"/>
      <c r="I126" s="8"/>
      <c r="J126" s="12"/>
      <c r="K126" s="12"/>
      <c r="L126" s="12"/>
      <c r="M126" s="12"/>
      <c r="N126" s="12"/>
      <c r="O126" s="12"/>
      <c r="P126" s="12"/>
      <c r="Q126" s="12"/>
      <c r="R126" s="12"/>
      <c r="S126" s="12"/>
      <c r="T126" s="12"/>
      <c r="U126" s="12"/>
      <c r="V126" s="12"/>
      <c r="W126" s="12"/>
      <c r="X126" s="12"/>
      <c r="Y126" s="12"/>
      <c r="Z126" s="12"/>
    </row>
    <row r="127" spans="1:26">
      <c r="A127" s="12"/>
      <c r="B127" s="12"/>
      <c r="C127" s="8"/>
      <c r="D127" s="8"/>
      <c r="E127" s="8"/>
      <c r="F127" s="8"/>
      <c r="G127" s="8"/>
      <c r="H127" s="8"/>
      <c r="I127" s="8"/>
      <c r="J127" s="12"/>
      <c r="K127" s="12"/>
      <c r="L127" s="12"/>
      <c r="M127" s="12"/>
      <c r="N127" s="12"/>
      <c r="O127" s="12"/>
      <c r="P127" s="12"/>
      <c r="Q127" s="12"/>
      <c r="R127" s="12"/>
      <c r="S127" s="12"/>
      <c r="T127" s="12"/>
      <c r="U127" s="12"/>
      <c r="V127" s="12"/>
      <c r="W127" s="12"/>
      <c r="X127" s="12"/>
      <c r="Y127" s="12"/>
      <c r="Z127" s="12"/>
    </row>
    <row r="128" spans="1:26">
      <c r="A128" s="12"/>
      <c r="B128" s="12"/>
      <c r="C128" s="8"/>
      <c r="D128" s="8"/>
      <c r="E128" s="8"/>
      <c r="F128" s="8"/>
      <c r="G128" s="8"/>
      <c r="H128" s="8"/>
      <c r="I128" s="8"/>
      <c r="J128" s="12"/>
      <c r="K128" s="12"/>
      <c r="L128" s="12"/>
      <c r="M128" s="12"/>
      <c r="N128" s="12"/>
      <c r="O128" s="12"/>
      <c r="P128" s="12"/>
      <c r="Q128" s="12"/>
      <c r="R128" s="12"/>
      <c r="S128" s="12"/>
      <c r="T128" s="12"/>
      <c r="U128" s="12"/>
      <c r="V128" s="12"/>
      <c r="W128" s="12"/>
      <c r="X128" s="12"/>
      <c r="Y128" s="12"/>
      <c r="Z128" s="12"/>
    </row>
    <row r="129" spans="1:26">
      <c r="A129" s="12"/>
      <c r="B129" s="12"/>
      <c r="C129" s="8"/>
      <c r="D129" s="8"/>
      <c r="E129" s="8"/>
      <c r="F129" s="8"/>
      <c r="G129" s="8"/>
      <c r="H129" s="8"/>
      <c r="I129" s="8"/>
      <c r="J129" s="12"/>
      <c r="K129" s="12"/>
      <c r="L129" s="12"/>
      <c r="M129" s="12"/>
      <c r="N129" s="12"/>
      <c r="O129" s="12"/>
      <c r="P129" s="12"/>
      <c r="Q129" s="12"/>
      <c r="R129" s="12"/>
      <c r="S129" s="12"/>
      <c r="T129" s="12"/>
      <c r="U129" s="12"/>
      <c r="V129" s="12"/>
      <c r="W129" s="12"/>
      <c r="X129" s="12"/>
      <c r="Y129" s="12"/>
      <c r="Z129" s="12"/>
    </row>
    <row r="130" spans="1:26">
      <c r="A130" s="12"/>
      <c r="B130" s="12"/>
      <c r="C130" s="8"/>
      <c r="D130" s="8"/>
      <c r="E130" s="8"/>
      <c r="F130" s="8"/>
      <c r="G130" s="8"/>
      <c r="H130" s="8"/>
      <c r="I130" s="8"/>
      <c r="J130" s="12"/>
      <c r="K130" s="12"/>
      <c r="L130" s="12"/>
      <c r="M130" s="12"/>
      <c r="N130" s="12"/>
      <c r="O130" s="12"/>
      <c r="P130" s="12"/>
      <c r="Q130" s="12"/>
      <c r="R130" s="12"/>
      <c r="S130" s="12"/>
      <c r="T130" s="12"/>
      <c r="U130" s="12"/>
      <c r="V130" s="12"/>
      <c r="W130" s="12"/>
      <c r="X130" s="12"/>
      <c r="Y130" s="12"/>
      <c r="Z130" s="12"/>
    </row>
    <row r="131" spans="1:26">
      <c r="A131" s="12"/>
      <c r="B131" s="12"/>
      <c r="C131" s="8"/>
      <c r="D131" s="8"/>
      <c r="E131" s="8"/>
      <c r="F131" s="8"/>
      <c r="G131" s="8"/>
      <c r="H131" s="8"/>
      <c r="I131" s="8"/>
      <c r="J131" s="12"/>
      <c r="K131" s="12"/>
      <c r="L131" s="12"/>
      <c r="M131" s="12"/>
      <c r="N131" s="12"/>
      <c r="O131" s="12"/>
      <c r="P131" s="12"/>
      <c r="Q131" s="12"/>
      <c r="R131" s="12"/>
      <c r="S131" s="12"/>
      <c r="T131" s="12"/>
      <c r="U131" s="12"/>
      <c r="V131" s="12"/>
      <c r="W131" s="12"/>
      <c r="X131" s="12"/>
      <c r="Y131" s="12"/>
      <c r="Z131" s="12"/>
    </row>
    <row r="132" spans="1:26">
      <c r="A132" s="12"/>
      <c r="B132" s="12"/>
      <c r="C132" s="8"/>
      <c r="D132" s="8"/>
      <c r="E132" s="8"/>
      <c r="F132" s="8"/>
      <c r="G132" s="8"/>
      <c r="H132" s="8"/>
      <c r="I132" s="8"/>
      <c r="J132" s="12"/>
      <c r="K132" s="12"/>
      <c r="L132" s="12"/>
      <c r="M132" s="12"/>
      <c r="N132" s="12"/>
      <c r="O132" s="12"/>
      <c r="P132" s="12"/>
      <c r="Q132" s="12"/>
      <c r="R132" s="12"/>
      <c r="S132" s="12"/>
      <c r="T132" s="12"/>
      <c r="U132" s="12"/>
      <c r="V132" s="12"/>
      <c r="W132" s="12"/>
      <c r="X132" s="12"/>
      <c r="Y132" s="12"/>
      <c r="Z132" s="12"/>
    </row>
    <row r="133" spans="1:26">
      <c r="A133" s="12"/>
      <c r="B133" s="12"/>
      <c r="C133" s="8"/>
      <c r="D133" s="8"/>
      <c r="E133" s="8"/>
      <c r="F133" s="8"/>
      <c r="G133" s="8"/>
      <c r="H133" s="8"/>
      <c r="I133" s="8"/>
      <c r="J133" s="12"/>
      <c r="K133" s="12"/>
      <c r="L133" s="12"/>
      <c r="M133" s="12"/>
      <c r="N133" s="12"/>
      <c r="O133" s="12"/>
      <c r="P133" s="12"/>
      <c r="Q133" s="12"/>
      <c r="R133" s="12"/>
      <c r="S133" s="12"/>
      <c r="T133" s="12"/>
      <c r="U133" s="12"/>
      <c r="V133" s="12"/>
      <c r="W133" s="12"/>
      <c r="X133" s="12"/>
      <c r="Y133" s="12"/>
      <c r="Z133" s="12"/>
    </row>
    <row r="134" spans="1:26">
      <c r="A134" s="12"/>
      <c r="B134" s="12"/>
      <c r="C134" s="8"/>
      <c r="D134" s="8"/>
      <c r="E134" s="8"/>
      <c r="F134" s="8"/>
      <c r="G134" s="8"/>
      <c r="H134" s="8"/>
      <c r="I134" s="8"/>
      <c r="J134" s="12"/>
      <c r="K134" s="12"/>
      <c r="L134" s="12"/>
      <c r="M134" s="12"/>
      <c r="N134" s="12"/>
      <c r="O134" s="12"/>
      <c r="P134" s="12"/>
      <c r="Q134" s="12"/>
      <c r="R134" s="12"/>
      <c r="S134" s="12"/>
      <c r="T134" s="12"/>
      <c r="U134" s="12"/>
      <c r="V134" s="12"/>
      <c r="W134" s="12"/>
      <c r="X134" s="12"/>
      <c r="Y134" s="12"/>
      <c r="Z134" s="12"/>
    </row>
    <row r="135" spans="1:26">
      <c r="A135" s="12"/>
      <c r="B135" s="12"/>
      <c r="C135" s="8"/>
      <c r="D135" s="8"/>
      <c r="E135" s="8"/>
      <c r="F135" s="8"/>
      <c r="G135" s="8"/>
      <c r="H135" s="8"/>
      <c r="I135" s="8"/>
      <c r="J135" s="12"/>
      <c r="K135" s="12"/>
      <c r="L135" s="12"/>
      <c r="M135" s="12"/>
      <c r="N135" s="12"/>
      <c r="O135" s="12"/>
      <c r="P135" s="12"/>
      <c r="Q135" s="12"/>
      <c r="R135" s="12"/>
      <c r="S135" s="12"/>
      <c r="T135" s="12"/>
      <c r="U135" s="12"/>
      <c r="V135" s="12"/>
      <c r="W135" s="12"/>
      <c r="X135" s="12"/>
      <c r="Y135" s="12"/>
      <c r="Z135" s="12"/>
    </row>
    <row r="136" spans="1:26">
      <c r="A136" s="12"/>
      <c r="B136" s="12"/>
      <c r="C136" s="8"/>
      <c r="D136" s="8"/>
      <c r="E136" s="8"/>
      <c r="F136" s="8"/>
      <c r="G136" s="8"/>
      <c r="H136" s="8"/>
      <c r="I136" s="8"/>
      <c r="J136" s="12"/>
      <c r="K136" s="12"/>
      <c r="L136" s="12"/>
      <c r="M136" s="12"/>
      <c r="N136" s="12"/>
      <c r="O136" s="12"/>
      <c r="P136" s="12"/>
      <c r="Q136" s="12"/>
      <c r="R136" s="12"/>
      <c r="S136" s="12"/>
      <c r="T136" s="12"/>
      <c r="U136" s="12"/>
      <c r="V136" s="12"/>
      <c r="W136" s="12"/>
      <c r="X136" s="12"/>
      <c r="Y136" s="12"/>
      <c r="Z136" s="12"/>
    </row>
    <row r="137" spans="1:26">
      <c r="A137" s="12"/>
      <c r="B137" s="12"/>
      <c r="C137" s="8"/>
      <c r="D137" s="8"/>
      <c r="E137" s="8"/>
      <c r="F137" s="8"/>
      <c r="G137" s="8"/>
      <c r="H137" s="8"/>
      <c r="I137" s="8"/>
      <c r="J137" s="12"/>
      <c r="K137" s="12"/>
      <c r="L137" s="12"/>
      <c r="M137" s="12"/>
      <c r="N137" s="12"/>
      <c r="O137" s="12"/>
      <c r="P137" s="12"/>
      <c r="Q137" s="12"/>
      <c r="R137" s="12"/>
      <c r="S137" s="12"/>
      <c r="T137" s="12"/>
      <c r="U137" s="12"/>
      <c r="V137" s="12"/>
      <c r="W137" s="12"/>
      <c r="X137" s="12"/>
      <c r="Y137" s="12"/>
      <c r="Z137" s="12"/>
    </row>
    <row r="138" spans="1:26">
      <c r="A138" s="12"/>
      <c r="B138" s="12"/>
      <c r="C138" s="8"/>
      <c r="D138" s="8"/>
      <c r="E138" s="8"/>
      <c r="F138" s="8"/>
      <c r="G138" s="8"/>
      <c r="H138" s="8"/>
      <c r="I138" s="8"/>
      <c r="J138" s="12"/>
      <c r="K138" s="12"/>
      <c r="L138" s="12"/>
      <c r="M138" s="12"/>
      <c r="N138" s="12"/>
      <c r="O138" s="12"/>
      <c r="P138" s="12"/>
      <c r="Q138" s="12"/>
      <c r="R138" s="12"/>
      <c r="S138" s="12"/>
      <c r="T138" s="12"/>
      <c r="U138" s="12"/>
      <c r="V138" s="12"/>
      <c r="W138" s="12"/>
      <c r="X138" s="12"/>
      <c r="Y138" s="12"/>
      <c r="Z138" s="12"/>
    </row>
    <row r="139" spans="1:26">
      <c r="A139" s="12"/>
      <c r="B139" s="12"/>
      <c r="C139" s="8"/>
      <c r="D139" s="8"/>
      <c r="E139" s="8"/>
      <c r="F139" s="8"/>
      <c r="G139" s="8"/>
      <c r="H139" s="8"/>
      <c r="I139" s="8"/>
      <c r="J139" s="12"/>
      <c r="K139" s="12"/>
      <c r="L139" s="12"/>
      <c r="M139" s="12"/>
      <c r="N139" s="12"/>
      <c r="O139" s="12"/>
      <c r="P139" s="12"/>
      <c r="Q139" s="12"/>
      <c r="R139" s="12"/>
      <c r="S139" s="12"/>
      <c r="T139" s="12"/>
      <c r="U139" s="12"/>
      <c r="V139" s="12"/>
      <c r="W139" s="12"/>
      <c r="X139" s="12"/>
      <c r="Y139" s="12"/>
      <c r="Z139" s="12"/>
    </row>
    <row r="140" spans="1:26">
      <c r="A140" s="12"/>
      <c r="B140" s="12"/>
      <c r="C140" s="8"/>
      <c r="D140" s="8"/>
      <c r="E140" s="8"/>
      <c r="F140" s="8"/>
      <c r="G140" s="8"/>
      <c r="H140" s="8"/>
      <c r="I140" s="8"/>
      <c r="J140" s="12"/>
      <c r="K140" s="12"/>
      <c r="L140" s="12"/>
      <c r="M140" s="12"/>
      <c r="N140" s="12"/>
      <c r="O140" s="12"/>
      <c r="P140" s="12"/>
      <c r="Q140" s="12"/>
      <c r="R140" s="12"/>
      <c r="S140" s="12"/>
      <c r="T140" s="12"/>
      <c r="U140" s="12"/>
      <c r="V140" s="12"/>
      <c r="W140" s="12"/>
      <c r="X140" s="12"/>
      <c r="Y140" s="12"/>
      <c r="Z140" s="12"/>
    </row>
    <row r="141" spans="1:26">
      <c r="A141" s="12"/>
      <c r="B141" s="12"/>
      <c r="C141" s="8"/>
      <c r="D141" s="8"/>
      <c r="E141" s="8"/>
      <c r="F141" s="8"/>
      <c r="G141" s="8"/>
      <c r="H141" s="8"/>
      <c r="I141" s="8"/>
      <c r="J141" s="12"/>
      <c r="K141" s="12"/>
      <c r="L141" s="12"/>
      <c r="M141" s="12"/>
      <c r="N141" s="12"/>
      <c r="O141" s="12"/>
      <c r="P141" s="12"/>
      <c r="Q141" s="12"/>
      <c r="R141" s="12"/>
      <c r="S141" s="12"/>
      <c r="T141" s="12"/>
      <c r="U141" s="12"/>
      <c r="V141" s="12"/>
      <c r="W141" s="12"/>
      <c r="X141" s="12"/>
      <c r="Y141" s="12"/>
      <c r="Z141" s="12"/>
    </row>
    <row r="142" spans="1:26">
      <c r="A142" s="12"/>
      <c r="B142" s="12"/>
      <c r="C142" s="8"/>
      <c r="D142" s="8"/>
      <c r="E142" s="8"/>
      <c r="F142" s="8"/>
      <c r="G142" s="8"/>
      <c r="H142" s="8"/>
      <c r="I142" s="8"/>
      <c r="J142" s="12"/>
      <c r="K142" s="12"/>
      <c r="L142" s="12"/>
      <c r="M142" s="12"/>
      <c r="N142" s="12"/>
      <c r="O142" s="12"/>
      <c r="P142" s="12"/>
      <c r="Q142" s="12"/>
      <c r="R142" s="12"/>
      <c r="S142" s="12"/>
      <c r="T142" s="12"/>
      <c r="U142" s="12"/>
      <c r="V142" s="12"/>
      <c r="W142" s="12"/>
      <c r="X142" s="12"/>
      <c r="Y142" s="12"/>
      <c r="Z142" s="12"/>
    </row>
    <row r="143" spans="1:26">
      <c r="A143" s="12"/>
      <c r="B143" s="12"/>
      <c r="C143" s="8"/>
      <c r="D143" s="8"/>
      <c r="E143" s="8"/>
      <c r="F143" s="8"/>
      <c r="G143" s="8"/>
      <c r="H143" s="8"/>
      <c r="I143" s="8"/>
      <c r="J143" s="12"/>
      <c r="K143" s="12"/>
      <c r="L143" s="12"/>
      <c r="M143" s="12"/>
      <c r="N143" s="12"/>
      <c r="O143" s="12"/>
      <c r="P143" s="12"/>
      <c r="Q143" s="12"/>
      <c r="R143" s="12"/>
      <c r="S143" s="12"/>
      <c r="T143" s="12"/>
      <c r="U143" s="12"/>
      <c r="V143" s="12"/>
      <c r="W143" s="12"/>
      <c r="X143" s="12"/>
      <c r="Y143" s="12"/>
      <c r="Z143" s="12"/>
    </row>
    <row r="144" spans="1:26">
      <c r="A144" s="12"/>
      <c r="B144" s="12"/>
      <c r="C144" s="8"/>
      <c r="D144" s="8"/>
      <c r="E144" s="8"/>
      <c r="F144" s="8"/>
      <c r="G144" s="8"/>
      <c r="H144" s="8"/>
      <c r="I144" s="8"/>
      <c r="J144" s="12"/>
      <c r="K144" s="12"/>
      <c r="L144" s="12"/>
      <c r="M144" s="12"/>
      <c r="N144" s="12"/>
      <c r="O144" s="12"/>
      <c r="P144" s="12"/>
      <c r="Q144" s="12"/>
      <c r="R144" s="12"/>
      <c r="S144" s="12"/>
      <c r="T144" s="12"/>
      <c r="U144" s="12"/>
      <c r="V144" s="12"/>
      <c r="W144" s="12"/>
      <c r="X144" s="12"/>
      <c r="Y144" s="12"/>
      <c r="Z144" s="12"/>
    </row>
    <row r="145" spans="1:26">
      <c r="A145" s="12"/>
      <c r="B145" s="12"/>
      <c r="C145" s="8"/>
      <c r="D145" s="8"/>
      <c r="E145" s="8"/>
      <c r="F145" s="8"/>
      <c r="G145" s="8"/>
      <c r="H145" s="8"/>
      <c r="I145" s="8"/>
      <c r="J145" s="12"/>
      <c r="K145" s="12"/>
      <c r="L145" s="12"/>
      <c r="M145" s="12"/>
      <c r="N145" s="12"/>
      <c r="O145" s="12"/>
      <c r="P145" s="12"/>
      <c r="Q145" s="12"/>
      <c r="R145" s="12"/>
      <c r="S145" s="12"/>
      <c r="T145" s="12"/>
      <c r="U145" s="12"/>
      <c r="V145" s="12"/>
      <c r="W145" s="12"/>
      <c r="X145" s="12"/>
      <c r="Y145" s="12"/>
      <c r="Z145" s="12"/>
    </row>
    <row r="146" spans="1:26">
      <c r="A146" s="12"/>
      <c r="B146" s="12"/>
      <c r="C146" s="8"/>
      <c r="D146" s="8"/>
      <c r="E146" s="8"/>
      <c r="F146" s="8"/>
      <c r="G146" s="8"/>
      <c r="H146" s="8"/>
      <c r="I146" s="8"/>
      <c r="J146" s="12"/>
      <c r="K146" s="12"/>
      <c r="L146" s="12"/>
      <c r="M146" s="12"/>
      <c r="N146" s="12"/>
      <c r="O146" s="12"/>
      <c r="P146" s="12"/>
      <c r="Q146" s="12"/>
      <c r="R146" s="12"/>
      <c r="S146" s="12"/>
      <c r="T146" s="12"/>
      <c r="U146" s="12"/>
      <c r="V146" s="12"/>
      <c r="W146" s="12"/>
      <c r="X146" s="12"/>
      <c r="Y146" s="12"/>
      <c r="Z146" s="12"/>
    </row>
    <row r="147" spans="1:26">
      <c r="A147" s="12"/>
      <c r="B147" s="12"/>
      <c r="C147" s="8"/>
      <c r="D147" s="8"/>
      <c r="E147" s="8"/>
      <c r="F147" s="8"/>
      <c r="G147" s="8"/>
      <c r="H147" s="8"/>
      <c r="I147" s="8"/>
      <c r="J147" s="12"/>
      <c r="K147" s="12"/>
      <c r="L147" s="12"/>
      <c r="M147" s="12"/>
      <c r="N147" s="12"/>
      <c r="O147" s="12"/>
      <c r="P147" s="12"/>
      <c r="Q147" s="12"/>
      <c r="R147" s="12"/>
      <c r="S147" s="12"/>
      <c r="T147" s="12"/>
      <c r="U147" s="12"/>
      <c r="V147" s="12"/>
      <c r="W147" s="12"/>
      <c r="X147" s="12"/>
      <c r="Y147" s="12"/>
      <c r="Z147" s="12"/>
    </row>
    <row r="148" spans="1:26">
      <c r="A148" s="12"/>
      <c r="B148" s="12"/>
      <c r="C148" s="8"/>
      <c r="D148" s="8"/>
      <c r="E148" s="8"/>
      <c r="F148" s="8"/>
      <c r="G148" s="8"/>
      <c r="H148" s="8"/>
      <c r="I148" s="8"/>
      <c r="J148" s="12"/>
      <c r="K148" s="12"/>
      <c r="L148" s="12"/>
      <c r="M148" s="12"/>
      <c r="N148" s="12"/>
      <c r="O148" s="12"/>
      <c r="P148" s="12"/>
      <c r="Q148" s="12"/>
      <c r="R148" s="12"/>
      <c r="S148" s="12"/>
      <c r="T148" s="12"/>
      <c r="U148" s="12"/>
      <c r="V148" s="12"/>
      <c r="W148" s="12"/>
      <c r="X148" s="12"/>
      <c r="Y148" s="12"/>
      <c r="Z148" s="12"/>
    </row>
    <row r="149" spans="1:26">
      <c r="A149" s="12"/>
      <c r="B149" s="12"/>
      <c r="C149" s="8"/>
      <c r="D149" s="8"/>
      <c r="E149" s="8"/>
      <c r="F149" s="8"/>
      <c r="G149" s="8"/>
      <c r="H149" s="8"/>
      <c r="I149" s="8"/>
      <c r="J149" s="12"/>
      <c r="K149" s="12"/>
      <c r="L149" s="12"/>
      <c r="M149" s="12"/>
      <c r="N149" s="12"/>
      <c r="O149" s="12"/>
      <c r="P149" s="12"/>
      <c r="Q149" s="12"/>
      <c r="R149" s="12"/>
      <c r="S149" s="12"/>
      <c r="T149" s="12"/>
      <c r="U149" s="12"/>
      <c r="V149" s="12"/>
      <c r="W149" s="12"/>
      <c r="X149" s="12"/>
      <c r="Y149" s="12"/>
      <c r="Z149" s="12"/>
    </row>
    <row r="150" spans="1:26">
      <c r="A150" s="12"/>
      <c r="B150" s="12"/>
      <c r="C150" s="8"/>
      <c r="D150" s="8"/>
      <c r="E150" s="8"/>
      <c r="F150" s="8"/>
      <c r="G150" s="8"/>
      <c r="H150" s="8"/>
      <c r="I150" s="8"/>
      <c r="J150" s="12"/>
      <c r="K150" s="12"/>
      <c r="L150" s="12"/>
      <c r="M150" s="12"/>
      <c r="N150" s="12"/>
      <c r="O150" s="12"/>
      <c r="P150" s="12"/>
      <c r="Q150" s="12"/>
      <c r="R150" s="12"/>
      <c r="S150" s="12"/>
      <c r="T150" s="12"/>
      <c r="U150" s="12"/>
      <c r="V150" s="12"/>
      <c r="W150" s="12"/>
      <c r="X150" s="12"/>
      <c r="Y150" s="12"/>
      <c r="Z150" s="12"/>
    </row>
    <row r="151" spans="1:26">
      <c r="A151" s="12"/>
      <c r="B151" s="12"/>
      <c r="C151" s="8"/>
      <c r="D151" s="8"/>
      <c r="E151" s="8"/>
      <c r="F151" s="8"/>
      <c r="G151" s="8"/>
      <c r="H151" s="8"/>
      <c r="I151" s="8"/>
      <c r="J151" s="12"/>
      <c r="K151" s="12"/>
      <c r="L151" s="12"/>
      <c r="M151" s="12"/>
      <c r="N151" s="12"/>
      <c r="O151" s="12"/>
      <c r="P151" s="12"/>
      <c r="Q151" s="12"/>
      <c r="R151" s="12"/>
      <c r="S151" s="12"/>
      <c r="T151" s="12"/>
      <c r="U151" s="12"/>
      <c r="V151" s="12"/>
      <c r="W151" s="12"/>
      <c r="X151" s="12"/>
      <c r="Y151" s="12"/>
      <c r="Z151" s="12"/>
    </row>
    <row r="152" spans="1:26">
      <c r="A152" s="12"/>
      <c r="B152" s="12"/>
      <c r="C152" s="8"/>
      <c r="D152" s="8"/>
      <c r="E152" s="8"/>
      <c r="F152" s="8"/>
      <c r="G152" s="8"/>
      <c r="H152" s="8"/>
      <c r="I152" s="8"/>
      <c r="J152" s="12"/>
      <c r="K152" s="12"/>
      <c r="L152" s="12"/>
      <c r="M152" s="12"/>
      <c r="N152" s="12"/>
      <c r="O152" s="12"/>
      <c r="P152" s="12"/>
      <c r="Q152" s="12"/>
      <c r="R152" s="12"/>
      <c r="S152" s="12"/>
      <c r="T152" s="12"/>
      <c r="U152" s="12"/>
      <c r="V152" s="12"/>
      <c r="W152" s="12"/>
      <c r="X152" s="12"/>
      <c r="Y152" s="12"/>
      <c r="Z152" s="12"/>
    </row>
    <row r="153" spans="1:26">
      <c r="A153" s="12"/>
      <c r="B153" s="12"/>
      <c r="C153" s="8"/>
      <c r="D153" s="8"/>
      <c r="E153" s="8"/>
      <c r="F153" s="8"/>
      <c r="G153" s="8"/>
      <c r="H153" s="8"/>
      <c r="I153" s="8"/>
      <c r="J153" s="12"/>
      <c r="K153" s="12"/>
      <c r="L153" s="12"/>
      <c r="M153" s="12"/>
      <c r="N153" s="12"/>
      <c r="O153" s="12"/>
      <c r="P153" s="12"/>
      <c r="Q153" s="12"/>
      <c r="R153" s="12"/>
      <c r="S153" s="12"/>
      <c r="T153" s="12"/>
      <c r="U153" s="12"/>
      <c r="V153" s="12"/>
      <c r="W153" s="12"/>
      <c r="X153" s="12"/>
      <c r="Y153" s="12"/>
      <c r="Z153" s="12"/>
    </row>
    <row r="154" spans="1:26">
      <c r="A154" s="12"/>
      <c r="B154" s="12"/>
      <c r="C154" s="8"/>
      <c r="D154" s="8"/>
      <c r="E154" s="8"/>
      <c r="F154" s="8"/>
      <c r="G154" s="8"/>
      <c r="H154" s="8"/>
      <c r="I154" s="8"/>
      <c r="J154" s="12"/>
      <c r="K154" s="12"/>
      <c r="L154" s="12"/>
      <c r="M154" s="12"/>
      <c r="N154" s="12"/>
      <c r="O154" s="12"/>
      <c r="P154" s="12"/>
      <c r="Q154" s="12"/>
      <c r="R154" s="12"/>
      <c r="S154" s="12"/>
      <c r="T154" s="12"/>
      <c r="U154" s="12"/>
      <c r="V154" s="12"/>
      <c r="W154" s="12"/>
      <c r="X154" s="12"/>
      <c r="Y154" s="12"/>
      <c r="Z154" s="12"/>
    </row>
    <row r="155" spans="1:26">
      <c r="A155" s="12"/>
      <c r="B155" s="12"/>
      <c r="C155" s="8"/>
      <c r="D155" s="8"/>
      <c r="E155" s="8"/>
      <c r="F155" s="8"/>
      <c r="G155" s="8"/>
      <c r="H155" s="8"/>
      <c r="I155" s="8"/>
      <c r="J155" s="12"/>
      <c r="K155" s="12"/>
      <c r="L155" s="12"/>
      <c r="M155" s="12"/>
      <c r="N155" s="12"/>
      <c r="O155" s="12"/>
      <c r="P155" s="12"/>
      <c r="Q155" s="12"/>
      <c r="R155" s="12"/>
      <c r="S155" s="12"/>
      <c r="T155" s="12"/>
      <c r="U155" s="12"/>
      <c r="V155" s="12"/>
      <c r="W155" s="12"/>
      <c r="X155" s="12"/>
      <c r="Y155" s="12"/>
      <c r="Z155" s="12"/>
    </row>
    <row r="156" spans="1:26">
      <c r="A156" s="12"/>
      <c r="B156" s="12"/>
      <c r="C156" s="8"/>
      <c r="D156" s="8"/>
      <c r="E156" s="8"/>
      <c r="F156" s="8"/>
      <c r="G156" s="8"/>
      <c r="H156" s="8"/>
      <c r="I156" s="8"/>
      <c r="J156" s="12"/>
      <c r="K156" s="12"/>
      <c r="L156" s="12"/>
      <c r="M156" s="12"/>
      <c r="N156" s="12"/>
      <c r="O156" s="12"/>
      <c r="P156" s="12"/>
      <c r="Q156" s="12"/>
      <c r="R156" s="12"/>
      <c r="S156" s="12"/>
      <c r="T156" s="12"/>
      <c r="U156" s="12"/>
      <c r="V156" s="12"/>
      <c r="W156" s="12"/>
      <c r="X156" s="12"/>
      <c r="Y156" s="12"/>
      <c r="Z156" s="12"/>
    </row>
    <row r="157" spans="1:26">
      <c r="A157" s="12"/>
      <c r="B157" s="12"/>
      <c r="C157" s="8"/>
      <c r="D157" s="8"/>
      <c r="E157" s="8"/>
      <c r="F157" s="8"/>
      <c r="G157" s="8"/>
      <c r="H157" s="8"/>
      <c r="I157" s="8"/>
      <c r="J157" s="12"/>
      <c r="K157" s="12"/>
      <c r="L157" s="12"/>
      <c r="M157" s="12"/>
      <c r="N157" s="12"/>
      <c r="O157" s="12"/>
      <c r="P157" s="12"/>
      <c r="Q157" s="12"/>
      <c r="R157" s="12"/>
      <c r="S157" s="12"/>
      <c r="T157" s="12"/>
      <c r="U157" s="12"/>
      <c r="V157" s="12"/>
      <c r="W157" s="12"/>
      <c r="X157" s="12"/>
      <c r="Y157" s="12"/>
      <c r="Z157" s="12"/>
    </row>
    <row r="158" spans="1:26">
      <c r="A158" s="12"/>
      <c r="B158" s="12"/>
      <c r="C158" s="8"/>
      <c r="D158" s="8"/>
      <c r="E158" s="8"/>
      <c r="F158" s="8"/>
      <c r="G158" s="8"/>
      <c r="H158" s="8"/>
      <c r="I158" s="8"/>
      <c r="J158" s="12"/>
      <c r="K158" s="12"/>
      <c r="L158" s="12"/>
      <c r="M158" s="12"/>
      <c r="N158" s="12"/>
      <c r="O158" s="12"/>
      <c r="P158" s="12"/>
      <c r="Q158" s="12"/>
      <c r="R158" s="12"/>
      <c r="S158" s="12"/>
      <c r="T158" s="12"/>
      <c r="U158" s="12"/>
      <c r="V158" s="12"/>
      <c r="W158" s="12"/>
      <c r="X158" s="12"/>
      <c r="Y158" s="12"/>
      <c r="Z158" s="12"/>
    </row>
    <row r="159" spans="1:26">
      <c r="A159" s="12"/>
      <c r="B159" s="12"/>
      <c r="C159" s="8"/>
      <c r="D159" s="8"/>
      <c r="E159" s="8"/>
      <c r="F159" s="8"/>
      <c r="G159" s="8"/>
      <c r="H159" s="8"/>
      <c r="I159" s="8"/>
      <c r="J159" s="12"/>
      <c r="K159" s="12"/>
      <c r="L159" s="12"/>
      <c r="M159" s="12"/>
      <c r="N159" s="12"/>
      <c r="O159" s="12"/>
      <c r="P159" s="12"/>
      <c r="Q159" s="12"/>
      <c r="R159" s="12"/>
      <c r="S159" s="12"/>
      <c r="T159" s="12"/>
      <c r="U159" s="12"/>
      <c r="V159" s="12"/>
      <c r="W159" s="12"/>
      <c r="X159" s="12"/>
      <c r="Y159" s="12"/>
      <c r="Z159" s="12"/>
    </row>
    <row r="160" spans="1:26">
      <c r="A160" s="12"/>
      <c r="B160" s="12"/>
      <c r="C160" s="8"/>
      <c r="D160" s="8"/>
      <c r="E160" s="8"/>
      <c r="F160" s="8"/>
      <c r="G160" s="8"/>
      <c r="H160" s="8"/>
      <c r="I160" s="8"/>
      <c r="J160" s="12"/>
      <c r="K160" s="12"/>
      <c r="L160" s="12"/>
      <c r="M160" s="12"/>
      <c r="N160" s="12"/>
      <c r="O160" s="12"/>
      <c r="P160" s="12"/>
      <c r="Q160" s="12"/>
      <c r="R160" s="12"/>
      <c r="S160" s="12"/>
      <c r="T160" s="12"/>
      <c r="U160" s="12"/>
      <c r="V160" s="12"/>
      <c r="W160" s="12"/>
      <c r="X160" s="12"/>
      <c r="Y160" s="12"/>
      <c r="Z160" s="12"/>
    </row>
    <row r="161" spans="1:26">
      <c r="A161" s="12"/>
      <c r="B161" s="12"/>
      <c r="C161" s="8"/>
      <c r="D161" s="8"/>
      <c r="E161" s="8"/>
      <c r="F161" s="8"/>
      <c r="G161" s="8"/>
      <c r="H161" s="8"/>
      <c r="I161" s="8"/>
      <c r="J161" s="12"/>
      <c r="K161" s="12"/>
      <c r="L161" s="12"/>
      <c r="M161" s="12"/>
      <c r="N161" s="12"/>
      <c r="O161" s="12"/>
      <c r="P161" s="12"/>
      <c r="Q161" s="12"/>
      <c r="R161" s="12"/>
      <c r="S161" s="12"/>
      <c r="T161" s="12"/>
      <c r="U161" s="12"/>
      <c r="V161" s="12"/>
      <c r="W161" s="12"/>
      <c r="X161" s="12"/>
      <c r="Y161" s="12"/>
      <c r="Z161" s="12"/>
    </row>
    <row r="162" spans="1:26">
      <c r="A162" s="12"/>
      <c r="B162" s="12"/>
      <c r="C162" s="8"/>
      <c r="D162" s="8"/>
      <c r="E162" s="8"/>
      <c r="F162" s="8"/>
      <c r="G162" s="8"/>
      <c r="H162" s="8"/>
      <c r="I162" s="8"/>
      <c r="J162" s="12"/>
      <c r="K162" s="12"/>
      <c r="L162" s="12"/>
      <c r="M162" s="12"/>
      <c r="N162" s="12"/>
      <c r="O162" s="12"/>
      <c r="P162" s="12"/>
      <c r="Q162" s="12"/>
      <c r="R162" s="12"/>
      <c r="S162" s="12"/>
      <c r="T162" s="12"/>
      <c r="U162" s="12"/>
      <c r="V162" s="12"/>
      <c r="W162" s="12"/>
      <c r="X162" s="12"/>
      <c r="Y162" s="12"/>
      <c r="Z162" s="12"/>
    </row>
    <row r="163" spans="1:26">
      <c r="A163" s="12"/>
      <c r="B163" s="12"/>
      <c r="C163" s="8"/>
      <c r="D163" s="8"/>
      <c r="E163" s="8"/>
      <c r="F163" s="8"/>
      <c r="G163" s="8"/>
      <c r="H163" s="8"/>
      <c r="I163" s="8"/>
      <c r="J163" s="12"/>
      <c r="K163" s="12"/>
      <c r="L163" s="12"/>
      <c r="M163" s="12"/>
      <c r="N163" s="12"/>
      <c r="O163" s="12"/>
      <c r="P163" s="12"/>
      <c r="Q163" s="12"/>
      <c r="R163" s="12"/>
      <c r="S163" s="12"/>
      <c r="T163" s="12"/>
      <c r="U163" s="12"/>
      <c r="V163" s="12"/>
      <c r="W163" s="12"/>
      <c r="X163" s="12"/>
      <c r="Y163" s="12"/>
      <c r="Z163" s="12"/>
    </row>
    <row r="164" spans="1:26">
      <c r="A164" s="12"/>
      <c r="B164" s="12"/>
      <c r="C164" s="8"/>
      <c r="D164" s="8"/>
      <c r="E164" s="8"/>
      <c r="F164" s="8"/>
      <c r="G164" s="8"/>
      <c r="H164" s="8"/>
      <c r="I164" s="8"/>
      <c r="J164" s="12"/>
      <c r="K164" s="12"/>
      <c r="L164" s="12"/>
      <c r="M164" s="12"/>
      <c r="N164" s="12"/>
      <c r="O164" s="12"/>
      <c r="P164" s="12"/>
      <c r="Q164" s="12"/>
      <c r="R164" s="12"/>
      <c r="S164" s="12"/>
      <c r="T164" s="12"/>
      <c r="U164" s="12"/>
      <c r="V164" s="12"/>
      <c r="W164" s="12"/>
      <c r="X164" s="12"/>
      <c r="Y164" s="12"/>
      <c r="Z164" s="12"/>
    </row>
    <row r="165" spans="1:26">
      <c r="A165" s="12"/>
      <c r="B165" s="12"/>
      <c r="C165" s="8"/>
      <c r="D165" s="8"/>
      <c r="E165" s="8"/>
      <c r="F165" s="8"/>
      <c r="G165" s="8"/>
      <c r="H165" s="8"/>
      <c r="I165" s="8"/>
      <c r="J165" s="12"/>
      <c r="K165" s="12"/>
      <c r="L165" s="12"/>
      <c r="M165" s="12"/>
      <c r="N165" s="12"/>
      <c r="O165" s="12"/>
      <c r="P165" s="12"/>
      <c r="Q165" s="12"/>
      <c r="R165" s="12"/>
      <c r="S165" s="12"/>
      <c r="T165" s="12"/>
      <c r="U165" s="12"/>
      <c r="V165" s="12"/>
      <c r="W165" s="12"/>
      <c r="X165" s="12"/>
      <c r="Y165" s="12"/>
      <c r="Z165" s="12"/>
    </row>
    <row r="166" spans="1:26">
      <c r="A166" s="12"/>
      <c r="B166" s="12"/>
      <c r="C166" s="8"/>
      <c r="D166" s="8"/>
      <c r="E166" s="8"/>
      <c r="F166" s="8"/>
      <c r="G166" s="8"/>
      <c r="H166" s="8"/>
      <c r="I166" s="8"/>
      <c r="J166" s="12"/>
      <c r="K166" s="12"/>
      <c r="L166" s="12"/>
      <c r="M166" s="12"/>
      <c r="N166" s="12"/>
      <c r="O166" s="12"/>
      <c r="P166" s="12"/>
      <c r="Q166" s="12"/>
      <c r="R166" s="12"/>
      <c r="S166" s="12"/>
      <c r="T166" s="12"/>
      <c r="U166" s="12"/>
      <c r="V166" s="12"/>
      <c r="W166" s="12"/>
      <c r="X166" s="12"/>
      <c r="Y166" s="12"/>
      <c r="Z166" s="12"/>
    </row>
    <row r="167" spans="1:26">
      <c r="A167" s="12"/>
      <c r="B167" s="12"/>
      <c r="C167" s="8"/>
      <c r="D167" s="8"/>
      <c r="E167" s="8"/>
      <c r="F167" s="8"/>
      <c r="G167" s="8"/>
      <c r="H167" s="8"/>
      <c r="I167" s="8"/>
      <c r="J167" s="12"/>
      <c r="K167" s="12"/>
      <c r="L167" s="12"/>
      <c r="M167" s="12"/>
      <c r="N167" s="12"/>
      <c r="O167" s="12"/>
      <c r="P167" s="12"/>
      <c r="Q167" s="12"/>
      <c r="R167" s="12"/>
      <c r="S167" s="12"/>
      <c r="T167" s="12"/>
      <c r="U167" s="12"/>
      <c r="V167" s="12"/>
      <c r="W167" s="12"/>
      <c r="X167" s="12"/>
      <c r="Y167" s="12"/>
      <c r="Z167" s="12"/>
    </row>
    <row r="168" spans="1:26">
      <c r="A168" s="12"/>
      <c r="B168" s="12"/>
      <c r="C168" s="8"/>
      <c r="D168" s="8"/>
      <c r="E168" s="8"/>
      <c r="F168" s="8"/>
      <c r="G168" s="8"/>
      <c r="H168" s="8"/>
      <c r="I168" s="8"/>
      <c r="J168" s="12"/>
      <c r="K168" s="12"/>
      <c r="L168" s="12"/>
      <c r="M168" s="12"/>
      <c r="N168" s="12"/>
      <c r="O168" s="12"/>
      <c r="P168" s="12"/>
      <c r="Q168" s="12"/>
      <c r="R168" s="12"/>
      <c r="S168" s="12"/>
      <c r="T168" s="12"/>
      <c r="U168" s="12"/>
      <c r="V168" s="12"/>
      <c r="W168" s="12"/>
      <c r="X168" s="12"/>
      <c r="Y168" s="12"/>
      <c r="Z168" s="12"/>
    </row>
    <row r="169" spans="1:26">
      <c r="A169" s="12"/>
      <c r="B169" s="12"/>
      <c r="C169" s="8"/>
      <c r="D169" s="8"/>
      <c r="E169" s="8"/>
      <c r="F169" s="8"/>
      <c r="G169" s="8"/>
      <c r="H169" s="8"/>
      <c r="I169" s="8"/>
      <c r="J169" s="12"/>
      <c r="K169" s="12"/>
      <c r="L169" s="12"/>
      <c r="M169" s="12"/>
      <c r="N169" s="12"/>
      <c r="O169" s="12"/>
      <c r="P169" s="12"/>
      <c r="Q169" s="12"/>
      <c r="R169" s="12"/>
      <c r="S169" s="12"/>
      <c r="T169" s="12"/>
      <c r="U169" s="12"/>
      <c r="V169" s="12"/>
      <c r="W169" s="12"/>
      <c r="X169" s="12"/>
      <c r="Y169" s="12"/>
      <c r="Z169" s="12"/>
    </row>
    <row r="170" spans="1:26">
      <c r="A170" s="12"/>
      <c r="B170" s="12"/>
      <c r="C170" s="8"/>
      <c r="D170" s="8"/>
      <c r="E170" s="8"/>
      <c r="F170" s="8"/>
      <c r="G170" s="8"/>
      <c r="H170" s="8"/>
      <c r="I170" s="8"/>
      <c r="J170" s="12"/>
      <c r="K170" s="12"/>
      <c r="L170" s="12"/>
      <c r="M170" s="12"/>
      <c r="N170" s="12"/>
      <c r="O170" s="12"/>
      <c r="P170" s="12"/>
      <c r="Q170" s="12"/>
      <c r="R170" s="12"/>
      <c r="S170" s="12"/>
      <c r="T170" s="12"/>
      <c r="U170" s="12"/>
      <c r="V170" s="12"/>
      <c r="W170" s="12"/>
      <c r="X170" s="12"/>
      <c r="Y170" s="12"/>
      <c r="Z170" s="12"/>
    </row>
    <row r="171" spans="1:26">
      <c r="A171" s="12"/>
      <c r="B171" s="12"/>
      <c r="C171" s="8"/>
      <c r="D171" s="8"/>
      <c r="E171" s="8"/>
      <c r="F171" s="8"/>
      <c r="G171" s="8"/>
      <c r="H171" s="8"/>
      <c r="I171" s="8"/>
      <c r="J171" s="12"/>
      <c r="K171" s="12"/>
      <c r="L171" s="12"/>
      <c r="M171" s="12"/>
      <c r="N171" s="12"/>
      <c r="O171" s="12"/>
      <c r="P171" s="12"/>
      <c r="Q171" s="12"/>
      <c r="R171" s="12"/>
      <c r="S171" s="12"/>
      <c r="T171" s="12"/>
      <c r="U171" s="12"/>
      <c r="V171" s="12"/>
      <c r="W171" s="12"/>
      <c r="X171" s="12"/>
      <c r="Y171" s="12"/>
      <c r="Z171" s="12"/>
    </row>
    <row r="172" spans="1:26">
      <c r="A172" s="12"/>
      <c r="B172" s="12"/>
      <c r="C172" s="8"/>
      <c r="D172" s="8"/>
      <c r="E172" s="8"/>
      <c r="F172" s="8"/>
      <c r="G172" s="8"/>
      <c r="H172" s="8"/>
      <c r="I172" s="8"/>
      <c r="J172" s="12"/>
      <c r="K172" s="12"/>
      <c r="L172" s="12"/>
      <c r="M172" s="12"/>
      <c r="N172" s="12"/>
      <c r="O172" s="12"/>
      <c r="P172" s="12"/>
      <c r="Q172" s="12"/>
      <c r="R172" s="12"/>
      <c r="S172" s="12"/>
      <c r="T172" s="12"/>
      <c r="U172" s="12"/>
      <c r="V172" s="12"/>
      <c r="W172" s="12"/>
      <c r="X172" s="12"/>
      <c r="Y172" s="12"/>
      <c r="Z172" s="12"/>
    </row>
    <row r="173" spans="1:26">
      <c r="A173" s="12"/>
      <c r="B173" s="12"/>
      <c r="C173" s="8"/>
      <c r="D173" s="8"/>
      <c r="E173" s="8"/>
      <c r="F173" s="8"/>
      <c r="G173" s="8"/>
      <c r="H173" s="8"/>
      <c r="I173" s="8"/>
      <c r="J173" s="12"/>
      <c r="K173" s="12"/>
      <c r="L173" s="12"/>
      <c r="M173" s="12"/>
      <c r="N173" s="12"/>
      <c r="O173" s="12"/>
      <c r="P173" s="12"/>
      <c r="Q173" s="12"/>
      <c r="R173" s="12"/>
      <c r="S173" s="12"/>
      <c r="T173" s="12"/>
      <c r="U173" s="12"/>
      <c r="V173" s="12"/>
      <c r="W173" s="12"/>
      <c r="X173" s="12"/>
      <c r="Y173" s="12"/>
      <c r="Z173" s="12"/>
    </row>
    <row r="174" spans="1:26">
      <c r="A174" s="12"/>
      <c r="B174" s="12"/>
      <c r="C174" s="8"/>
      <c r="D174" s="8"/>
      <c r="E174" s="8"/>
      <c r="F174" s="8"/>
      <c r="G174" s="8"/>
      <c r="H174" s="8"/>
      <c r="I174" s="8"/>
      <c r="J174" s="12"/>
      <c r="K174" s="12"/>
      <c r="L174" s="12"/>
      <c r="M174" s="12"/>
      <c r="N174" s="12"/>
      <c r="O174" s="12"/>
      <c r="P174" s="12"/>
      <c r="Q174" s="12"/>
      <c r="R174" s="12"/>
      <c r="S174" s="12"/>
      <c r="T174" s="12"/>
      <c r="U174" s="12"/>
      <c r="V174" s="12"/>
      <c r="W174" s="12"/>
      <c r="X174" s="12"/>
      <c r="Y174" s="12"/>
      <c r="Z174" s="12"/>
    </row>
    <row r="175" spans="1:26">
      <c r="A175" s="12"/>
      <c r="B175" s="12"/>
      <c r="C175" s="8"/>
      <c r="D175" s="8"/>
      <c r="E175" s="8"/>
      <c r="F175" s="8"/>
      <c r="G175" s="8"/>
      <c r="H175" s="8"/>
      <c r="I175" s="8"/>
      <c r="J175" s="12"/>
      <c r="K175" s="12"/>
      <c r="L175" s="12"/>
      <c r="M175" s="12"/>
      <c r="N175" s="12"/>
      <c r="O175" s="12"/>
      <c r="P175" s="12"/>
      <c r="Q175" s="12"/>
      <c r="R175" s="12"/>
      <c r="S175" s="12"/>
      <c r="T175" s="12"/>
      <c r="U175" s="12"/>
      <c r="V175" s="12"/>
      <c r="W175" s="12"/>
      <c r="X175" s="12"/>
      <c r="Y175" s="12"/>
      <c r="Z175" s="12"/>
    </row>
    <row r="176" spans="1:26">
      <c r="A176" s="12"/>
      <c r="B176" s="12"/>
      <c r="C176" s="8"/>
      <c r="D176" s="8"/>
      <c r="E176" s="8"/>
      <c r="F176" s="8"/>
      <c r="G176" s="8"/>
      <c r="H176" s="8"/>
      <c r="I176" s="8"/>
      <c r="J176" s="12"/>
      <c r="K176" s="12"/>
      <c r="L176" s="12"/>
      <c r="M176" s="12"/>
      <c r="N176" s="12"/>
      <c r="O176" s="12"/>
      <c r="P176" s="12"/>
      <c r="Q176" s="12"/>
      <c r="R176" s="12"/>
      <c r="S176" s="12"/>
      <c r="T176" s="12"/>
      <c r="U176" s="12"/>
      <c r="V176" s="12"/>
      <c r="W176" s="12"/>
      <c r="X176" s="12"/>
      <c r="Y176" s="12"/>
      <c r="Z176" s="12"/>
    </row>
    <row r="177" spans="1:26">
      <c r="A177" s="12"/>
      <c r="B177" s="12"/>
      <c r="C177" s="8"/>
      <c r="D177" s="8"/>
      <c r="E177" s="8"/>
      <c r="F177" s="8"/>
      <c r="G177" s="8"/>
      <c r="H177" s="8"/>
      <c r="I177" s="8"/>
      <c r="J177" s="12"/>
      <c r="K177" s="12"/>
      <c r="L177" s="12"/>
      <c r="M177" s="12"/>
      <c r="N177" s="12"/>
      <c r="O177" s="12"/>
      <c r="P177" s="12"/>
      <c r="Q177" s="12"/>
      <c r="R177" s="12"/>
      <c r="S177" s="12"/>
      <c r="T177" s="12"/>
      <c r="U177" s="12"/>
      <c r="V177" s="12"/>
      <c r="W177" s="12"/>
      <c r="X177" s="12"/>
      <c r="Y177" s="12"/>
      <c r="Z177" s="12"/>
    </row>
    <row r="178" spans="1:26">
      <c r="A178" s="12"/>
      <c r="B178" s="12"/>
      <c r="C178" s="8"/>
      <c r="D178" s="8"/>
      <c r="E178" s="8"/>
      <c r="F178" s="8"/>
      <c r="G178" s="8"/>
      <c r="H178" s="8"/>
      <c r="I178" s="8"/>
      <c r="J178" s="12"/>
      <c r="K178" s="12"/>
      <c r="L178" s="12"/>
      <c r="M178" s="12"/>
      <c r="N178" s="12"/>
      <c r="O178" s="12"/>
      <c r="P178" s="12"/>
      <c r="Q178" s="12"/>
      <c r="R178" s="12"/>
      <c r="S178" s="12"/>
      <c r="T178" s="12"/>
      <c r="U178" s="12"/>
      <c r="V178" s="12"/>
      <c r="W178" s="12"/>
      <c r="X178" s="12"/>
      <c r="Y178" s="12"/>
      <c r="Z178" s="12"/>
    </row>
    <row r="179" spans="1:26">
      <c r="A179" s="12"/>
      <c r="B179" s="12"/>
      <c r="C179" s="8"/>
      <c r="D179" s="8"/>
      <c r="E179" s="8"/>
      <c r="F179" s="8"/>
      <c r="G179" s="8"/>
      <c r="H179" s="8"/>
      <c r="I179" s="8"/>
      <c r="J179" s="12"/>
      <c r="K179" s="12"/>
      <c r="L179" s="12"/>
      <c r="M179" s="12"/>
      <c r="N179" s="12"/>
      <c r="O179" s="12"/>
      <c r="P179" s="12"/>
      <c r="Q179" s="12"/>
      <c r="R179" s="12"/>
      <c r="S179" s="12"/>
      <c r="T179" s="12"/>
      <c r="U179" s="12"/>
      <c r="V179" s="12"/>
      <c r="W179" s="12"/>
      <c r="X179" s="12"/>
      <c r="Y179" s="12"/>
      <c r="Z179" s="12"/>
    </row>
    <row r="180" spans="1:26">
      <c r="A180" s="12"/>
      <c r="B180" s="12"/>
      <c r="C180" s="8"/>
      <c r="D180" s="8"/>
      <c r="E180" s="8"/>
      <c r="F180" s="8"/>
      <c r="G180" s="8"/>
      <c r="H180" s="8"/>
      <c r="I180" s="8"/>
      <c r="J180" s="12"/>
      <c r="K180" s="12"/>
      <c r="L180" s="12"/>
      <c r="M180" s="12"/>
      <c r="N180" s="12"/>
      <c r="O180" s="12"/>
      <c r="P180" s="12"/>
      <c r="Q180" s="12"/>
      <c r="R180" s="12"/>
      <c r="S180" s="12"/>
      <c r="T180" s="12"/>
      <c r="U180" s="12"/>
      <c r="V180" s="12"/>
      <c r="W180" s="12"/>
      <c r="X180" s="12"/>
      <c r="Y180" s="12"/>
      <c r="Z180" s="12"/>
    </row>
    <row r="181" spans="1:26">
      <c r="A181" s="12"/>
      <c r="B181" s="12"/>
      <c r="C181" s="8"/>
      <c r="D181" s="8"/>
      <c r="E181" s="8"/>
      <c r="F181" s="8"/>
      <c r="G181" s="8"/>
      <c r="H181" s="8"/>
      <c r="I181" s="8"/>
      <c r="J181" s="12"/>
      <c r="K181" s="12"/>
      <c r="L181" s="12"/>
      <c r="M181" s="12"/>
      <c r="N181" s="12"/>
      <c r="O181" s="12"/>
      <c r="P181" s="12"/>
      <c r="Q181" s="12"/>
      <c r="R181" s="12"/>
      <c r="S181" s="12"/>
      <c r="T181" s="12"/>
      <c r="U181" s="12"/>
      <c r="V181" s="12"/>
      <c r="W181" s="12"/>
      <c r="X181" s="12"/>
      <c r="Y181" s="12"/>
      <c r="Z181" s="12"/>
    </row>
    <row r="182" spans="1:26">
      <c r="A182" s="12"/>
      <c r="B182" s="12"/>
      <c r="C182" s="8"/>
      <c r="D182" s="8"/>
      <c r="E182" s="8"/>
      <c r="F182" s="8"/>
      <c r="G182" s="8"/>
      <c r="H182" s="8"/>
      <c r="I182" s="8"/>
      <c r="J182" s="12"/>
      <c r="K182" s="12"/>
      <c r="L182" s="12"/>
      <c r="M182" s="12"/>
      <c r="N182" s="12"/>
      <c r="O182" s="12"/>
      <c r="P182" s="12"/>
      <c r="Q182" s="12"/>
      <c r="R182" s="12"/>
      <c r="S182" s="12"/>
      <c r="T182" s="12"/>
      <c r="U182" s="12"/>
      <c r="V182" s="12"/>
      <c r="W182" s="12"/>
      <c r="X182" s="12"/>
      <c r="Y182" s="12"/>
      <c r="Z182" s="12"/>
    </row>
    <row r="183" spans="1:26">
      <c r="A183" s="12"/>
      <c r="B183" s="12"/>
      <c r="C183" s="8"/>
      <c r="D183" s="8"/>
      <c r="E183" s="8"/>
      <c r="F183" s="8"/>
      <c r="G183" s="8"/>
      <c r="H183" s="8"/>
      <c r="I183" s="8"/>
      <c r="J183" s="12"/>
      <c r="K183" s="12"/>
      <c r="L183" s="12"/>
      <c r="M183" s="12"/>
      <c r="N183" s="12"/>
      <c r="O183" s="12"/>
      <c r="P183" s="12"/>
      <c r="Q183" s="12"/>
      <c r="R183" s="12"/>
      <c r="S183" s="12"/>
      <c r="T183" s="12"/>
      <c r="U183" s="12"/>
      <c r="V183" s="12"/>
      <c r="W183" s="12"/>
      <c r="X183" s="12"/>
      <c r="Y183" s="12"/>
      <c r="Z183" s="12"/>
    </row>
    <row r="184" spans="1:26">
      <c r="A184" s="12"/>
      <c r="B184" s="12"/>
      <c r="C184" s="8"/>
      <c r="D184" s="8"/>
      <c r="E184" s="8"/>
      <c r="F184" s="8"/>
      <c r="G184" s="8"/>
      <c r="H184" s="8"/>
      <c r="I184" s="8"/>
      <c r="J184" s="12"/>
      <c r="K184" s="12"/>
      <c r="L184" s="12"/>
      <c r="M184" s="12"/>
      <c r="N184" s="12"/>
      <c r="O184" s="12"/>
      <c r="P184" s="12"/>
      <c r="Q184" s="12"/>
      <c r="R184" s="12"/>
      <c r="S184" s="12"/>
      <c r="T184" s="12"/>
      <c r="U184" s="12"/>
      <c r="V184" s="12"/>
      <c r="W184" s="12"/>
      <c r="X184" s="12"/>
      <c r="Y184" s="12"/>
      <c r="Z184" s="12"/>
    </row>
    <row r="185" spans="1:26">
      <c r="A185" s="12"/>
      <c r="B185" s="12"/>
      <c r="C185" s="8"/>
      <c r="D185" s="8"/>
      <c r="E185" s="8"/>
      <c r="F185" s="8"/>
      <c r="G185" s="8"/>
      <c r="H185" s="8"/>
      <c r="I185" s="8"/>
      <c r="J185" s="12"/>
      <c r="K185" s="12"/>
      <c r="L185" s="12"/>
      <c r="M185" s="12"/>
      <c r="N185" s="12"/>
      <c r="O185" s="12"/>
      <c r="P185" s="12"/>
      <c r="Q185" s="12"/>
      <c r="R185" s="12"/>
      <c r="S185" s="12"/>
      <c r="T185" s="12"/>
      <c r="U185" s="12"/>
      <c r="V185" s="12"/>
      <c r="W185" s="12"/>
      <c r="X185" s="12"/>
      <c r="Y185" s="12"/>
      <c r="Z185" s="12"/>
    </row>
    <row r="186" spans="1:26">
      <c r="A186" s="12"/>
      <c r="B186" s="12"/>
      <c r="C186" s="8"/>
      <c r="D186" s="8"/>
      <c r="E186" s="8"/>
      <c r="F186" s="8"/>
      <c r="G186" s="8"/>
      <c r="H186" s="8"/>
      <c r="I186" s="8"/>
      <c r="J186" s="12"/>
      <c r="K186" s="12"/>
      <c r="L186" s="12"/>
      <c r="M186" s="12"/>
      <c r="N186" s="12"/>
      <c r="O186" s="12"/>
      <c r="P186" s="12"/>
      <c r="Q186" s="12"/>
      <c r="R186" s="12"/>
      <c r="S186" s="12"/>
      <c r="T186" s="12"/>
      <c r="U186" s="12"/>
      <c r="V186" s="12"/>
      <c r="W186" s="12"/>
      <c r="X186" s="12"/>
      <c r="Y186" s="12"/>
      <c r="Z186" s="12"/>
    </row>
    <row r="187" spans="1:26">
      <c r="C187" s="2"/>
      <c r="D187" s="2"/>
      <c r="E187" s="2"/>
      <c r="F187" s="2"/>
      <c r="G187" s="2"/>
      <c r="H187" s="2"/>
      <c r="I187" s="2"/>
    </row>
    <row r="188" spans="1:26">
      <c r="C188" s="2"/>
      <c r="D188" s="2"/>
      <c r="E188" s="2"/>
      <c r="F188" s="2"/>
      <c r="G188" s="2"/>
      <c r="H188" s="2"/>
      <c r="I188" s="2"/>
    </row>
    <row r="189" spans="1:26">
      <c r="C189" s="2"/>
      <c r="D189" s="2"/>
      <c r="E189" s="2"/>
      <c r="F189" s="2"/>
      <c r="G189" s="2"/>
      <c r="H189" s="2"/>
      <c r="I189" s="2"/>
    </row>
    <row r="190" spans="1:26">
      <c r="C190" s="2"/>
      <c r="D190" s="2"/>
      <c r="E190" s="2"/>
      <c r="F190" s="2"/>
      <c r="G190" s="2"/>
      <c r="H190" s="2"/>
      <c r="I190" s="2"/>
    </row>
    <row r="191" spans="1:26">
      <c r="C191" s="2"/>
      <c r="D191" s="2"/>
      <c r="E191" s="2"/>
      <c r="F191" s="2"/>
      <c r="G191" s="2"/>
      <c r="H191" s="2"/>
      <c r="I191" s="2"/>
    </row>
    <row r="192" spans="1:26">
      <c r="C192" s="2"/>
      <c r="D192" s="2"/>
      <c r="E192" s="2"/>
      <c r="F192" s="2"/>
      <c r="G192" s="2"/>
      <c r="H192" s="2"/>
      <c r="I192" s="2"/>
    </row>
    <row r="193" spans="3:9">
      <c r="C193" s="2"/>
      <c r="D193" s="2"/>
      <c r="E193" s="2"/>
      <c r="F193" s="2"/>
      <c r="G193" s="2"/>
      <c r="H193" s="2"/>
      <c r="I193" s="2"/>
    </row>
    <row r="194" spans="3:9">
      <c r="C194" s="2"/>
      <c r="D194" s="2"/>
      <c r="E194" s="2"/>
      <c r="F194" s="2"/>
      <c r="G194" s="2"/>
      <c r="H194" s="2"/>
      <c r="I194" s="2"/>
    </row>
    <row r="195" spans="3:9">
      <c r="C195" s="2"/>
      <c r="D195" s="2"/>
      <c r="E195" s="2"/>
      <c r="F195" s="2"/>
      <c r="G195" s="2"/>
      <c r="H195" s="2"/>
      <c r="I195" s="2"/>
    </row>
    <row r="196" spans="3:9">
      <c r="C196" s="2"/>
      <c r="D196" s="2"/>
      <c r="E196" s="2"/>
      <c r="F196" s="2"/>
      <c r="G196" s="2"/>
      <c r="H196" s="2"/>
      <c r="I196" s="2"/>
    </row>
    <row r="197" spans="3:9">
      <c r="C197" s="2"/>
      <c r="D197" s="2"/>
      <c r="E197" s="2"/>
      <c r="F197" s="2"/>
      <c r="G197" s="2"/>
      <c r="H197" s="2"/>
      <c r="I197" s="2"/>
    </row>
    <row r="198" spans="3:9">
      <c r="C198" s="2"/>
      <c r="D198" s="2"/>
      <c r="E198" s="2"/>
      <c r="F198" s="2"/>
      <c r="G198" s="2"/>
      <c r="H198" s="2"/>
      <c r="I198" s="2"/>
    </row>
    <row r="199" spans="3:9">
      <c r="C199" s="2"/>
      <c r="D199" s="2"/>
      <c r="E199" s="2"/>
      <c r="F199" s="2"/>
      <c r="G199" s="2"/>
      <c r="H199" s="2"/>
      <c r="I199" s="2"/>
    </row>
    <row r="200" spans="3:9">
      <c r="C200" s="2"/>
      <c r="D200" s="2"/>
      <c r="E200" s="2"/>
      <c r="F200" s="2"/>
      <c r="G200" s="2"/>
      <c r="H200" s="2"/>
      <c r="I200" s="2"/>
    </row>
    <row r="201" spans="3:9">
      <c r="C201" s="2"/>
      <c r="D201" s="2"/>
      <c r="E201" s="2"/>
      <c r="F201" s="2"/>
      <c r="G201" s="2"/>
      <c r="H201" s="2"/>
      <c r="I201" s="2"/>
    </row>
    <row r="202" spans="3:9">
      <c r="C202" s="2"/>
      <c r="D202" s="2"/>
      <c r="E202" s="2"/>
      <c r="F202" s="2"/>
      <c r="G202" s="2"/>
      <c r="H202" s="2"/>
      <c r="I202" s="2"/>
    </row>
    <row r="203" spans="3:9">
      <c r="C203" s="2"/>
      <c r="D203" s="2"/>
      <c r="E203" s="2"/>
      <c r="F203" s="2"/>
      <c r="G203" s="2"/>
      <c r="H203" s="2"/>
      <c r="I203" s="2"/>
    </row>
    <row r="204" spans="3:9">
      <c r="C204" s="2"/>
      <c r="D204" s="2"/>
      <c r="E204" s="2"/>
      <c r="F204" s="2"/>
      <c r="G204" s="2"/>
      <c r="H204" s="2"/>
      <c r="I204" s="2"/>
    </row>
    <row r="205" spans="3:9">
      <c r="C205" s="2"/>
      <c r="D205" s="2"/>
      <c r="E205" s="2"/>
      <c r="F205" s="2"/>
      <c r="G205" s="2"/>
      <c r="H205" s="2"/>
      <c r="I205" s="2"/>
    </row>
    <row r="206" spans="3:9">
      <c r="C206" s="2"/>
      <c r="D206" s="2"/>
      <c r="E206" s="2"/>
      <c r="F206" s="2"/>
      <c r="G206" s="2"/>
      <c r="H206" s="2"/>
      <c r="I206" s="2"/>
    </row>
    <row r="207" spans="3:9">
      <c r="C207" s="2"/>
      <c r="D207" s="2"/>
      <c r="E207" s="2"/>
      <c r="F207" s="2"/>
      <c r="G207" s="2"/>
      <c r="H207" s="2"/>
      <c r="I207" s="2"/>
    </row>
    <row r="208" spans="3:9">
      <c r="C208" s="2"/>
      <c r="D208" s="2"/>
      <c r="E208" s="2"/>
      <c r="F208" s="2"/>
      <c r="G208" s="2"/>
      <c r="H208" s="2"/>
      <c r="I208" s="2"/>
    </row>
    <row r="209" spans="3:9">
      <c r="C209" s="2"/>
      <c r="D209" s="2"/>
      <c r="E209" s="2"/>
      <c r="F209" s="2"/>
      <c r="G209" s="2"/>
      <c r="H209" s="2"/>
      <c r="I209" s="2"/>
    </row>
    <row r="210" spans="3:9">
      <c r="C210" s="2"/>
      <c r="D210" s="2"/>
      <c r="E210" s="2"/>
      <c r="F210" s="2"/>
      <c r="G210" s="2"/>
      <c r="H210" s="2"/>
      <c r="I210" s="2"/>
    </row>
    <row r="211" spans="3:9">
      <c r="C211" s="2"/>
      <c r="D211" s="2"/>
      <c r="E211" s="2"/>
      <c r="F211" s="2"/>
      <c r="G211" s="2"/>
      <c r="H211" s="2"/>
      <c r="I211" s="2"/>
    </row>
    <row r="212" spans="3:9">
      <c r="C212" s="2"/>
      <c r="D212" s="2"/>
      <c r="E212" s="2"/>
      <c r="F212" s="2"/>
      <c r="G212" s="2"/>
      <c r="H212" s="2"/>
      <c r="I212" s="2"/>
    </row>
    <row r="213" spans="3:9">
      <c r="C213" s="2"/>
      <c r="D213" s="2"/>
      <c r="E213" s="2"/>
      <c r="F213" s="2"/>
      <c r="G213" s="2"/>
      <c r="H213" s="2"/>
      <c r="I213" s="2"/>
    </row>
    <row r="214" spans="3:9">
      <c r="C214" s="2"/>
      <c r="D214" s="2"/>
      <c r="E214" s="2"/>
      <c r="F214" s="2"/>
      <c r="G214" s="2"/>
      <c r="H214" s="2"/>
      <c r="I214" s="2"/>
    </row>
    <row r="215" spans="3:9">
      <c r="C215" s="2"/>
      <c r="D215" s="2"/>
      <c r="E215" s="2"/>
      <c r="F215" s="2"/>
      <c r="G215" s="2"/>
      <c r="H215" s="2"/>
      <c r="I215" s="2"/>
    </row>
    <row r="216" spans="3:9">
      <c r="C216" s="2"/>
      <c r="D216" s="2"/>
      <c r="E216" s="2"/>
      <c r="F216" s="2"/>
      <c r="G216" s="2"/>
      <c r="H216" s="2"/>
      <c r="I216" s="2"/>
    </row>
    <row r="217" spans="3:9">
      <c r="C217" s="2"/>
      <c r="D217" s="2"/>
      <c r="E217" s="2"/>
      <c r="F217" s="2"/>
      <c r="G217" s="2"/>
      <c r="H217" s="2"/>
      <c r="I217" s="2"/>
    </row>
    <row r="218" spans="3:9">
      <c r="C218" s="2"/>
      <c r="D218" s="2"/>
      <c r="E218" s="2"/>
      <c r="F218" s="2"/>
      <c r="G218" s="2"/>
      <c r="H218" s="2"/>
      <c r="I218" s="2"/>
    </row>
    <row r="219" spans="3:9">
      <c r="C219" s="2"/>
      <c r="D219" s="2"/>
      <c r="E219" s="2"/>
      <c r="F219" s="2"/>
      <c r="G219" s="2"/>
      <c r="H219" s="2"/>
      <c r="I219" s="2"/>
    </row>
    <row r="220" spans="3:9">
      <c r="C220" s="2"/>
      <c r="D220" s="2"/>
      <c r="E220" s="2"/>
      <c r="F220" s="2"/>
      <c r="G220" s="2"/>
      <c r="H220" s="2"/>
      <c r="I220" s="2"/>
    </row>
    <row r="221" spans="3:9">
      <c r="C221" s="2"/>
      <c r="D221" s="2"/>
      <c r="E221" s="2"/>
      <c r="F221" s="2"/>
      <c r="G221" s="2"/>
      <c r="H221" s="2"/>
      <c r="I221" s="2"/>
    </row>
    <row r="222" spans="3:9">
      <c r="C222" s="2"/>
      <c r="D222" s="2"/>
      <c r="E222" s="2"/>
      <c r="F222" s="2"/>
      <c r="G222" s="2"/>
      <c r="H222" s="2"/>
      <c r="I222" s="2"/>
    </row>
    <row r="223" spans="3:9">
      <c r="C223" s="2"/>
      <c r="D223" s="2"/>
      <c r="E223" s="2"/>
      <c r="F223" s="2"/>
      <c r="G223" s="2"/>
      <c r="H223" s="2"/>
      <c r="I223" s="2"/>
    </row>
    <row r="224" spans="3:9">
      <c r="C224" s="2"/>
      <c r="D224" s="2"/>
      <c r="E224" s="2"/>
      <c r="F224" s="2"/>
      <c r="G224" s="2"/>
      <c r="H224" s="2"/>
      <c r="I224" s="2"/>
    </row>
    <row r="225" spans="3:9">
      <c r="C225" s="2"/>
      <c r="D225" s="2"/>
      <c r="E225" s="2"/>
      <c r="F225" s="2"/>
      <c r="G225" s="2"/>
      <c r="H225" s="2"/>
      <c r="I225" s="2"/>
    </row>
    <row r="226" spans="3:9">
      <c r="C226" s="2"/>
      <c r="D226" s="2"/>
      <c r="E226" s="2"/>
      <c r="F226" s="2"/>
      <c r="G226" s="2"/>
      <c r="H226" s="2"/>
      <c r="I226" s="2"/>
    </row>
    <row r="227" spans="3:9">
      <c r="C227" s="2"/>
      <c r="D227" s="2"/>
      <c r="E227" s="2"/>
      <c r="F227" s="2"/>
      <c r="G227" s="2"/>
      <c r="H227" s="2"/>
      <c r="I227" s="2"/>
    </row>
    <row r="228" spans="3:9">
      <c r="C228" s="2"/>
      <c r="D228" s="2"/>
      <c r="E228" s="2"/>
      <c r="F228" s="2"/>
      <c r="G228" s="2"/>
      <c r="H228" s="2"/>
      <c r="I228" s="2"/>
    </row>
    <row r="229" spans="3:9">
      <c r="C229" s="2"/>
      <c r="D229" s="2"/>
      <c r="E229" s="2"/>
      <c r="F229" s="2"/>
      <c r="G229" s="2"/>
      <c r="H229" s="2"/>
      <c r="I229" s="2"/>
    </row>
    <row r="230" spans="3:9">
      <c r="C230" s="2"/>
      <c r="D230" s="2"/>
      <c r="E230" s="2"/>
      <c r="F230" s="2"/>
      <c r="G230" s="2"/>
      <c r="H230" s="2"/>
      <c r="I230" s="2"/>
    </row>
    <row r="231" spans="3:9">
      <c r="C231" s="2"/>
      <c r="D231" s="2"/>
      <c r="E231" s="2"/>
      <c r="F231" s="2"/>
      <c r="G231" s="2"/>
      <c r="H231" s="2"/>
      <c r="I231" s="2"/>
    </row>
    <row r="232" spans="3:9">
      <c r="C232" s="2"/>
      <c r="D232" s="2"/>
      <c r="E232" s="2"/>
      <c r="F232" s="2"/>
      <c r="G232" s="2"/>
      <c r="H232" s="2"/>
      <c r="I232" s="2"/>
    </row>
    <row r="233" spans="3:9">
      <c r="C233" s="2"/>
      <c r="D233" s="2"/>
      <c r="E233" s="2"/>
      <c r="F233" s="2"/>
      <c r="G233" s="2"/>
      <c r="H233" s="2"/>
      <c r="I233" s="2"/>
    </row>
    <row r="234" spans="3:9">
      <c r="C234" s="2"/>
      <c r="D234" s="2"/>
      <c r="E234" s="2"/>
      <c r="F234" s="2"/>
      <c r="G234" s="2"/>
      <c r="H234" s="2"/>
      <c r="I234" s="2"/>
    </row>
    <row r="235" spans="3:9">
      <c r="C235" s="2"/>
      <c r="D235" s="2"/>
      <c r="E235" s="2"/>
      <c r="F235" s="2"/>
      <c r="G235" s="2"/>
      <c r="H235" s="2"/>
      <c r="I235" s="2"/>
    </row>
    <row r="236" spans="3:9">
      <c r="C236" s="2"/>
      <c r="D236" s="2"/>
      <c r="E236" s="2"/>
      <c r="F236" s="2"/>
      <c r="G236" s="2"/>
      <c r="H236" s="2"/>
      <c r="I236" s="2"/>
    </row>
    <row r="237" spans="3:9">
      <c r="C237" s="2"/>
      <c r="D237" s="2"/>
      <c r="E237" s="2"/>
      <c r="F237" s="2"/>
      <c r="G237" s="2"/>
      <c r="H237" s="2"/>
      <c r="I237" s="2"/>
    </row>
    <row r="238" spans="3:9">
      <c r="C238" s="2"/>
      <c r="D238" s="2"/>
      <c r="E238" s="2"/>
      <c r="F238" s="2"/>
      <c r="G238" s="2"/>
      <c r="H238" s="2"/>
      <c r="I238" s="2"/>
    </row>
    <row r="239" spans="3:9">
      <c r="C239" s="2"/>
      <c r="D239" s="2"/>
      <c r="E239" s="2"/>
      <c r="F239" s="2"/>
      <c r="G239" s="2"/>
      <c r="H239" s="2"/>
      <c r="I239" s="2"/>
    </row>
    <row r="240" spans="3:9">
      <c r="C240" s="2"/>
      <c r="D240" s="2"/>
      <c r="E240" s="2"/>
      <c r="F240" s="2"/>
      <c r="G240" s="2"/>
      <c r="H240" s="2"/>
      <c r="I240" s="2"/>
    </row>
    <row r="241" spans="3:9">
      <c r="C241" s="2"/>
      <c r="D241" s="2"/>
      <c r="E241" s="2"/>
      <c r="F241" s="2"/>
      <c r="G241" s="2"/>
      <c r="H241" s="2"/>
      <c r="I241" s="2"/>
    </row>
    <row r="242" spans="3:9">
      <c r="C242" s="2"/>
      <c r="D242" s="2"/>
      <c r="E242" s="2"/>
      <c r="F242" s="2"/>
      <c r="G242" s="2"/>
      <c r="H242" s="2"/>
      <c r="I242" s="2"/>
    </row>
    <row r="243" spans="3:9">
      <c r="C243" s="2"/>
      <c r="D243" s="2"/>
      <c r="E243" s="2"/>
      <c r="F243" s="2"/>
      <c r="G243" s="2"/>
      <c r="H243" s="2"/>
      <c r="I243" s="2"/>
    </row>
    <row r="244" spans="3:9">
      <c r="C244" s="2"/>
      <c r="D244" s="2"/>
      <c r="E244" s="2"/>
      <c r="F244" s="2"/>
      <c r="G244" s="2"/>
      <c r="H244" s="2"/>
      <c r="I244" s="2"/>
    </row>
    <row r="245" spans="3:9">
      <c r="C245" s="2"/>
      <c r="D245" s="2"/>
      <c r="E245" s="2"/>
      <c r="F245" s="2"/>
      <c r="G245" s="2"/>
      <c r="H245" s="2"/>
      <c r="I245" s="2"/>
    </row>
    <row r="246" spans="3:9">
      <c r="C246" s="2"/>
      <c r="D246" s="2"/>
      <c r="E246" s="2"/>
      <c r="F246" s="2"/>
      <c r="G246" s="2"/>
      <c r="H246" s="2"/>
      <c r="I246" s="2"/>
    </row>
    <row r="247" spans="3:9">
      <c r="C247" s="2"/>
      <c r="D247" s="2"/>
      <c r="E247" s="2"/>
      <c r="F247" s="2"/>
      <c r="G247" s="2"/>
      <c r="H247" s="2"/>
      <c r="I247" s="2"/>
    </row>
    <row r="248" spans="3:9">
      <c r="C248" s="2"/>
      <c r="D248" s="2"/>
      <c r="E248" s="2"/>
      <c r="F248" s="2"/>
      <c r="G248" s="2"/>
      <c r="H248" s="2"/>
      <c r="I248" s="2"/>
    </row>
    <row r="249" spans="3:9">
      <c r="C249" s="2"/>
      <c r="D249" s="2"/>
      <c r="E249" s="2"/>
      <c r="F249" s="2"/>
      <c r="G249" s="2"/>
      <c r="H249" s="2"/>
      <c r="I249" s="2"/>
    </row>
    <row r="250" spans="3:9">
      <c r="C250" s="2"/>
      <c r="D250" s="2"/>
      <c r="E250" s="2"/>
      <c r="F250" s="2"/>
      <c r="G250" s="2"/>
      <c r="H250" s="2"/>
      <c r="I250" s="2"/>
    </row>
    <row r="251" spans="3:9">
      <c r="C251" s="2"/>
      <c r="D251" s="2"/>
      <c r="E251" s="2"/>
      <c r="F251" s="2"/>
      <c r="G251" s="2"/>
      <c r="H251" s="2"/>
      <c r="I251" s="2"/>
    </row>
    <row r="252" spans="3:9">
      <c r="C252" s="2"/>
      <c r="D252" s="2"/>
      <c r="E252" s="2"/>
      <c r="F252" s="2"/>
      <c r="G252" s="2"/>
      <c r="H252" s="2"/>
      <c r="I252" s="2"/>
    </row>
    <row r="253" spans="3:9">
      <c r="C253" s="2"/>
      <c r="D253" s="2"/>
      <c r="E253" s="2"/>
      <c r="F253" s="2"/>
      <c r="G253" s="2"/>
      <c r="H253" s="2"/>
      <c r="I253" s="2"/>
    </row>
    <row r="254" spans="3:9">
      <c r="C254" s="2"/>
      <c r="D254" s="2"/>
      <c r="E254" s="2"/>
      <c r="F254" s="2"/>
      <c r="G254" s="2"/>
      <c r="H254" s="2"/>
      <c r="I254" s="2"/>
    </row>
    <row r="255" spans="3:9">
      <c r="C255" s="2"/>
      <c r="D255" s="2"/>
      <c r="E255" s="2"/>
      <c r="F255" s="2"/>
      <c r="G255" s="2"/>
      <c r="H255" s="2"/>
      <c r="I255" s="2"/>
    </row>
    <row r="256" spans="3:9">
      <c r="C256" s="2"/>
      <c r="D256" s="2"/>
      <c r="E256" s="2"/>
      <c r="F256" s="2"/>
      <c r="G256" s="2"/>
      <c r="H256" s="2"/>
      <c r="I256" s="2"/>
    </row>
    <row r="257" spans="3:9">
      <c r="C257" s="2"/>
      <c r="D257" s="2"/>
      <c r="E257" s="2"/>
      <c r="F257" s="2"/>
      <c r="G257" s="2"/>
      <c r="H257" s="2"/>
      <c r="I257" s="2"/>
    </row>
    <row r="258" spans="3:9">
      <c r="C258" s="2"/>
      <c r="D258" s="2"/>
      <c r="E258" s="2"/>
      <c r="F258" s="2"/>
      <c r="G258" s="2"/>
      <c r="H258" s="2"/>
      <c r="I258" s="2"/>
    </row>
    <row r="259" spans="3:9">
      <c r="C259" s="2"/>
      <c r="D259" s="2"/>
      <c r="E259" s="2"/>
      <c r="F259" s="2"/>
      <c r="G259" s="2"/>
      <c r="H259" s="2"/>
      <c r="I259" s="2"/>
    </row>
    <row r="260" spans="3:9">
      <c r="C260" s="2"/>
      <c r="D260" s="2"/>
      <c r="E260" s="2"/>
      <c r="F260" s="2"/>
      <c r="G260" s="2"/>
      <c r="H260" s="2"/>
      <c r="I260" s="2"/>
    </row>
    <row r="261" spans="3:9">
      <c r="C261" s="2"/>
      <c r="D261" s="2"/>
      <c r="E261" s="2"/>
      <c r="F261" s="2"/>
      <c r="G261" s="2"/>
      <c r="H261" s="2"/>
      <c r="I261" s="2"/>
    </row>
    <row r="262" spans="3:9">
      <c r="C262" s="2"/>
      <c r="D262" s="2"/>
      <c r="E262" s="2"/>
      <c r="F262" s="2"/>
      <c r="G262" s="2"/>
      <c r="H262" s="2"/>
      <c r="I262" s="2"/>
    </row>
    <row r="263" spans="3:9">
      <c r="C263" s="2"/>
      <c r="D263" s="2"/>
      <c r="E263" s="2"/>
      <c r="F263" s="2"/>
      <c r="G263" s="2"/>
      <c r="H263" s="2"/>
      <c r="I263" s="2"/>
    </row>
    <row r="264" spans="3:9">
      <c r="C264" s="2"/>
      <c r="D264" s="2"/>
      <c r="E264" s="2"/>
      <c r="F264" s="2"/>
      <c r="G264" s="2"/>
      <c r="H264" s="2"/>
      <c r="I264" s="2"/>
    </row>
    <row r="265" spans="3:9">
      <c r="C265" s="2"/>
      <c r="D265" s="2"/>
      <c r="E265" s="2"/>
      <c r="F265" s="2"/>
      <c r="G265" s="2"/>
      <c r="H265" s="2"/>
      <c r="I265" s="2"/>
    </row>
    <row r="266" spans="3:9">
      <c r="C266" s="2"/>
      <c r="D266" s="2"/>
      <c r="E266" s="2"/>
      <c r="F266" s="2"/>
      <c r="G266" s="2"/>
      <c r="H266" s="2"/>
      <c r="I266" s="2"/>
    </row>
    <row r="267" spans="3:9">
      <c r="C267" s="2"/>
      <c r="D267" s="2"/>
      <c r="E267" s="2"/>
      <c r="F267" s="2"/>
      <c r="G267" s="2"/>
      <c r="H267" s="2"/>
      <c r="I267" s="2"/>
    </row>
    <row r="268" spans="3:9">
      <c r="C268" s="2"/>
      <c r="D268" s="2"/>
      <c r="E268" s="2"/>
      <c r="F268" s="2"/>
      <c r="G268" s="2"/>
      <c r="H268" s="2"/>
      <c r="I268" s="2"/>
    </row>
    <row r="269" spans="3:9">
      <c r="C269" s="2"/>
      <c r="D269" s="2"/>
      <c r="E269" s="2"/>
      <c r="F269" s="2"/>
      <c r="G269" s="2"/>
      <c r="H269" s="2"/>
      <c r="I269" s="2"/>
    </row>
    <row r="270" spans="3:9">
      <c r="C270" s="2"/>
      <c r="D270" s="2"/>
      <c r="E270" s="2"/>
      <c r="F270" s="2"/>
      <c r="G270" s="2"/>
      <c r="H270" s="2"/>
      <c r="I270" s="2"/>
    </row>
    <row r="271" spans="3:9">
      <c r="C271" s="2"/>
      <c r="D271" s="2"/>
      <c r="E271" s="2"/>
      <c r="F271" s="2"/>
      <c r="G271" s="2"/>
      <c r="H271" s="2"/>
      <c r="I271" s="2"/>
    </row>
    <row r="272" spans="3:9">
      <c r="C272" s="2"/>
      <c r="D272" s="2"/>
      <c r="E272" s="2"/>
      <c r="F272" s="2"/>
      <c r="G272" s="2"/>
      <c r="H272" s="2"/>
      <c r="I272" s="2"/>
    </row>
    <row r="273" spans="3:9">
      <c r="C273" s="2"/>
      <c r="D273" s="2"/>
      <c r="E273" s="2"/>
      <c r="F273" s="2"/>
      <c r="G273" s="2"/>
      <c r="H273" s="2"/>
      <c r="I273" s="2"/>
    </row>
    <row r="274" spans="3:9">
      <c r="C274" s="2"/>
      <c r="D274" s="2"/>
      <c r="E274" s="2"/>
      <c r="F274" s="2"/>
      <c r="G274" s="2"/>
      <c r="H274" s="2"/>
      <c r="I274" s="2"/>
    </row>
    <row r="275" spans="3:9">
      <c r="C275" s="2"/>
      <c r="D275" s="2"/>
      <c r="E275" s="2"/>
      <c r="F275" s="2"/>
      <c r="G275" s="2"/>
      <c r="H275" s="2"/>
      <c r="I275" s="2"/>
    </row>
    <row r="276" spans="3:9">
      <c r="C276" s="2"/>
      <c r="D276" s="2"/>
      <c r="E276" s="2"/>
      <c r="F276" s="2"/>
      <c r="G276" s="2"/>
      <c r="H276" s="2"/>
      <c r="I276" s="2"/>
    </row>
    <row r="277" spans="3:9">
      <c r="C277" s="2"/>
      <c r="D277" s="2"/>
      <c r="E277" s="2"/>
      <c r="F277" s="2"/>
      <c r="G277" s="2"/>
      <c r="H277" s="2"/>
      <c r="I277" s="2"/>
    </row>
    <row r="278" spans="3:9">
      <c r="C278" s="2"/>
      <c r="D278" s="2"/>
      <c r="E278" s="2"/>
      <c r="F278" s="2"/>
      <c r="G278" s="2"/>
      <c r="H278" s="2"/>
      <c r="I278" s="2"/>
    </row>
    <row r="279" spans="3:9">
      <c r="C279" s="2"/>
      <c r="D279" s="2"/>
      <c r="E279" s="2"/>
      <c r="F279" s="2"/>
      <c r="G279" s="2"/>
      <c r="H279" s="2"/>
      <c r="I279" s="2"/>
    </row>
    <row r="280" spans="3:9">
      <c r="C280" s="2"/>
      <c r="D280" s="2"/>
      <c r="E280" s="2"/>
      <c r="F280" s="2"/>
      <c r="G280" s="2"/>
      <c r="H280" s="2"/>
      <c r="I280" s="2"/>
    </row>
    <row r="281" spans="3:9">
      <c r="C281" s="2"/>
      <c r="D281" s="2"/>
      <c r="E281" s="2"/>
      <c r="F281" s="2"/>
      <c r="G281" s="2"/>
      <c r="H281" s="2"/>
      <c r="I281" s="2"/>
    </row>
    <row r="282" spans="3:9">
      <c r="C282" s="2"/>
      <c r="D282" s="2"/>
      <c r="E282" s="2"/>
      <c r="F282" s="2"/>
      <c r="G282" s="2"/>
      <c r="H282" s="2"/>
      <c r="I282" s="2"/>
    </row>
    <row r="283" spans="3:9">
      <c r="C283" s="2"/>
      <c r="D283" s="2"/>
      <c r="E283" s="2"/>
      <c r="F283" s="2"/>
      <c r="G283" s="2"/>
      <c r="H283" s="2"/>
      <c r="I283" s="2"/>
    </row>
    <row r="284" spans="3:9">
      <c r="C284" s="2"/>
      <c r="D284" s="2"/>
      <c r="E284" s="2"/>
      <c r="F284" s="2"/>
      <c r="G284" s="2"/>
      <c r="H284" s="2"/>
      <c r="I284" s="2"/>
    </row>
    <row r="285" spans="3:9">
      <c r="C285" s="2"/>
      <c r="D285" s="2"/>
      <c r="E285" s="2"/>
      <c r="F285" s="2"/>
      <c r="G285" s="2"/>
      <c r="H285" s="2"/>
      <c r="I285" s="2"/>
    </row>
    <row r="286" spans="3:9">
      <c r="C286" s="2"/>
      <c r="D286" s="2"/>
      <c r="E286" s="2"/>
      <c r="F286" s="2"/>
      <c r="G286" s="2"/>
      <c r="H286" s="2"/>
      <c r="I286" s="2"/>
    </row>
    <row r="287" spans="3:9">
      <c r="C287" s="2"/>
      <c r="D287" s="2"/>
      <c r="E287" s="2"/>
      <c r="F287" s="2"/>
      <c r="G287" s="2"/>
      <c r="H287" s="2"/>
      <c r="I287" s="2"/>
    </row>
    <row r="288" spans="3:9">
      <c r="C288" s="2"/>
      <c r="D288" s="2"/>
      <c r="E288" s="2"/>
      <c r="F288" s="2"/>
      <c r="G288" s="2"/>
      <c r="H288" s="2"/>
      <c r="I288" s="2"/>
    </row>
    <row r="289" spans="3:9">
      <c r="C289" s="2"/>
      <c r="D289" s="2"/>
      <c r="E289" s="2"/>
      <c r="F289" s="2"/>
      <c r="G289" s="2"/>
      <c r="H289" s="2"/>
      <c r="I289" s="2"/>
    </row>
    <row r="290" spans="3:9">
      <c r="C290" s="2"/>
      <c r="D290" s="2"/>
      <c r="E290" s="2"/>
      <c r="F290" s="2"/>
      <c r="G290" s="2"/>
      <c r="H290" s="2"/>
      <c r="I290" s="2"/>
    </row>
    <row r="291" spans="3:9">
      <c r="C291" s="2"/>
      <c r="D291" s="2"/>
      <c r="E291" s="2"/>
      <c r="F291" s="2"/>
      <c r="G291" s="2"/>
      <c r="H291" s="2"/>
      <c r="I291" s="2"/>
    </row>
    <row r="292" spans="3:9">
      <c r="C292" s="2"/>
      <c r="D292" s="2"/>
      <c r="E292" s="2"/>
      <c r="F292" s="2"/>
      <c r="G292" s="2"/>
      <c r="H292" s="2"/>
      <c r="I292" s="2"/>
    </row>
    <row r="293" spans="3:9">
      <c r="C293" s="2"/>
      <c r="D293" s="2"/>
      <c r="E293" s="2"/>
      <c r="F293" s="2"/>
      <c r="G293" s="2"/>
      <c r="H293" s="2"/>
      <c r="I293" s="2"/>
    </row>
    <row r="294" spans="3:9">
      <c r="C294" s="2"/>
      <c r="D294" s="2"/>
      <c r="E294" s="2"/>
      <c r="F294" s="2"/>
      <c r="G294" s="2"/>
      <c r="H294" s="2"/>
      <c r="I294" s="2"/>
    </row>
    <row r="295" spans="3:9">
      <c r="C295" s="2"/>
      <c r="D295" s="2"/>
      <c r="E295" s="2"/>
      <c r="F295" s="2"/>
      <c r="G295" s="2"/>
      <c r="H295" s="2"/>
      <c r="I295" s="2"/>
    </row>
    <row r="296" spans="3:9">
      <c r="C296" s="2"/>
      <c r="D296" s="2"/>
      <c r="E296" s="2"/>
      <c r="F296" s="2"/>
      <c r="G296" s="2"/>
      <c r="H296" s="2"/>
      <c r="I296" s="2"/>
    </row>
    <row r="297" spans="3:9">
      <c r="C297" s="2"/>
      <c r="D297" s="2"/>
      <c r="E297" s="2"/>
      <c r="F297" s="2"/>
      <c r="G297" s="2"/>
      <c r="H297" s="2"/>
      <c r="I297" s="2"/>
    </row>
    <row r="298" spans="3:9">
      <c r="C298" s="2"/>
      <c r="D298" s="2"/>
      <c r="E298" s="2"/>
      <c r="F298" s="2"/>
      <c r="G298" s="2"/>
      <c r="H298" s="2"/>
      <c r="I298" s="2"/>
    </row>
    <row r="299" spans="3:9">
      <c r="C299" s="2"/>
      <c r="D299" s="2"/>
      <c r="E299" s="2"/>
      <c r="F299" s="2"/>
      <c r="G299" s="2"/>
      <c r="H299" s="2"/>
      <c r="I299" s="2"/>
    </row>
    <row r="300" spans="3:9">
      <c r="C300" s="2"/>
      <c r="D300" s="2"/>
      <c r="E300" s="2"/>
      <c r="F300" s="2"/>
      <c r="G300" s="2"/>
      <c r="H300" s="2"/>
      <c r="I300" s="2"/>
    </row>
    <row r="301" spans="3:9">
      <c r="C301" s="2"/>
      <c r="D301" s="2"/>
      <c r="E301" s="2"/>
      <c r="F301" s="2"/>
      <c r="G301" s="2"/>
      <c r="H301" s="2"/>
      <c r="I301" s="2"/>
    </row>
    <row r="302" spans="3:9">
      <c r="C302" s="2"/>
      <c r="D302" s="2"/>
      <c r="E302" s="2"/>
      <c r="F302" s="2"/>
      <c r="G302" s="2"/>
      <c r="H302" s="2"/>
      <c r="I302" s="2"/>
    </row>
    <row r="303" spans="3:9">
      <c r="C303" s="2"/>
      <c r="D303" s="2"/>
      <c r="E303" s="2"/>
      <c r="F303" s="2"/>
      <c r="G303" s="2"/>
      <c r="H303" s="2"/>
      <c r="I303" s="2"/>
    </row>
    <row r="304" spans="3:9">
      <c r="C304" s="2"/>
      <c r="D304" s="2"/>
      <c r="E304" s="2"/>
      <c r="F304" s="2"/>
      <c r="G304" s="2"/>
      <c r="H304" s="2"/>
      <c r="I304" s="2"/>
    </row>
    <row r="305" spans="3:9">
      <c r="C305" s="2"/>
      <c r="D305" s="2"/>
      <c r="E305" s="2"/>
      <c r="F305" s="2"/>
      <c r="G305" s="2"/>
      <c r="H305" s="2"/>
      <c r="I305" s="2"/>
    </row>
    <row r="306" spans="3:9">
      <c r="C306" s="2"/>
      <c r="D306" s="2"/>
      <c r="E306" s="2"/>
      <c r="F306" s="2"/>
      <c r="G306" s="2"/>
      <c r="H306" s="2"/>
      <c r="I306" s="2"/>
    </row>
    <row r="307" spans="3:9">
      <c r="C307" s="2"/>
      <c r="D307" s="2"/>
      <c r="E307" s="2"/>
      <c r="F307" s="2"/>
      <c r="G307" s="2"/>
      <c r="H307" s="2"/>
      <c r="I307" s="2"/>
    </row>
    <row r="308" spans="3:9">
      <c r="C308" s="2"/>
      <c r="D308" s="2"/>
      <c r="E308" s="2"/>
      <c r="F308" s="2"/>
      <c r="G308" s="2"/>
      <c r="H308" s="2"/>
      <c r="I308" s="2"/>
    </row>
    <row r="309" spans="3:9">
      <c r="C309" s="2"/>
      <c r="D309" s="2"/>
      <c r="E309" s="2"/>
      <c r="F309" s="2"/>
      <c r="G309" s="2"/>
      <c r="H309" s="2"/>
      <c r="I309" s="2"/>
    </row>
    <row r="310" spans="3:9">
      <c r="C310" s="2"/>
      <c r="D310" s="2"/>
      <c r="E310" s="2"/>
      <c r="F310" s="2"/>
      <c r="G310" s="2"/>
      <c r="H310" s="2"/>
      <c r="I310" s="2"/>
    </row>
    <row r="311" spans="3:9">
      <c r="C311" s="2"/>
      <c r="D311" s="2"/>
      <c r="E311" s="2"/>
      <c r="F311" s="2"/>
      <c r="G311" s="2"/>
      <c r="H311" s="2"/>
      <c r="I311" s="2"/>
    </row>
    <row r="312" spans="3:9">
      <c r="C312" s="2"/>
      <c r="D312" s="2"/>
      <c r="E312" s="2"/>
      <c r="F312" s="2"/>
      <c r="G312" s="2"/>
      <c r="H312" s="2"/>
      <c r="I312" s="2"/>
    </row>
    <row r="313" spans="3:9">
      <c r="C313" s="2"/>
      <c r="D313" s="2"/>
      <c r="E313" s="2"/>
      <c r="F313" s="2"/>
      <c r="G313" s="2"/>
      <c r="H313" s="2"/>
      <c r="I313" s="2"/>
    </row>
    <row r="314" spans="3:9">
      <c r="C314" s="2"/>
      <c r="D314" s="2"/>
      <c r="E314" s="2"/>
      <c r="F314" s="2"/>
      <c r="G314" s="2"/>
      <c r="H314" s="2"/>
      <c r="I314" s="2"/>
    </row>
    <row r="315" spans="3:9">
      <c r="C315" s="2"/>
      <c r="D315" s="2"/>
      <c r="E315" s="2"/>
      <c r="F315" s="2"/>
      <c r="G315" s="2"/>
      <c r="H315" s="2"/>
      <c r="I315" s="2"/>
    </row>
    <row r="316" spans="3:9">
      <c r="C316" s="2"/>
      <c r="D316" s="2"/>
      <c r="E316" s="2"/>
      <c r="F316" s="2"/>
      <c r="G316" s="2"/>
      <c r="H316" s="2"/>
      <c r="I316" s="2"/>
    </row>
    <row r="317" spans="3:9">
      <c r="C317" s="2"/>
      <c r="D317" s="2"/>
      <c r="E317" s="2"/>
      <c r="F317" s="2"/>
      <c r="G317" s="2"/>
      <c r="H317" s="2"/>
      <c r="I317" s="2"/>
    </row>
    <row r="318" spans="3:9">
      <c r="C318" s="2"/>
      <c r="D318" s="2"/>
      <c r="E318" s="2"/>
      <c r="F318" s="2"/>
      <c r="G318" s="2"/>
      <c r="H318" s="2"/>
      <c r="I318" s="2"/>
    </row>
    <row r="319" spans="3:9">
      <c r="C319" s="2"/>
      <c r="D319" s="2"/>
      <c r="E319" s="2"/>
      <c r="F319" s="2"/>
      <c r="G319" s="2"/>
      <c r="H319" s="2"/>
      <c r="I319" s="2"/>
    </row>
    <row r="320" spans="3:9">
      <c r="C320" s="2"/>
      <c r="D320" s="2"/>
      <c r="E320" s="2"/>
      <c r="F320" s="2"/>
      <c r="G320" s="2"/>
      <c r="H320" s="2"/>
      <c r="I320" s="2"/>
    </row>
    <row r="321" spans="3:9">
      <c r="C321" s="2"/>
      <c r="D321" s="2"/>
      <c r="E321" s="2"/>
      <c r="F321" s="2"/>
      <c r="G321" s="2"/>
      <c r="H321" s="2"/>
      <c r="I321" s="2"/>
    </row>
    <row r="322" spans="3:9">
      <c r="C322" s="2"/>
      <c r="D322" s="2"/>
      <c r="E322" s="2"/>
      <c r="F322" s="2"/>
      <c r="G322" s="2"/>
      <c r="H322" s="2"/>
      <c r="I322" s="2"/>
    </row>
    <row r="323" spans="3:9">
      <c r="C323" s="2"/>
      <c r="D323" s="2"/>
      <c r="E323" s="2"/>
      <c r="F323" s="2"/>
      <c r="G323" s="2"/>
      <c r="H323" s="2"/>
      <c r="I323" s="2"/>
    </row>
    <row r="324" spans="3:9">
      <c r="C324" s="2"/>
      <c r="D324" s="2"/>
      <c r="E324" s="2"/>
      <c r="F324" s="2"/>
      <c r="G324" s="2"/>
      <c r="H324" s="2"/>
      <c r="I324" s="2"/>
    </row>
    <row r="325" spans="3:9">
      <c r="C325" s="2"/>
      <c r="D325" s="2"/>
      <c r="E325" s="2"/>
      <c r="F325" s="2"/>
      <c r="G325" s="2"/>
      <c r="H325" s="2"/>
      <c r="I325" s="2"/>
    </row>
    <row r="326" spans="3:9">
      <c r="C326" s="2"/>
      <c r="D326" s="2"/>
      <c r="E326" s="2"/>
      <c r="F326" s="2"/>
      <c r="G326" s="2"/>
      <c r="H326" s="2"/>
      <c r="I326" s="2"/>
    </row>
    <row r="327" spans="3:9">
      <c r="C327" s="2"/>
      <c r="D327" s="2"/>
      <c r="E327" s="2"/>
      <c r="F327" s="2"/>
      <c r="G327" s="2"/>
      <c r="H327" s="2"/>
      <c r="I327" s="2"/>
    </row>
    <row r="328" spans="3:9">
      <c r="C328" s="2"/>
      <c r="D328" s="2"/>
      <c r="E328" s="2"/>
      <c r="F328" s="2"/>
      <c r="G328" s="2"/>
      <c r="H328" s="2"/>
      <c r="I328" s="2"/>
    </row>
    <row r="329" spans="3:9">
      <c r="C329" s="2"/>
      <c r="D329" s="2"/>
      <c r="E329" s="2"/>
      <c r="F329" s="2"/>
      <c r="G329" s="2"/>
      <c r="H329" s="2"/>
      <c r="I329" s="2"/>
    </row>
    <row r="330" spans="3:9">
      <c r="C330" s="2"/>
      <c r="D330" s="2"/>
      <c r="E330" s="2"/>
      <c r="F330" s="2"/>
      <c r="G330" s="2"/>
      <c r="H330" s="2"/>
      <c r="I330" s="2"/>
    </row>
    <row r="331" spans="3:9">
      <c r="C331" s="2"/>
      <c r="D331" s="2"/>
      <c r="E331" s="2"/>
      <c r="F331" s="2"/>
      <c r="G331" s="2"/>
      <c r="H331" s="2"/>
      <c r="I331" s="2"/>
    </row>
    <row r="332" spans="3:9">
      <c r="C332" s="2"/>
      <c r="D332" s="2"/>
      <c r="E332" s="2"/>
      <c r="F332" s="2"/>
      <c r="G332" s="2"/>
      <c r="H332" s="2"/>
      <c r="I332" s="2"/>
    </row>
    <row r="333" spans="3:9">
      <c r="C333" s="2"/>
      <c r="D333" s="2"/>
      <c r="E333" s="2"/>
      <c r="F333" s="2"/>
      <c r="G333" s="2"/>
      <c r="H333" s="2"/>
      <c r="I333" s="2"/>
    </row>
    <row r="334" spans="3:9">
      <c r="C334" s="2"/>
      <c r="D334" s="2"/>
      <c r="E334" s="2"/>
      <c r="F334" s="2"/>
      <c r="G334" s="2"/>
      <c r="H334" s="2"/>
      <c r="I334" s="2"/>
    </row>
    <row r="335" spans="3:9">
      <c r="C335" s="2"/>
      <c r="D335" s="2"/>
      <c r="E335" s="2"/>
      <c r="F335" s="2"/>
      <c r="G335" s="2"/>
      <c r="H335" s="2"/>
      <c r="I335" s="2"/>
    </row>
    <row r="336" spans="3:9">
      <c r="C336" s="2"/>
      <c r="D336" s="2"/>
      <c r="E336" s="2"/>
      <c r="F336" s="2"/>
      <c r="G336" s="2"/>
      <c r="H336" s="2"/>
      <c r="I336" s="2"/>
    </row>
    <row r="337" spans="3:9">
      <c r="C337" s="2"/>
      <c r="D337" s="2"/>
      <c r="E337" s="2"/>
      <c r="F337" s="2"/>
      <c r="G337" s="2"/>
      <c r="H337" s="2"/>
      <c r="I337" s="2"/>
    </row>
    <row r="338" spans="3:9">
      <c r="C338" s="2"/>
      <c r="D338" s="2"/>
      <c r="E338" s="2"/>
      <c r="F338" s="2"/>
      <c r="G338" s="2"/>
      <c r="H338" s="2"/>
      <c r="I338" s="2"/>
    </row>
    <row r="339" spans="3:9">
      <c r="C339" s="2"/>
      <c r="D339" s="2"/>
      <c r="E339" s="2"/>
      <c r="F339" s="2"/>
      <c r="G339" s="2"/>
      <c r="H339" s="2"/>
      <c r="I339" s="2"/>
    </row>
    <row r="340" spans="3:9">
      <c r="C340" s="2"/>
      <c r="D340" s="2"/>
      <c r="E340" s="2"/>
      <c r="F340" s="2"/>
      <c r="G340" s="2"/>
      <c r="H340" s="2"/>
      <c r="I340" s="2"/>
    </row>
    <row r="341" spans="3:9">
      <c r="C341" s="2"/>
      <c r="D341" s="2"/>
      <c r="E341" s="2"/>
      <c r="F341" s="2"/>
      <c r="G341" s="2"/>
      <c r="H341" s="2"/>
      <c r="I341" s="2"/>
    </row>
    <row r="342" spans="3:9">
      <c r="C342" s="2"/>
      <c r="D342" s="2"/>
      <c r="E342" s="2"/>
      <c r="F342" s="2"/>
      <c r="G342" s="2"/>
      <c r="H342" s="2"/>
      <c r="I342" s="2"/>
    </row>
    <row r="343" spans="3:9">
      <c r="C343" s="2"/>
      <c r="D343" s="2"/>
      <c r="E343" s="2"/>
      <c r="F343" s="2"/>
      <c r="G343" s="2"/>
      <c r="H343" s="2"/>
      <c r="I343" s="2"/>
    </row>
    <row r="344" spans="3:9">
      <c r="C344" s="2"/>
      <c r="D344" s="2"/>
      <c r="E344" s="2"/>
      <c r="F344" s="2"/>
      <c r="G344" s="2"/>
      <c r="H344" s="2"/>
      <c r="I344" s="2"/>
    </row>
    <row r="345" spans="3:9">
      <c r="C345" s="2"/>
      <c r="D345" s="2"/>
      <c r="E345" s="2"/>
      <c r="F345" s="2"/>
      <c r="G345" s="2"/>
      <c r="H345" s="2"/>
      <c r="I345" s="2"/>
    </row>
    <row r="346" spans="3:9">
      <c r="C346" s="2"/>
      <c r="D346" s="2"/>
      <c r="E346" s="2"/>
      <c r="F346" s="2"/>
      <c r="G346" s="2"/>
      <c r="H346" s="2"/>
      <c r="I346" s="2"/>
    </row>
    <row r="347" spans="3:9">
      <c r="C347" s="2"/>
      <c r="D347" s="2"/>
      <c r="E347" s="2"/>
      <c r="F347" s="2"/>
      <c r="G347" s="2"/>
      <c r="H347" s="2"/>
      <c r="I347" s="2"/>
    </row>
    <row r="348" spans="3:9">
      <c r="C348" s="2"/>
      <c r="D348" s="2"/>
      <c r="E348" s="2"/>
      <c r="F348" s="2"/>
      <c r="G348" s="2"/>
      <c r="H348" s="2"/>
      <c r="I348" s="2"/>
    </row>
    <row r="349" spans="3:9">
      <c r="C349" s="2"/>
      <c r="D349" s="2"/>
      <c r="E349" s="2"/>
      <c r="F349" s="2"/>
      <c r="G349" s="2"/>
      <c r="H349" s="2"/>
      <c r="I349" s="2"/>
    </row>
    <row r="350" spans="3:9">
      <c r="C350" s="2"/>
      <c r="D350" s="2"/>
      <c r="E350" s="2"/>
      <c r="F350" s="2"/>
      <c r="G350" s="2"/>
      <c r="H350" s="2"/>
      <c r="I350" s="2"/>
    </row>
    <row r="351" spans="3:9">
      <c r="C351" s="2"/>
      <c r="D351" s="2"/>
      <c r="E351" s="2"/>
      <c r="F351" s="2"/>
      <c r="G351" s="2"/>
      <c r="H351" s="2"/>
      <c r="I351" s="2"/>
    </row>
    <row r="352" spans="3:9">
      <c r="C352" s="2"/>
      <c r="D352" s="2"/>
      <c r="E352" s="2"/>
      <c r="F352" s="2"/>
      <c r="G352" s="2"/>
      <c r="H352" s="2"/>
      <c r="I352" s="2"/>
    </row>
    <row r="353" spans="3:9">
      <c r="C353" s="2"/>
      <c r="D353" s="2"/>
      <c r="E353" s="2"/>
      <c r="F353" s="2"/>
      <c r="G353" s="2"/>
      <c r="H353" s="2"/>
      <c r="I353" s="2"/>
    </row>
    <row r="354" spans="3:9">
      <c r="C354" s="2"/>
      <c r="D354" s="2"/>
      <c r="E354" s="2"/>
      <c r="F354" s="2"/>
      <c r="G354" s="2"/>
      <c r="H354" s="2"/>
      <c r="I354" s="2"/>
    </row>
    <row r="355" spans="3:9">
      <c r="C355" s="2"/>
      <c r="D355" s="2"/>
      <c r="E355" s="2"/>
      <c r="F355" s="2"/>
      <c r="G355" s="2"/>
      <c r="H355" s="2"/>
      <c r="I355" s="2"/>
    </row>
    <row r="356" spans="3:9">
      <c r="C356" s="2"/>
      <c r="D356" s="2"/>
      <c r="E356" s="2"/>
      <c r="F356" s="2"/>
      <c r="G356" s="2"/>
      <c r="H356" s="2"/>
      <c r="I356" s="2"/>
    </row>
    <row r="357" spans="3:9">
      <c r="C357" s="2"/>
      <c r="D357" s="2"/>
      <c r="E357" s="2"/>
      <c r="F357" s="2"/>
      <c r="G357" s="2"/>
      <c r="H357" s="2"/>
      <c r="I357" s="2"/>
    </row>
    <row r="358" spans="3:9">
      <c r="C358" s="2"/>
      <c r="D358" s="2"/>
      <c r="E358" s="2"/>
      <c r="F358" s="2"/>
      <c r="G358" s="2"/>
      <c r="H358" s="2"/>
      <c r="I358" s="2"/>
    </row>
    <row r="359" spans="3:9">
      <c r="C359" s="2"/>
      <c r="D359" s="2"/>
      <c r="E359" s="2"/>
      <c r="F359" s="2"/>
      <c r="G359" s="2"/>
      <c r="H359" s="2"/>
      <c r="I359" s="2"/>
    </row>
    <row r="360" spans="3:9">
      <c r="C360" s="2"/>
      <c r="D360" s="2"/>
      <c r="E360" s="2"/>
      <c r="F360" s="2"/>
      <c r="G360" s="2"/>
      <c r="H360" s="2"/>
      <c r="I360" s="2"/>
    </row>
    <row r="361" spans="3:9">
      <c r="C361" s="2"/>
      <c r="D361" s="2"/>
      <c r="E361" s="2"/>
      <c r="F361" s="2"/>
      <c r="G361" s="2"/>
      <c r="H361" s="2"/>
      <c r="I361" s="2"/>
    </row>
    <row r="362" spans="3:9">
      <c r="C362" s="2"/>
      <c r="D362" s="2"/>
      <c r="E362" s="2"/>
      <c r="F362" s="2"/>
      <c r="G362" s="2"/>
      <c r="H362" s="2"/>
      <c r="I362" s="2"/>
    </row>
    <row r="363" spans="3:9">
      <c r="C363" s="2"/>
      <c r="D363" s="2"/>
      <c r="E363" s="2"/>
      <c r="F363" s="2"/>
      <c r="G363" s="2"/>
      <c r="H363" s="2"/>
      <c r="I363" s="2"/>
    </row>
    <row r="364" spans="3:9">
      <c r="C364" s="2"/>
      <c r="D364" s="2"/>
      <c r="E364" s="2"/>
      <c r="F364" s="2"/>
      <c r="G364" s="2"/>
      <c r="H364" s="2"/>
      <c r="I364" s="2"/>
    </row>
    <row r="365" spans="3:9">
      <c r="C365" s="2"/>
      <c r="D365" s="2"/>
      <c r="E365" s="2"/>
      <c r="F365" s="2"/>
      <c r="G365" s="2"/>
      <c r="H365" s="2"/>
      <c r="I365" s="2"/>
    </row>
    <row r="366" spans="3:9">
      <c r="C366" s="2"/>
      <c r="D366" s="2"/>
      <c r="E366" s="2"/>
      <c r="F366" s="2"/>
      <c r="G366" s="2"/>
      <c r="H366" s="2"/>
      <c r="I366" s="2"/>
    </row>
    <row r="367" spans="3:9">
      <c r="C367" s="2"/>
      <c r="D367" s="2"/>
      <c r="E367" s="2"/>
      <c r="F367" s="2"/>
      <c r="G367" s="2"/>
      <c r="H367" s="2"/>
      <c r="I367" s="2"/>
    </row>
    <row r="368" spans="3:9">
      <c r="C368" s="2"/>
      <c r="D368" s="2"/>
      <c r="E368" s="2"/>
      <c r="F368" s="2"/>
      <c r="G368" s="2"/>
      <c r="H368" s="2"/>
      <c r="I368" s="2"/>
    </row>
    <row r="369" spans="3:9">
      <c r="C369" s="2"/>
      <c r="D369" s="2"/>
      <c r="E369" s="2"/>
      <c r="F369" s="2"/>
      <c r="G369" s="2"/>
      <c r="H369" s="2"/>
      <c r="I369" s="2"/>
    </row>
    <row r="370" spans="3:9">
      <c r="C370" s="2"/>
      <c r="D370" s="2"/>
      <c r="E370" s="2"/>
      <c r="F370" s="2"/>
      <c r="G370" s="2"/>
      <c r="H370" s="2"/>
      <c r="I370" s="2"/>
    </row>
    <row r="371" spans="3:9">
      <c r="C371" s="2"/>
      <c r="D371" s="2"/>
      <c r="E371" s="2"/>
      <c r="F371" s="2"/>
      <c r="G371" s="2"/>
      <c r="H371" s="2"/>
      <c r="I371" s="2"/>
    </row>
    <row r="372" spans="3:9">
      <c r="C372" s="2"/>
      <c r="D372" s="2"/>
      <c r="E372" s="2"/>
      <c r="F372" s="2"/>
      <c r="G372" s="2"/>
      <c r="H372" s="2"/>
      <c r="I372" s="2"/>
    </row>
    <row r="373" spans="3:9">
      <c r="C373" s="2"/>
      <c r="D373" s="2"/>
      <c r="E373" s="2"/>
      <c r="F373" s="2"/>
      <c r="G373" s="2"/>
      <c r="H373" s="2"/>
      <c r="I373" s="2"/>
    </row>
    <row r="374" spans="3:9">
      <c r="C374" s="2"/>
      <c r="D374" s="2"/>
      <c r="E374" s="2"/>
      <c r="F374" s="2"/>
      <c r="G374" s="2"/>
      <c r="H374" s="2"/>
      <c r="I374" s="2"/>
    </row>
    <row r="375" spans="3:9">
      <c r="C375" s="2"/>
      <c r="D375" s="2"/>
      <c r="E375" s="2"/>
      <c r="F375" s="2"/>
      <c r="G375" s="2"/>
      <c r="H375" s="2"/>
      <c r="I375" s="2"/>
    </row>
    <row r="376" spans="3:9">
      <c r="C376" s="2"/>
      <c r="D376" s="2"/>
      <c r="E376" s="2"/>
      <c r="F376" s="2"/>
      <c r="G376" s="2"/>
      <c r="H376" s="2"/>
      <c r="I376" s="2"/>
    </row>
    <row r="377" spans="3:9">
      <c r="C377" s="2"/>
      <c r="D377" s="2"/>
      <c r="E377" s="2"/>
      <c r="F377" s="2"/>
      <c r="G377" s="2"/>
      <c r="H377" s="2"/>
      <c r="I377" s="2"/>
    </row>
    <row r="378" spans="3:9">
      <c r="C378" s="2"/>
      <c r="D378" s="2"/>
      <c r="E378" s="2"/>
      <c r="F378" s="2"/>
      <c r="G378" s="2"/>
      <c r="H378" s="2"/>
      <c r="I378" s="2"/>
    </row>
    <row r="379" spans="3:9">
      <c r="C379" s="2"/>
      <c r="D379" s="2"/>
      <c r="E379" s="2"/>
      <c r="F379" s="2"/>
      <c r="G379" s="2"/>
      <c r="H379" s="2"/>
      <c r="I379" s="2"/>
    </row>
    <row r="380" spans="3:9">
      <c r="C380" s="2"/>
      <c r="D380" s="2"/>
      <c r="E380" s="2"/>
      <c r="F380" s="2"/>
      <c r="G380" s="2"/>
      <c r="H380" s="2"/>
      <c r="I380" s="2"/>
    </row>
    <row r="381" spans="3:9">
      <c r="C381" s="2"/>
      <c r="D381" s="2"/>
      <c r="E381" s="2"/>
      <c r="F381" s="2"/>
      <c r="G381" s="2"/>
      <c r="H381" s="2"/>
      <c r="I381" s="2"/>
    </row>
    <row r="382" spans="3:9">
      <c r="C382" s="2"/>
      <c r="D382" s="2"/>
      <c r="E382" s="2"/>
      <c r="F382" s="2"/>
      <c r="G382" s="2"/>
      <c r="H382" s="2"/>
      <c r="I382" s="2"/>
    </row>
    <row r="383" spans="3:9">
      <c r="C383" s="2"/>
      <c r="D383" s="2"/>
      <c r="E383" s="2"/>
      <c r="F383" s="2"/>
      <c r="G383" s="2"/>
      <c r="H383" s="2"/>
      <c r="I383" s="2"/>
    </row>
    <row r="384" spans="3:9">
      <c r="C384" s="2"/>
      <c r="D384" s="2"/>
      <c r="E384" s="2"/>
      <c r="F384" s="2"/>
      <c r="G384" s="2"/>
      <c r="H384" s="2"/>
      <c r="I384" s="2"/>
    </row>
    <row r="385" spans="3:9">
      <c r="C385" s="2"/>
      <c r="D385" s="2"/>
      <c r="E385" s="2"/>
      <c r="F385" s="2"/>
      <c r="G385" s="2"/>
      <c r="H385" s="2"/>
      <c r="I385" s="2"/>
    </row>
    <row r="386" spans="3:9">
      <c r="C386" s="2"/>
      <c r="D386" s="2"/>
      <c r="E386" s="2"/>
      <c r="F386" s="2"/>
      <c r="G386" s="2"/>
      <c r="H386" s="2"/>
      <c r="I386" s="2"/>
    </row>
    <row r="387" spans="3:9">
      <c r="C387" s="2"/>
      <c r="D387" s="2"/>
      <c r="E387" s="2"/>
      <c r="F387" s="2"/>
      <c r="G387" s="2"/>
      <c r="H387" s="2"/>
      <c r="I387" s="2"/>
    </row>
    <row r="388" spans="3:9">
      <c r="C388" s="2"/>
      <c r="D388" s="2"/>
      <c r="E388" s="2"/>
      <c r="F388" s="2"/>
      <c r="G388" s="2"/>
      <c r="H388" s="2"/>
      <c r="I388" s="2"/>
    </row>
    <row r="389" spans="3:9">
      <c r="C389" s="2"/>
      <c r="D389" s="2"/>
      <c r="E389" s="2"/>
      <c r="F389" s="2"/>
      <c r="G389" s="2"/>
      <c r="H389" s="2"/>
      <c r="I389" s="2"/>
    </row>
    <row r="390" spans="3:9">
      <c r="C390" s="2"/>
      <c r="D390" s="2"/>
      <c r="E390" s="2"/>
      <c r="F390" s="2"/>
      <c r="G390" s="2"/>
      <c r="H390" s="2"/>
      <c r="I390" s="2"/>
    </row>
    <row r="391" spans="3:9">
      <c r="C391" s="2"/>
      <c r="D391" s="2"/>
      <c r="E391" s="2"/>
      <c r="F391" s="2"/>
      <c r="G391" s="2"/>
      <c r="H391" s="2"/>
      <c r="I391" s="2"/>
    </row>
    <row r="392" spans="3:9">
      <c r="C392" s="2"/>
      <c r="D392" s="2"/>
      <c r="E392" s="2"/>
      <c r="F392" s="2"/>
      <c r="G392" s="2"/>
      <c r="H392" s="2"/>
      <c r="I392" s="2"/>
    </row>
    <row r="393" spans="3:9">
      <c r="C393" s="2"/>
      <c r="D393" s="2"/>
      <c r="E393" s="2"/>
      <c r="F393" s="2"/>
      <c r="G393" s="2"/>
      <c r="H393" s="2"/>
      <c r="I393" s="2"/>
    </row>
    <row r="394" spans="3:9">
      <c r="C394" s="2"/>
      <c r="D394" s="2"/>
      <c r="E394" s="2"/>
      <c r="F394" s="2"/>
      <c r="G394" s="2"/>
      <c r="H394" s="2"/>
      <c r="I394" s="2"/>
    </row>
    <row r="395" spans="3:9">
      <c r="C395" s="2"/>
      <c r="D395" s="2"/>
      <c r="E395" s="2"/>
      <c r="F395" s="2"/>
      <c r="G395" s="2"/>
      <c r="H395" s="2"/>
      <c r="I395" s="2"/>
    </row>
    <row r="396" spans="3:9">
      <c r="C396" s="2"/>
      <c r="D396" s="2"/>
      <c r="E396" s="2"/>
      <c r="F396" s="2"/>
      <c r="G396" s="2"/>
      <c r="H396" s="2"/>
      <c r="I396" s="2"/>
    </row>
    <row r="397" spans="3:9">
      <c r="C397" s="2"/>
      <c r="D397" s="2"/>
      <c r="E397" s="2"/>
      <c r="F397" s="2"/>
      <c r="G397" s="2"/>
      <c r="H397" s="2"/>
      <c r="I397" s="2"/>
    </row>
    <row r="398" spans="3:9">
      <c r="C398" s="2"/>
      <c r="D398" s="2"/>
      <c r="E398" s="2"/>
      <c r="F398" s="2"/>
      <c r="G398" s="2"/>
      <c r="H398" s="2"/>
      <c r="I398" s="2"/>
    </row>
    <row r="399" spans="3:9">
      <c r="C399" s="2"/>
      <c r="D399" s="2"/>
      <c r="E399" s="2"/>
      <c r="F399" s="2"/>
      <c r="G399" s="2"/>
      <c r="H399" s="2"/>
      <c r="I399" s="2"/>
    </row>
    <row r="400" spans="3:9">
      <c r="C400" s="2"/>
      <c r="D400" s="2"/>
      <c r="E400" s="2"/>
      <c r="F400" s="2"/>
      <c r="G400" s="2"/>
      <c r="H400" s="2"/>
      <c r="I400" s="2"/>
    </row>
    <row r="401" spans="3:9">
      <c r="C401" s="2"/>
      <c r="D401" s="2"/>
      <c r="E401" s="2"/>
      <c r="F401" s="2"/>
      <c r="G401" s="2"/>
      <c r="H401" s="2"/>
      <c r="I401" s="2"/>
    </row>
    <row r="402" spans="3:9">
      <c r="C402" s="2"/>
      <c r="D402" s="2"/>
      <c r="E402" s="2"/>
      <c r="F402" s="2"/>
      <c r="G402" s="2"/>
      <c r="H402" s="2"/>
      <c r="I402" s="2"/>
    </row>
    <row r="403" spans="3:9">
      <c r="C403" s="2"/>
      <c r="D403" s="2"/>
      <c r="E403" s="2"/>
      <c r="F403" s="2"/>
      <c r="G403" s="2"/>
      <c r="H403" s="2"/>
      <c r="I403" s="2"/>
    </row>
    <row r="404" spans="3:9">
      <c r="C404" s="2"/>
      <c r="D404" s="2"/>
      <c r="E404" s="2"/>
      <c r="F404" s="2"/>
      <c r="G404" s="2"/>
      <c r="H404" s="2"/>
      <c r="I404" s="2"/>
    </row>
    <row r="405" spans="3:9">
      <c r="C405" s="2"/>
      <c r="D405" s="2"/>
      <c r="E405" s="2"/>
      <c r="F405" s="2"/>
      <c r="G405" s="2"/>
      <c r="H405" s="2"/>
      <c r="I405" s="2"/>
    </row>
    <row r="406" spans="3:9">
      <c r="C406" s="2"/>
      <c r="D406" s="2"/>
      <c r="E406" s="2"/>
      <c r="F406" s="2"/>
      <c r="G406" s="2"/>
      <c r="H406" s="2"/>
      <c r="I406" s="2"/>
    </row>
    <row r="407" spans="3:9">
      <c r="C407" s="2"/>
      <c r="D407" s="2"/>
      <c r="E407" s="2"/>
      <c r="F407" s="2"/>
      <c r="G407" s="2"/>
      <c r="H407" s="2"/>
      <c r="I407" s="2"/>
    </row>
    <row r="408" spans="3:9">
      <c r="C408" s="2"/>
      <c r="D408" s="2"/>
      <c r="E408" s="2"/>
      <c r="F408" s="2"/>
      <c r="G408" s="2"/>
      <c r="H408" s="2"/>
      <c r="I408" s="2"/>
    </row>
    <row r="409" spans="3:9">
      <c r="C409" s="2"/>
      <c r="D409" s="2"/>
      <c r="E409" s="2"/>
      <c r="F409" s="2"/>
      <c r="G409" s="2"/>
      <c r="H409" s="2"/>
      <c r="I409" s="2"/>
    </row>
    <row r="410" spans="3:9">
      <c r="C410" s="2"/>
      <c r="D410" s="2"/>
      <c r="E410" s="2"/>
      <c r="F410" s="2"/>
      <c r="G410" s="2"/>
      <c r="H410" s="2"/>
      <c r="I410" s="2"/>
    </row>
    <row r="411" spans="3:9">
      <c r="C411" s="2"/>
      <c r="D411" s="2"/>
      <c r="E411" s="2"/>
      <c r="F411" s="2"/>
      <c r="G411" s="2"/>
      <c r="H411" s="2"/>
      <c r="I411" s="2"/>
    </row>
    <row r="412" spans="3:9">
      <c r="C412" s="2"/>
      <c r="D412" s="2"/>
      <c r="E412" s="2"/>
      <c r="F412" s="2"/>
      <c r="G412" s="2"/>
      <c r="H412" s="2"/>
      <c r="I412" s="2"/>
    </row>
    <row r="413" spans="3:9">
      <c r="C413" s="2"/>
      <c r="D413" s="2"/>
      <c r="E413" s="2"/>
      <c r="F413" s="2"/>
      <c r="G413" s="2"/>
      <c r="H413" s="2"/>
      <c r="I413" s="2"/>
    </row>
    <row r="414" spans="3:9">
      <c r="C414" s="2"/>
      <c r="D414" s="2"/>
      <c r="E414" s="2"/>
      <c r="F414" s="2"/>
      <c r="G414" s="2"/>
      <c r="H414" s="2"/>
      <c r="I414" s="2"/>
    </row>
    <row r="415" spans="3:9">
      <c r="C415" s="2"/>
      <c r="D415" s="2"/>
      <c r="E415" s="2"/>
      <c r="F415" s="2"/>
      <c r="G415" s="2"/>
      <c r="H415" s="2"/>
      <c r="I415" s="2"/>
    </row>
    <row r="416" spans="3:9">
      <c r="C416" s="2"/>
      <c r="D416" s="2"/>
      <c r="E416" s="2"/>
      <c r="F416" s="2"/>
      <c r="G416" s="2"/>
      <c r="H416" s="2"/>
      <c r="I416" s="2"/>
    </row>
    <row r="417" spans="3:9">
      <c r="C417" s="2"/>
      <c r="D417" s="2"/>
      <c r="E417" s="2"/>
      <c r="F417" s="2"/>
      <c r="G417" s="2"/>
      <c r="H417" s="2"/>
      <c r="I417" s="2"/>
    </row>
    <row r="418" spans="3:9">
      <c r="C418" s="2"/>
      <c r="D418" s="2"/>
      <c r="E418" s="2"/>
      <c r="F418" s="2"/>
      <c r="G418" s="2"/>
      <c r="H418" s="2"/>
      <c r="I418" s="2"/>
    </row>
    <row r="419" spans="3:9">
      <c r="C419" s="2"/>
      <c r="D419" s="2"/>
      <c r="E419" s="2"/>
      <c r="F419" s="2"/>
      <c r="G419" s="2"/>
      <c r="H419" s="2"/>
      <c r="I419" s="2"/>
    </row>
    <row r="420" spans="3:9">
      <c r="C420" s="2"/>
      <c r="D420" s="2"/>
      <c r="E420" s="2"/>
      <c r="F420" s="2"/>
      <c r="G420" s="2"/>
      <c r="H420" s="2"/>
      <c r="I420" s="2"/>
    </row>
    <row r="421" spans="3:9">
      <c r="C421" s="2"/>
      <c r="D421" s="2"/>
      <c r="E421" s="2"/>
      <c r="F421" s="2"/>
      <c r="G421" s="2"/>
      <c r="H421" s="2"/>
      <c r="I421" s="2"/>
    </row>
    <row r="422" spans="3:9">
      <c r="C422" s="2"/>
      <c r="D422" s="2"/>
      <c r="E422" s="2"/>
      <c r="F422" s="2"/>
      <c r="G422" s="2"/>
      <c r="H422" s="2"/>
      <c r="I422" s="2"/>
    </row>
    <row r="423" spans="3:9">
      <c r="C423" s="2"/>
      <c r="D423" s="2"/>
      <c r="E423" s="2"/>
      <c r="F423" s="2"/>
      <c r="G423" s="2"/>
      <c r="H423" s="2"/>
      <c r="I423" s="2"/>
    </row>
    <row r="424" spans="3:9">
      <c r="C424" s="2"/>
      <c r="D424" s="2"/>
      <c r="E424" s="2"/>
      <c r="F424" s="2"/>
      <c r="G424" s="2"/>
      <c r="H424" s="2"/>
      <c r="I424" s="2"/>
    </row>
    <row r="425" spans="3:9">
      <c r="C425" s="2"/>
      <c r="D425" s="2"/>
      <c r="E425" s="2"/>
      <c r="F425" s="2"/>
      <c r="G425" s="2"/>
      <c r="H425" s="2"/>
      <c r="I425" s="2"/>
    </row>
    <row r="426" spans="3:9">
      <c r="C426" s="2"/>
      <c r="D426" s="2"/>
      <c r="E426" s="2"/>
      <c r="F426" s="2"/>
      <c r="G426" s="2"/>
      <c r="H426" s="2"/>
      <c r="I426" s="2"/>
    </row>
    <row r="427" spans="3:9">
      <c r="C427" s="2"/>
      <c r="D427" s="2"/>
      <c r="E427" s="2"/>
      <c r="F427" s="2"/>
      <c r="G427" s="2"/>
      <c r="H427" s="2"/>
      <c r="I427" s="2"/>
    </row>
    <row r="428" spans="3:9">
      <c r="C428" s="2"/>
      <c r="D428" s="2"/>
      <c r="E428" s="2"/>
      <c r="F428" s="2"/>
      <c r="G428" s="2"/>
      <c r="H428" s="2"/>
      <c r="I428" s="2"/>
    </row>
    <row r="429" spans="3:9">
      <c r="C429" s="2"/>
      <c r="D429" s="2"/>
      <c r="E429" s="2"/>
      <c r="F429" s="2"/>
      <c r="G429" s="2"/>
      <c r="H429" s="2"/>
      <c r="I429" s="2"/>
    </row>
    <row r="430" spans="3:9">
      <c r="C430" s="2"/>
      <c r="D430" s="2"/>
      <c r="E430" s="2"/>
      <c r="F430" s="2"/>
      <c r="G430" s="2"/>
      <c r="H430" s="2"/>
      <c r="I430" s="2"/>
    </row>
    <row r="431" spans="3:9">
      <c r="C431" s="2"/>
      <c r="D431" s="2"/>
      <c r="E431" s="2"/>
      <c r="F431" s="2"/>
      <c r="G431" s="2"/>
      <c r="H431" s="2"/>
      <c r="I431" s="2"/>
    </row>
    <row r="432" spans="3:9">
      <c r="C432" s="2"/>
      <c r="D432" s="2"/>
      <c r="E432" s="2"/>
      <c r="F432" s="2"/>
      <c r="G432" s="2"/>
      <c r="H432" s="2"/>
      <c r="I432" s="2"/>
    </row>
    <row r="433" spans="3:9">
      <c r="C433" s="2"/>
      <c r="D433" s="2"/>
      <c r="E433" s="2"/>
      <c r="F433" s="2"/>
      <c r="G433" s="2"/>
      <c r="H433" s="2"/>
      <c r="I433" s="2"/>
    </row>
    <row r="434" spans="3:9">
      <c r="C434" s="2"/>
      <c r="D434" s="2"/>
      <c r="E434" s="2"/>
      <c r="F434" s="2"/>
      <c r="G434" s="2"/>
      <c r="H434" s="2"/>
      <c r="I434" s="2"/>
    </row>
    <row r="435" spans="3:9">
      <c r="C435" s="2"/>
      <c r="D435" s="2"/>
      <c r="E435" s="2"/>
      <c r="F435" s="2"/>
      <c r="G435" s="2"/>
      <c r="H435" s="2"/>
      <c r="I435" s="2"/>
    </row>
    <row r="436" spans="3:9">
      <c r="C436" s="2"/>
      <c r="D436" s="2"/>
      <c r="E436" s="2"/>
      <c r="F436" s="2"/>
      <c r="G436" s="2"/>
      <c r="H436" s="2"/>
      <c r="I436" s="2"/>
    </row>
    <row r="437" spans="3:9">
      <c r="C437" s="2"/>
      <c r="D437" s="2"/>
      <c r="E437" s="2"/>
      <c r="F437" s="2"/>
      <c r="G437" s="2"/>
      <c r="H437" s="2"/>
      <c r="I437" s="2"/>
    </row>
    <row r="438" spans="3:9">
      <c r="C438" s="2"/>
      <c r="D438" s="2"/>
      <c r="E438" s="2"/>
      <c r="F438" s="2"/>
      <c r="G438" s="2"/>
      <c r="H438" s="2"/>
      <c r="I438" s="2"/>
    </row>
    <row r="439" spans="3:9">
      <c r="C439" s="2"/>
      <c r="D439" s="2"/>
      <c r="E439" s="2"/>
      <c r="F439" s="2"/>
      <c r="G439" s="2"/>
      <c r="H439" s="2"/>
      <c r="I439" s="2"/>
    </row>
    <row r="440" spans="3:9">
      <c r="C440" s="2"/>
      <c r="D440" s="2"/>
      <c r="E440" s="2"/>
      <c r="F440" s="2"/>
      <c r="G440" s="2"/>
      <c r="H440" s="2"/>
      <c r="I440" s="2"/>
    </row>
    <row r="441" spans="3:9">
      <c r="C441" s="2"/>
      <c r="D441" s="2"/>
      <c r="E441" s="2"/>
      <c r="F441" s="2"/>
      <c r="G441" s="2"/>
      <c r="H441" s="2"/>
      <c r="I441" s="2"/>
    </row>
    <row r="442" spans="3:9">
      <c r="C442" s="2"/>
      <c r="D442" s="2"/>
      <c r="E442" s="2"/>
      <c r="F442" s="2"/>
      <c r="G442" s="2"/>
      <c r="H442" s="2"/>
      <c r="I442" s="2"/>
    </row>
    <row r="443" spans="3:9">
      <c r="C443" s="2"/>
      <c r="D443" s="2"/>
      <c r="E443" s="2"/>
      <c r="F443" s="2"/>
      <c r="G443" s="2"/>
      <c r="H443" s="2"/>
      <c r="I443" s="2"/>
    </row>
    <row r="444" spans="3:9">
      <c r="C444" s="2"/>
      <c r="D444" s="2"/>
      <c r="E444" s="2"/>
      <c r="F444" s="2"/>
      <c r="G444" s="2"/>
      <c r="H444" s="2"/>
      <c r="I444" s="2"/>
    </row>
    <row r="445" spans="3:9">
      <c r="C445" s="2"/>
      <c r="D445" s="2"/>
      <c r="E445" s="2"/>
      <c r="F445" s="2"/>
      <c r="G445" s="2"/>
      <c r="H445" s="2"/>
      <c r="I445" s="2"/>
    </row>
    <row r="446" spans="3:9">
      <c r="C446" s="2"/>
      <c r="D446" s="2"/>
      <c r="E446" s="2"/>
      <c r="F446" s="2"/>
      <c r="G446" s="2"/>
      <c r="H446" s="2"/>
      <c r="I446" s="2"/>
    </row>
    <row r="447" spans="3:9">
      <c r="C447" s="2"/>
      <c r="D447" s="2"/>
      <c r="E447" s="2"/>
      <c r="F447" s="2"/>
      <c r="G447" s="2"/>
      <c r="H447" s="2"/>
      <c r="I447" s="2"/>
    </row>
    <row r="448" spans="3:9">
      <c r="C448" s="2"/>
      <c r="D448" s="2"/>
      <c r="E448" s="2"/>
      <c r="F448" s="2"/>
      <c r="G448" s="2"/>
      <c r="H448" s="2"/>
      <c r="I448" s="2"/>
    </row>
    <row r="449" spans="3:9">
      <c r="C449" s="2"/>
      <c r="D449" s="2"/>
      <c r="E449" s="2"/>
      <c r="F449" s="2"/>
      <c r="G449" s="2"/>
      <c r="H449" s="2"/>
      <c r="I449" s="2"/>
    </row>
    <row r="450" spans="3:9">
      <c r="C450" s="2"/>
      <c r="D450" s="2"/>
      <c r="E450" s="2"/>
      <c r="F450" s="2"/>
      <c r="G450" s="2"/>
      <c r="H450" s="2"/>
      <c r="I450" s="2"/>
    </row>
    <row r="451" spans="3:9">
      <c r="C451" s="2"/>
      <c r="D451" s="2"/>
      <c r="E451" s="2"/>
      <c r="F451" s="2"/>
      <c r="G451" s="2"/>
      <c r="H451" s="2"/>
      <c r="I451" s="2"/>
    </row>
    <row r="452" spans="3:9">
      <c r="C452" s="2"/>
      <c r="D452" s="2"/>
      <c r="E452" s="2"/>
      <c r="F452" s="2"/>
      <c r="G452" s="2"/>
      <c r="H452" s="2"/>
      <c r="I452" s="2"/>
    </row>
    <row r="453" spans="3:9">
      <c r="C453" s="2"/>
      <c r="D453" s="2"/>
      <c r="E453" s="2"/>
      <c r="F453" s="2"/>
      <c r="G453" s="2"/>
      <c r="H453" s="2"/>
      <c r="I453" s="2"/>
    </row>
    <row r="454" spans="3:9">
      <c r="C454" s="2"/>
      <c r="D454" s="2"/>
      <c r="E454" s="2"/>
      <c r="F454" s="2"/>
      <c r="G454" s="2"/>
      <c r="H454" s="2"/>
      <c r="I454" s="2"/>
    </row>
    <row r="455" spans="3:9">
      <c r="C455" s="2"/>
      <c r="D455" s="2"/>
      <c r="E455" s="2"/>
      <c r="F455" s="2"/>
      <c r="G455" s="2"/>
      <c r="H455" s="2"/>
      <c r="I455" s="2"/>
    </row>
    <row r="456" spans="3:9">
      <c r="C456" s="2"/>
      <c r="D456" s="2"/>
      <c r="E456" s="2"/>
      <c r="F456" s="2"/>
      <c r="G456" s="2"/>
      <c r="H456" s="2"/>
      <c r="I456" s="2"/>
    </row>
    <row r="457" spans="3:9">
      <c r="C457" s="2"/>
      <c r="D457" s="2"/>
      <c r="E457" s="2"/>
      <c r="F457" s="2"/>
      <c r="G457" s="2"/>
      <c r="H457" s="2"/>
      <c r="I457" s="2"/>
    </row>
    <row r="458" spans="3:9">
      <c r="C458" s="2"/>
      <c r="D458" s="2"/>
      <c r="E458" s="2"/>
      <c r="F458" s="2"/>
      <c r="G458" s="2"/>
      <c r="H458" s="2"/>
      <c r="I458" s="2"/>
    </row>
    <row r="459" spans="3:9">
      <c r="C459" s="2"/>
      <c r="D459" s="2"/>
      <c r="E459" s="2"/>
      <c r="F459" s="2"/>
      <c r="G459" s="2"/>
      <c r="H459" s="2"/>
      <c r="I459" s="2"/>
    </row>
    <row r="460" spans="3:9">
      <c r="C460" s="2"/>
      <c r="D460" s="2"/>
      <c r="E460" s="2"/>
      <c r="F460" s="2"/>
      <c r="G460" s="2"/>
      <c r="H460" s="2"/>
      <c r="I460" s="2"/>
    </row>
    <row r="461" spans="3:9">
      <c r="C461" s="2"/>
      <c r="D461" s="2"/>
      <c r="E461" s="2"/>
      <c r="F461" s="2"/>
      <c r="G461" s="2"/>
      <c r="H461" s="2"/>
      <c r="I461" s="2"/>
    </row>
    <row r="462" spans="3:9">
      <c r="C462" s="2"/>
      <c r="D462" s="2"/>
      <c r="E462" s="2"/>
      <c r="F462" s="2"/>
      <c r="G462" s="2"/>
      <c r="H462" s="2"/>
      <c r="I462" s="2"/>
    </row>
    <row r="463" spans="3:9">
      <c r="C463" s="2"/>
      <c r="D463" s="2"/>
      <c r="E463" s="2"/>
      <c r="F463" s="2"/>
      <c r="G463" s="2"/>
      <c r="H463" s="2"/>
      <c r="I463" s="2"/>
    </row>
    <row r="464" spans="3:9">
      <c r="C464" s="2"/>
      <c r="D464" s="2"/>
      <c r="E464" s="2"/>
      <c r="F464" s="2"/>
      <c r="G464" s="2"/>
      <c r="H464" s="2"/>
      <c r="I464" s="2"/>
    </row>
    <row r="465" spans="3:9">
      <c r="C465" s="2"/>
      <c r="D465" s="2"/>
      <c r="E465" s="2"/>
      <c r="F465" s="2"/>
      <c r="G465" s="2"/>
      <c r="H465" s="2"/>
      <c r="I465" s="2"/>
    </row>
    <row r="466" spans="3:9">
      <c r="C466" s="2"/>
      <c r="D466" s="2"/>
      <c r="E466" s="2"/>
      <c r="F466" s="2"/>
      <c r="G466" s="2"/>
      <c r="H466" s="2"/>
      <c r="I466" s="2"/>
    </row>
    <row r="467" spans="3:9">
      <c r="C467" s="2"/>
      <c r="D467" s="2"/>
      <c r="E467" s="2"/>
      <c r="F467" s="2"/>
      <c r="G467" s="2"/>
      <c r="H467" s="2"/>
      <c r="I467" s="2"/>
    </row>
    <row r="468" spans="3:9">
      <c r="C468" s="2"/>
      <c r="D468" s="2"/>
      <c r="E468" s="2"/>
      <c r="F468" s="2"/>
      <c r="G468" s="2"/>
      <c r="H468" s="2"/>
      <c r="I468" s="2"/>
    </row>
    <row r="469" spans="3:9">
      <c r="C469" s="2"/>
      <c r="D469" s="2"/>
      <c r="E469" s="2"/>
      <c r="F469" s="2"/>
      <c r="G469" s="2"/>
      <c r="H469" s="2"/>
      <c r="I469" s="2"/>
    </row>
    <row r="470" spans="3:9">
      <c r="C470" s="2"/>
      <c r="D470" s="2"/>
      <c r="E470" s="2"/>
      <c r="F470" s="2"/>
      <c r="G470" s="2"/>
      <c r="H470" s="2"/>
      <c r="I470" s="2"/>
    </row>
    <row r="471" spans="3:9">
      <c r="C471" s="2"/>
      <c r="D471" s="2"/>
      <c r="E471" s="2"/>
      <c r="F471" s="2"/>
      <c r="G471" s="2"/>
      <c r="H471" s="2"/>
      <c r="I471" s="2"/>
    </row>
    <row r="472" spans="3:9">
      <c r="C472" s="2"/>
      <c r="D472" s="2"/>
      <c r="E472" s="2"/>
      <c r="F472" s="2"/>
      <c r="G472" s="2"/>
      <c r="H472" s="2"/>
      <c r="I472" s="2"/>
    </row>
    <row r="473" spans="3:9">
      <c r="C473" s="2"/>
      <c r="D473" s="2"/>
      <c r="E473" s="2"/>
      <c r="F473" s="2"/>
      <c r="G473" s="2"/>
      <c r="H473" s="2"/>
      <c r="I473" s="2"/>
    </row>
    <row r="474" spans="3:9">
      <c r="C474" s="2"/>
      <c r="D474" s="2"/>
      <c r="E474" s="2"/>
      <c r="F474" s="2"/>
      <c r="G474" s="2"/>
      <c r="H474" s="2"/>
      <c r="I474" s="2"/>
    </row>
    <row r="475" spans="3:9">
      <c r="C475" s="2"/>
      <c r="D475" s="2"/>
      <c r="E475" s="2"/>
      <c r="F475" s="2"/>
      <c r="G475" s="2"/>
      <c r="H475" s="2"/>
      <c r="I475" s="2"/>
    </row>
    <row r="476" spans="3:9">
      <c r="C476" s="2"/>
      <c r="D476" s="2"/>
      <c r="E476" s="2"/>
      <c r="F476" s="2"/>
      <c r="G476" s="2"/>
      <c r="H476" s="2"/>
      <c r="I476" s="2"/>
    </row>
    <row r="477" spans="3:9">
      <c r="C477" s="2"/>
      <c r="D477" s="2"/>
      <c r="E477" s="2"/>
      <c r="F477" s="2"/>
      <c r="G477" s="2"/>
      <c r="H477" s="2"/>
      <c r="I477" s="2"/>
    </row>
    <row r="478" spans="3:9">
      <c r="C478" s="2"/>
      <c r="D478" s="2"/>
      <c r="E478" s="2"/>
      <c r="F478" s="2"/>
      <c r="G478" s="2"/>
      <c r="H478" s="2"/>
      <c r="I478" s="2"/>
    </row>
    <row r="479" spans="3:9">
      <c r="C479" s="2"/>
      <c r="D479" s="2"/>
      <c r="E479" s="2"/>
      <c r="F479" s="2"/>
      <c r="G479" s="2"/>
      <c r="H479" s="2"/>
      <c r="I479" s="2"/>
    </row>
    <row r="480" spans="3:9">
      <c r="C480" s="2"/>
      <c r="D480" s="2"/>
      <c r="E480" s="2"/>
      <c r="F480" s="2"/>
      <c r="G480" s="2"/>
      <c r="H480" s="2"/>
      <c r="I480" s="2"/>
    </row>
    <row r="481" spans="3:9">
      <c r="C481" s="2"/>
      <c r="D481" s="2"/>
      <c r="E481" s="2"/>
      <c r="F481" s="2"/>
      <c r="G481" s="2"/>
      <c r="H481" s="2"/>
      <c r="I481" s="2"/>
    </row>
    <row r="482" spans="3:9">
      <c r="C482" s="2"/>
      <c r="D482" s="2"/>
      <c r="E482" s="2"/>
      <c r="F482" s="2"/>
      <c r="G482" s="2"/>
      <c r="H482" s="2"/>
      <c r="I482" s="2"/>
    </row>
    <row r="483" spans="3:9">
      <c r="C483" s="2"/>
      <c r="D483" s="2"/>
      <c r="E483" s="2"/>
      <c r="F483" s="2"/>
      <c r="G483" s="2"/>
      <c r="H483" s="2"/>
      <c r="I483" s="2"/>
    </row>
    <row r="484" spans="3:9">
      <c r="C484" s="2"/>
      <c r="D484" s="2"/>
      <c r="E484" s="2"/>
      <c r="F484" s="2"/>
      <c r="G484" s="2"/>
      <c r="H484" s="2"/>
      <c r="I484" s="2"/>
    </row>
    <row r="485" spans="3:9">
      <c r="C485" s="2"/>
      <c r="D485" s="2"/>
      <c r="E485" s="2"/>
      <c r="F485" s="2"/>
      <c r="G485" s="2"/>
      <c r="H485" s="2"/>
      <c r="I485" s="2"/>
    </row>
    <row r="486" spans="3:9">
      <c r="C486" s="2"/>
      <c r="D486" s="2"/>
      <c r="E486" s="2"/>
      <c r="F486" s="2"/>
      <c r="G486" s="2"/>
      <c r="H486" s="2"/>
      <c r="I486" s="2"/>
    </row>
    <row r="487" spans="3:9">
      <c r="C487" s="2"/>
      <c r="D487" s="2"/>
      <c r="E487" s="2"/>
      <c r="F487" s="2"/>
      <c r="G487" s="2"/>
      <c r="H487" s="2"/>
      <c r="I487" s="2"/>
    </row>
    <row r="488" spans="3:9">
      <c r="C488" s="2"/>
      <c r="D488" s="2"/>
      <c r="E488" s="2"/>
      <c r="F488" s="2"/>
      <c r="G488" s="2"/>
      <c r="H488" s="2"/>
      <c r="I488" s="2"/>
    </row>
    <row r="489" spans="3:9">
      <c r="C489" s="2"/>
      <c r="D489" s="2"/>
      <c r="E489" s="2"/>
      <c r="F489" s="2"/>
      <c r="G489" s="2"/>
      <c r="H489" s="2"/>
      <c r="I489" s="2"/>
    </row>
    <row r="490" spans="3:9">
      <c r="C490" s="2"/>
      <c r="D490" s="2"/>
      <c r="E490" s="2"/>
      <c r="F490" s="2"/>
      <c r="G490" s="2"/>
      <c r="H490" s="2"/>
      <c r="I490" s="2"/>
    </row>
    <row r="491" spans="3:9">
      <c r="C491" s="2"/>
      <c r="D491" s="2"/>
      <c r="E491" s="2"/>
      <c r="F491" s="2"/>
      <c r="G491" s="2"/>
      <c r="H491" s="2"/>
      <c r="I491" s="2"/>
    </row>
    <row r="492" spans="3:9">
      <c r="C492" s="2"/>
      <c r="D492" s="2"/>
      <c r="E492" s="2"/>
      <c r="F492" s="2"/>
      <c r="G492" s="2"/>
      <c r="H492" s="2"/>
      <c r="I492" s="2"/>
    </row>
    <row r="493" spans="3:9">
      <c r="C493" s="2"/>
      <c r="D493" s="2"/>
      <c r="E493" s="2"/>
      <c r="F493" s="2"/>
      <c r="G493" s="2"/>
      <c r="H493" s="2"/>
      <c r="I493" s="2"/>
    </row>
    <row r="494" spans="3:9">
      <c r="C494" s="2"/>
      <c r="D494" s="2"/>
      <c r="E494" s="2"/>
      <c r="F494" s="2"/>
      <c r="G494" s="2"/>
      <c r="H494" s="2"/>
      <c r="I494" s="2"/>
    </row>
    <row r="495" spans="3:9">
      <c r="C495" s="2"/>
      <c r="D495" s="2"/>
      <c r="E495" s="2"/>
      <c r="F495" s="2"/>
      <c r="G495" s="2"/>
      <c r="H495" s="2"/>
      <c r="I495" s="2"/>
    </row>
    <row r="496" spans="3:9">
      <c r="C496" s="2"/>
      <c r="D496" s="2"/>
      <c r="E496" s="2"/>
      <c r="F496" s="2"/>
      <c r="G496" s="2"/>
      <c r="H496" s="2"/>
      <c r="I496" s="2"/>
    </row>
    <row r="497" spans="3:9">
      <c r="C497" s="2"/>
      <c r="D497" s="2"/>
      <c r="E497" s="2"/>
      <c r="F497" s="2"/>
      <c r="G497" s="2"/>
      <c r="H497" s="2"/>
      <c r="I497" s="2"/>
    </row>
    <row r="498" spans="3:9">
      <c r="C498" s="2"/>
      <c r="D498" s="2"/>
      <c r="E498" s="2"/>
      <c r="F498" s="2"/>
      <c r="G498" s="2"/>
      <c r="H498" s="2"/>
      <c r="I498" s="2"/>
    </row>
    <row r="499" spans="3:9">
      <c r="C499" s="2"/>
      <c r="D499" s="2"/>
      <c r="E499" s="2"/>
      <c r="F499" s="2"/>
      <c r="G499" s="2"/>
      <c r="H499" s="2"/>
      <c r="I499" s="2"/>
    </row>
    <row r="500" spans="3:9">
      <c r="C500" s="2"/>
      <c r="D500" s="2"/>
      <c r="E500" s="2"/>
      <c r="F500" s="2"/>
      <c r="G500" s="2"/>
      <c r="H500" s="2"/>
      <c r="I500" s="2"/>
    </row>
    <row r="501" spans="3:9">
      <c r="C501" s="2"/>
      <c r="D501" s="2"/>
      <c r="E501" s="2"/>
      <c r="F501" s="2"/>
      <c r="G501" s="2"/>
      <c r="H501" s="2"/>
      <c r="I501" s="2"/>
    </row>
    <row r="502" spans="3:9">
      <c r="C502" s="2"/>
      <c r="D502" s="2"/>
      <c r="E502" s="2"/>
      <c r="F502" s="2"/>
      <c r="G502" s="2"/>
      <c r="H502" s="2"/>
      <c r="I502" s="2"/>
    </row>
    <row r="503" spans="3:9">
      <c r="C503" s="2"/>
      <c r="D503" s="2"/>
      <c r="E503" s="2"/>
      <c r="F503" s="2"/>
      <c r="G503" s="2"/>
      <c r="H503" s="2"/>
      <c r="I503" s="2"/>
    </row>
    <row r="504" spans="3:9">
      <c r="C504" s="2"/>
      <c r="D504" s="2"/>
      <c r="E504" s="2"/>
      <c r="F504" s="2"/>
      <c r="G504" s="2"/>
      <c r="H504" s="2"/>
      <c r="I504" s="2"/>
    </row>
    <row r="505" spans="3:9">
      <c r="C505" s="2"/>
      <c r="D505" s="2"/>
      <c r="E505" s="2"/>
      <c r="F505" s="2"/>
      <c r="G505" s="2"/>
      <c r="H505" s="2"/>
      <c r="I505" s="2"/>
    </row>
    <row r="506" spans="3:9">
      <c r="C506" s="2"/>
      <c r="D506" s="2"/>
      <c r="E506" s="2"/>
      <c r="F506" s="2"/>
      <c r="G506" s="2"/>
      <c r="H506" s="2"/>
      <c r="I506" s="2"/>
    </row>
    <row r="507" spans="3:9">
      <c r="C507" s="2"/>
      <c r="D507" s="2"/>
      <c r="E507" s="2"/>
      <c r="F507" s="2"/>
      <c r="G507" s="2"/>
      <c r="H507" s="2"/>
      <c r="I507" s="2"/>
    </row>
    <row r="508" spans="3:9">
      <c r="C508" s="2"/>
      <c r="D508" s="2"/>
      <c r="E508" s="2"/>
      <c r="F508" s="2"/>
      <c r="G508" s="2"/>
      <c r="H508" s="2"/>
      <c r="I508" s="2"/>
    </row>
    <row r="509" spans="3:9">
      <c r="C509" s="2"/>
      <c r="D509" s="2"/>
      <c r="E509" s="2"/>
      <c r="F509" s="2"/>
      <c r="G509" s="2"/>
      <c r="H509" s="2"/>
      <c r="I509" s="2"/>
    </row>
    <row r="510" spans="3:9">
      <c r="C510" s="2"/>
      <c r="D510" s="2"/>
      <c r="E510" s="2"/>
      <c r="F510" s="2"/>
      <c r="G510" s="2"/>
      <c r="H510" s="2"/>
      <c r="I510" s="2"/>
    </row>
    <row r="511" spans="3:9">
      <c r="C511" s="2"/>
      <c r="D511" s="2"/>
      <c r="E511" s="2"/>
      <c r="F511" s="2"/>
      <c r="G511" s="2"/>
      <c r="H511" s="2"/>
      <c r="I511" s="2"/>
    </row>
    <row r="512" spans="3:9">
      <c r="C512" s="2"/>
      <c r="D512" s="2"/>
      <c r="E512" s="2"/>
      <c r="F512" s="2"/>
      <c r="G512" s="2"/>
      <c r="H512" s="2"/>
      <c r="I512" s="2"/>
    </row>
    <row r="513" spans="3:9">
      <c r="C513" s="2"/>
      <c r="D513" s="2"/>
      <c r="E513" s="2"/>
      <c r="F513" s="2"/>
      <c r="G513" s="2"/>
      <c r="H513" s="2"/>
      <c r="I513" s="2"/>
    </row>
    <row r="514" spans="3:9">
      <c r="C514" s="2"/>
      <c r="D514" s="2"/>
      <c r="E514" s="2"/>
      <c r="F514" s="2"/>
      <c r="G514" s="2"/>
      <c r="H514" s="2"/>
      <c r="I514" s="2"/>
    </row>
    <row r="515" spans="3:9">
      <c r="C515" s="2"/>
      <c r="D515" s="2"/>
      <c r="E515" s="2"/>
      <c r="F515" s="2"/>
      <c r="G515" s="2"/>
      <c r="H515" s="2"/>
      <c r="I515" s="2"/>
    </row>
    <row r="516" spans="3:9">
      <c r="C516" s="2"/>
      <c r="D516" s="2"/>
      <c r="E516" s="2"/>
      <c r="F516" s="2"/>
      <c r="G516" s="2"/>
      <c r="H516" s="2"/>
      <c r="I516" s="2"/>
    </row>
    <row r="517" spans="3:9">
      <c r="C517" s="2"/>
      <c r="D517" s="2"/>
      <c r="E517" s="2"/>
      <c r="F517" s="2"/>
      <c r="G517" s="2"/>
      <c r="H517" s="2"/>
      <c r="I517" s="2"/>
    </row>
    <row r="518" spans="3:9">
      <c r="C518" s="2"/>
      <c r="D518" s="2"/>
      <c r="E518" s="2"/>
      <c r="F518" s="2"/>
      <c r="G518" s="2"/>
      <c r="H518" s="2"/>
      <c r="I518" s="2"/>
    </row>
    <row r="519" spans="3:9">
      <c r="C519" s="2"/>
      <c r="D519" s="2"/>
      <c r="E519" s="2"/>
      <c r="F519" s="2"/>
      <c r="G519" s="2"/>
      <c r="H519" s="2"/>
      <c r="I519" s="2"/>
    </row>
    <row r="520" spans="3:9">
      <c r="C520" s="2"/>
      <c r="D520" s="2"/>
      <c r="E520" s="2"/>
      <c r="F520" s="2"/>
      <c r="G520" s="2"/>
      <c r="H520" s="2"/>
      <c r="I520" s="2"/>
    </row>
    <row r="521" spans="3:9">
      <c r="C521" s="2"/>
      <c r="D521" s="2"/>
      <c r="E521" s="2"/>
      <c r="F521" s="2"/>
      <c r="G521" s="2"/>
      <c r="H521" s="2"/>
      <c r="I521" s="2"/>
    </row>
    <row r="522" spans="3:9">
      <c r="C522" s="2"/>
      <c r="D522" s="2"/>
      <c r="E522" s="2"/>
      <c r="F522" s="2"/>
      <c r="G522" s="2"/>
      <c r="H522" s="2"/>
      <c r="I522" s="2"/>
    </row>
    <row r="523" spans="3:9">
      <c r="C523" s="2"/>
      <c r="D523" s="2"/>
      <c r="E523" s="2"/>
      <c r="F523" s="2"/>
      <c r="G523" s="2"/>
      <c r="H523" s="2"/>
      <c r="I523" s="2"/>
    </row>
    <row r="524" spans="3:9">
      <c r="C524" s="2"/>
      <c r="D524" s="2"/>
      <c r="E524" s="2"/>
      <c r="F524" s="2"/>
      <c r="G524" s="2"/>
      <c r="H524" s="2"/>
      <c r="I524" s="2"/>
    </row>
    <row r="525" spans="3:9">
      <c r="C525" s="2"/>
      <c r="D525" s="2"/>
      <c r="E525" s="2"/>
      <c r="F525" s="2"/>
      <c r="G525" s="2"/>
      <c r="H525" s="2"/>
      <c r="I525" s="2"/>
    </row>
    <row r="526" spans="3:9">
      <c r="C526" s="2"/>
      <c r="D526" s="2"/>
      <c r="E526" s="2"/>
      <c r="F526" s="2"/>
      <c r="G526" s="2"/>
      <c r="H526" s="2"/>
      <c r="I526" s="2"/>
    </row>
    <row r="527" spans="3:9">
      <c r="C527" s="2"/>
      <c r="D527" s="2"/>
      <c r="E527" s="2"/>
      <c r="F527" s="2"/>
      <c r="G527" s="2"/>
      <c r="H527" s="2"/>
      <c r="I527" s="2"/>
    </row>
    <row r="528" spans="3:9">
      <c r="C528" s="2"/>
      <c r="D528" s="2"/>
      <c r="E528" s="2"/>
      <c r="F528" s="2"/>
      <c r="G528" s="2"/>
      <c r="H528" s="2"/>
      <c r="I528" s="2"/>
    </row>
    <row r="529" spans="3:9">
      <c r="C529" s="2"/>
      <c r="D529" s="2"/>
      <c r="E529" s="2"/>
      <c r="F529" s="2"/>
      <c r="G529" s="2"/>
      <c r="H529" s="2"/>
      <c r="I529" s="2"/>
    </row>
    <row r="530" spans="3:9">
      <c r="C530" s="2"/>
      <c r="D530" s="2"/>
      <c r="E530" s="2"/>
      <c r="F530" s="2"/>
      <c r="G530" s="2"/>
      <c r="H530" s="2"/>
      <c r="I530" s="2"/>
    </row>
    <row r="531" spans="3:9">
      <c r="C531" s="2"/>
      <c r="D531" s="2"/>
      <c r="E531" s="2"/>
      <c r="F531" s="2"/>
      <c r="G531" s="2"/>
      <c r="H531" s="2"/>
      <c r="I531" s="2"/>
    </row>
    <row r="532" spans="3:9">
      <c r="C532" s="2"/>
      <c r="D532" s="2"/>
      <c r="E532" s="2"/>
      <c r="F532" s="2"/>
      <c r="G532" s="2"/>
      <c r="H532" s="2"/>
      <c r="I532" s="2"/>
    </row>
    <row r="533" spans="3:9">
      <c r="C533" s="2"/>
      <c r="D533" s="2"/>
      <c r="E533" s="2"/>
      <c r="F533" s="2"/>
      <c r="G533" s="2"/>
      <c r="H533" s="2"/>
      <c r="I533" s="2"/>
    </row>
    <row r="534" spans="3:9">
      <c r="C534" s="2"/>
      <c r="D534" s="2"/>
      <c r="E534" s="2"/>
      <c r="F534" s="2"/>
      <c r="G534" s="2"/>
      <c r="H534" s="2"/>
      <c r="I534" s="2"/>
    </row>
    <row r="535" spans="3:9">
      <c r="C535" s="2"/>
      <c r="D535" s="2"/>
      <c r="E535" s="2"/>
      <c r="F535" s="2"/>
      <c r="G535" s="2"/>
      <c r="H535" s="2"/>
      <c r="I535" s="2"/>
    </row>
    <row r="536" spans="3:9">
      <c r="C536" s="2"/>
      <c r="D536" s="2"/>
      <c r="E536" s="2"/>
      <c r="F536" s="2"/>
      <c r="G536" s="2"/>
      <c r="H536" s="2"/>
      <c r="I536" s="2"/>
    </row>
    <row r="537" spans="3:9">
      <c r="C537" s="2"/>
      <c r="D537" s="2"/>
      <c r="E537" s="2"/>
      <c r="F537" s="2"/>
      <c r="G537" s="2"/>
      <c r="H537" s="2"/>
      <c r="I537" s="2"/>
    </row>
    <row r="538" spans="3:9">
      <c r="C538" s="2"/>
      <c r="D538" s="2"/>
      <c r="E538" s="2"/>
      <c r="F538" s="2"/>
      <c r="G538" s="2"/>
      <c r="H538" s="2"/>
      <c r="I538" s="2"/>
    </row>
    <row r="539" spans="3:9">
      <c r="C539" s="2"/>
      <c r="D539" s="2"/>
      <c r="E539" s="2"/>
      <c r="F539" s="2"/>
      <c r="G539" s="2"/>
      <c r="H539" s="2"/>
      <c r="I539" s="2"/>
    </row>
    <row r="540" spans="3:9">
      <c r="C540" s="2"/>
      <c r="D540" s="2"/>
      <c r="E540" s="2"/>
      <c r="F540" s="2"/>
      <c r="G540" s="2"/>
      <c r="H540" s="2"/>
      <c r="I540" s="2"/>
    </row>
    <row r="541" spans="3:9">
      <c r="C541" s="2"/>
      <c r="D541" s="2"/>
      <c r="E541" s="2"/>
      <c r="F541" s="2"/>
      <c r="G541" s="2"/>
      <c r="H541" s="2"/>
      <c r="I541" s="2"/>
    </row>
    <row r="542" spans="3:9">
      <c r="C542" s="2"/>
      <c r="D542" s="2"/>
      <c r="E542" s="2"/>
      <c r="F542" s="2"/>
      <c r="G542" s="2"/>
      <c r="H542" s="2"/>
      <c r="I542" s="2"/>
    </row>
    <row r="543" spans="3:9">
      <c r="C543" s="2"/>
      <c r="D543" s="2"/>
      <c r="E543" s="2"/>
      <c r="F543" s="2"/>
      <c r="G543" s="2"/>
      <c r="H543" s="2"/>
      <c r="I543" s="2"/>
    </row>
    <row r="544" spans="3:9">
      <c r="C544" s="2"/>
      <c r="D544" s="2"/>
      <c r="E544" s="2"/>
      <c r="F544" s="2"/>
      <c r="G544" s="2"/>
      <c r="H544" s="2"/>
      <c r="I544" s="2"/>
    </row>
    <row r="545" spans="3:9">
      <c r="C545" s="2"/>
      <c r="D545" s="2"/>
      <c r="E545" s="2"/>
      <c r="F545" s="2"/>
      <c r="G545" s="2"/>
      <c r="H545" s="2"/>
      <c r="I545" s="2"/>
    </row>
    <row r="546" spans="3:9">
      <c r="C546" s="2"/>
      <c r="D546" s="2"/>
      <c r="E546" s="2"/>
      <c r="F546" s="2"/>
      <c r="G546" s="2"/>
      <c r="H546" s="2"/>
      <c r="I546" s="2"/>
    </row>
    <row r="547" spans="3:9">
      <c r="C547" s="2"/>
      <c r="D547" s="2"/>
      <c r="E547" s="2"/>
      <c r="F547" s="2"/>
      <c r="G547" s="2"/>
      <c r="H547" s="2"/>
      <c r="I547" s="2"/>
    </row>
    <row r="548" spans="3:9">
      <c r="C548" s="2"/>
      <c r="D548" s="2"/>
      <c r="E548" s="2"/>
      <c r="F548" s="2"/>
      <c r="G548" s="2"/>
      <c r="H548" s="2"/>
      <c r="I548" s="2"/>
    </row>
    <row r="549" spans="3:9">
      <c r="C549" s="2"/>
      <c r="D549" s="2"/>
      <c r="E549" s="2"/>
      <c r="F549" s="2"/>
      <c r="G549" s="2"/>
      <c r="H549" s="2"/>
      <c r="I549" s="2"/>
    </row>
    <row r="550" spans="3:9">
      <c r="C550" s="2"/>
      <c r="D550" s="2"/>
      <c r="E550" s="2"/>
      <c r="F550" s="2"/>
      <c r="G550" s="2"/>
      <c r="H550" s="2"/>
      <c r="I550" s="2"/>
    </row>
    <row r="551" spans="3:9">
      <c r="C551" s="2"/>
      <c r="D551" s="2"/>
      <c r="E551" s="2"/>
      <c r="F551" s="2"/>
      <c r="G551" s="2"/>
      <c r="H551" s="2"/>
      <c r="I551" s="2"/>
    </row>
    <row r="552" spans="3:9">
      <c r="C552" s="2"/>
      <c r="D552" s="2"/>
      <c r="E552" s="2"/>
      <c r="F552" s="2"/>
      <c r="G552" s="2"/>
      <c r="H552" s="2"/>
      <c r="I552" s="2"/>
    </row>
    <row r="553" spans="3:9">
      <c r="C553" s="2"/>
      <c r="D553" s="2"/>
      <c r="E553" s="2"/>
      <c r="F553" s="2"/>
      <c r="G553" s="2"/>
      <c r="H553" s="2"/>
      <c r="I553" s="2"/>
    </row>
    <row r="554" spans="3:9">
      <c r="C554" s="2"/>
      <c r="D554" s="2"/>
      <c r="E554" s="2"/>
      <c r="F554" s="2"/>
      <c r="G554" s="2"/>
      <c r="H554" s="2"/>
      <c r="I554" s="2"/>
    </row>
    <row r="555" spans="3:9">
      <c r="C555" s="2"/>
      <c r="D555" s="2"/>
      <c r="E555" s="2"/>
      <c r="F555" s="2"/>
      <c r="G555" s="2"/>
      <c r="H555" s="2"/>
      <c r="I555" s="2"/>
    </row>
    <row r="556" spans="3:9">
      <c r="C556" s="2"/>
      <c r="D556" s="2"/>
      <c r="E556" s="2"/>
      <c r="F556" s="2"/>
      <c r="G556" s="2"/>
      <c r="H556" s="2"/>
      <c r="I556" s="2"/>
    </row>
    <row r="557" spans="3:9">
      <c r="C557" s="2"/>
      <c r="D557" s="2"/>
      <c r="E557" s="2"/>
      <c r="F557" s="2"/>
      <c r="G557" s="2"/>
      <c r="H557" s="2"/>
      <c r="I557" s="2"/>
    </row>
    <row r="558" spans="3:9">
      <c r="C558" s="2"/>
      <c r="D558" s="2"/>
      <c r="E558" s="2"/>
      <c r="F558" s="2"/>
      <c r="G558" s="2"/>
      <c r="H558" s="2"/>
      <c r="I558" s="2"/>
    </row>
    <row r="559" spans="3:9">
      <c r="C559" s="2"/>
      <c r="D559" s="2"/>
      <c r="E559" s="2"/>
      <c r="F559" s="2"/>
      <c r="G559" s="2"/>
      <c r="H559" s="2"/>
      <c r="I559" s="2"/>
    </row>
    <row r="560" spans="3:9">
      <c r="C560" s="2"/>
      <c r="D560" s="2"/>
      <c r="E560" s="2"/>
      <c r="F560" s="2"/>
      <c r="G560" s="2"/>
      <c r="H560" s="2"/>
      <c r="I560" s="2"/>
    </row>
    <row r="561" spans="3:9">
      <c r="C561" s="2"/>
      <c r="D561" s="2"/>
      <c r="E561" s="2"/>
      <c r="F561" s="2"/>
      <c r="G561" s="2"/>
      <c r="H561" s="2"/>
      <c r="I561" s="2"/>
    </row>
    <row r="562" spans="3:9">
      <c r="C562" s="2"/>
      <c r="D562" s="2"/>
      <c r="E562" s="2"/>
      <c r="F562" s="2"/>
      <c r="G562" s="2"/>
      <c r="H562" s="2"/>
      <c r="I562" s="2"/>
    </row>
    <row r="563" spans="3:9">
      <c r="C563" s="2"/>
      <c r="D563" s="2"/>
      <c r="E563" s="2"/>
      <c r="F563" s="2"/>
      <c r="G563" s="2"/>
      <c r="H563" s="2"/>
      <c r="I563" s="2"/>
    </row>
    <row r="564" spans="3:9">
      <c r="C564" s="2"/>
      <c r="D564" s="2"/>
      <c r="E564" s="2"/>
      <c r="F564" s="2"/>
      <c r="G564" s="2"/>
      <c r="H564" s="2"/>
      <c r="I564" s="2"/>
    </row>
    <row r="565" spans="3:9">
      <c r="C565" s="2"/>
      <c r="D565" s="2"/>
      <c r="E565" s="2"/>
      <c r="F565" s="2"/>
      <c r="G565" s="2"/>
      <c r="H565" s="2"/>
      <c r="I565" s="2"/>
    </row>
    <row r="566" spans="3:9">
      <c r="C566" s="2"/>
      <c r="D566" s="2"/>
      <c r="E566" s="2"/>
      <c r="F566" s="2"/>
      <c r="G566" s="2"/>
      <c r="H566" s="2"/>
      <c r="I566" s="2"/>
    </row>
    <row r="567" spans="3:9">
      <c r="C567" s="2"/>
      <c r="D567" s="2"/>
      <c r="E567" s="2"/>
      <c r="F567" s="2"/>
      <c r="G567" s="2"/>
      <c r="H567" s="2"/>
      <c r="I567" s="2"/>
    </row>
    <row r="568" spans="3:9">
      <c r="C568" s="2"/>
      <c r="D568" s="2"/>
      <c r="E568" s="2"/>
      <c r="F568" s="2"/>
      <c r="G568" s="2"/>
      <c r="H568" s="2"/>
      <c r="I568" s="2"/>
    </row>
    <row r="569" spans="3:9">
      <c r="C569" s="2"/>
      <c r="D569" s="2"/>
      <c r="E569" s="2"/>
      <c r="F569" s="2"/>
      <c r="G569" s="2"/>
      <c r="H569" s="2"/>
      <c r="I569" s="2"/>
    </row>
    <row r="570" spans="3:9">
      <c r="C570" s="2"/>
      <c r="D570" s="2"/>
      <c r="E570" s="2"/>
      <c r="F570" s="2"/>
      <c r="G570" s="2"/>
      <c r="H570" s="2"/>
      <c r="I570" s="2"/>
    </row>
    <row r="571" spans="3:9">
      <c r="C571" s="2"/>
      <c r="D571" s="2"/>
      <c r="E571" s="2"/>
      <c r="F571" s="2"/>
      <c r="G571" s="2"/>
      <c r="H571" s="2"/>
      <c r="I571" s="2"/>
    </row>
    <row r="572" spans="3:9">
      <c r="C572" s="2"/>
      <c r="D572" s="2"/>
      <c r="E572" s="2"/>
      <c r="F572" s="2"/>
      <c r="G572" s="2"/>
      <c r="H572" s="2"/>
      <c r="I572" s="2"/>
    </row>
    <row r="573" spans="3:9">
      <c r="C573" s="2"/>
      <c r="D573" s="2"/>
      <c r="E573" s="2"/>
      <c r="F573" s="2"/>
      <c r="G573" s="2"/>
      <c r="H573" s="2"/>
      <c r="I573" s="2"/>
    </row>
    <row r="574" spans="3:9">
      <c r="C574" s="2"/>
      <c r="D574" s="2"/>
      <c r="E574" s="2"/>
      <c r="F574" s="2"/>
      <c r="G574" s="2"/>
      <c r="H574" s="2"/>
      <c r="I574" s="2"/>
    </row>
    <row r="575" spans="3:9">
      <c r="C575" s="2"/>
      <c r="D575" s="2"/>
      <c r="E575" s="2"/>
      <c r="F575" s="2"/>
      <c r="G575" s="2"/>
      <c r="H575" s="2"/>
      <c r="I575" s="2"/>
    </row>
    <row r="576" spans="3:9">
      <c r="C576" s="2"/>
      <c r="D576" s="2"/>
      <c r="E576" s="2"/>
      <c r="F576" s="2"/>
      <c r="G576" s="2"/>
      <c r="H576" s="2"/>
      <c r="I576" s="2"/>
    </row>
    <row r="577" spans="3:9">
      <c r="C577" s="2"/>
      <c r="D577" s="2"/>
      <c r="E577" s="2"/>
      <c r="F577" s="2"/>
      <c r="G577" s="2"/>
      <c r="H577" s="2"/>
      <c r="I577" s="2"/>
    </row>
    <row r="578" spans="3:9">
      <c r="C578" s="2"/>
      <c r="D578" s="2"/>
      <c r="E578" s="2"/>
      <c r="F578" s="2"/>
      <c r="G578" s="2"/>
      <c r="H578" s="2"/>
      <c r="I578" s="2"/>
    </row>
    <row r="579" spans="3:9">
      <c r="C579" s="2"/>
      <c r="D579" s="2"/>
      <c r="E579" s="2"/>
      <c r="F579" s="2"/>
      <c r="G579" s="2"/>
      <c r="H579" s="2"/>
      <c r="I579" s="2"/>
    </row>
    <row r="580" spans="3:9">
      <c r="C580" s="2"/>
      <c r="D580" s="2"/>
      <c r="E580" s="2"/>
      <c r="F580" s="2"/>
      <c r="G580" s="2"/>
      <c r="H580" s="2"/>
      <c r="I580" s="2"/>
    </row>
    <row r="581" spans="3:9">
      <c r="C581" s="2"/>
      <c r="D581" s="2"/>
      <c r="E581" s="2"/>
      <c r="F581" s="2"/>
      <c r="G581" s="2"/>
      <c r="H581" s="2"/>
      <c r="I581" s="2"/>
    </row>
    <row r="582" spans="3:9">
      <c r="C582" s="2"/>
      <c r="D582" s="2"/>
      <c r="E582" s="2"/>
      <c r="F582" s="2"/>
      <c r="G582" s="2"/>
      <c r="H582" s="2"/>
      <c r="I582" s="2"/>
    </row>
    <row r="583" spans="3:9">
      <c r="C583" s="2"/>
      <c r="D583" s="2"/>
      <c r="E583" s="2"/>
      <c r="F583" s="2"/>
      <c r="G583" s="2"/>
      <c r="H583" s="2"/>
      <c r="I583" s="2"/>
    </row>
    <row r="584" spans="3:9">
      <c r="C584" s="2"/>
      <c r="D584" s="2"/>
      <c r="E584" s="2"/>
      <c r="F584" s="2"/>
      <c r="G584" s="2"/>
      <c r="H584" s="2"/>
      <c r="I584" s="2"/>
    </row>
    <row r="585" spans="3:9">
      <c r="C585" s="2"/>
      <c r="D585" s="2"/>
      <c r="E585" s="2"/>
      <c r="F585" s="2"/>
      <c r="G585" s="2"/>
      <c r="H585" s="2"/>
      <c r="I585" s="2"/>
    </row>
    <row r="586" spans="3:9">
      <c r="C586" s="2"/>
      <c r="D586" s="2"/>
      <c r="E586" s="2"/>
      <c r="F586" s="2"/>
      <c r="G586" s="2"/>
      <c r="H586" s="2"/>
      <c r="I586" s="2"/>
    </row>
    <row r="587" spans="3:9">
      <c r="C587" s="2"/>
      <c r="D587" s="2"/>
      <c r="E587" s="2"/>
      <c r="F587" s="2"/>
      <c r="G587" s="2"/>
      <c r="H587" s="2"/>
      <c r="I587" s="2"/>
    </row>
    <row r="588" spans="3:9">
      <c r="C588" s="2"/>
      <c r="D588" s="2"/>
      <c r="E588" s="2"/>
      <c r="F588" s="2"/>
      <c r="G588" s="2"/>
      <c r="H588" s="2"/>
      <c r="I588" s="2"/>
    </row>
    <row r="589" spans="3:9">
      <c r="C589" s="2"/>
      <c r="D589" s="2"/>
      <c r="E589" s="2"/>
      <c r="F589" s="2"/>
      <c r="G589" s="2"/>
      <c r="H589" s="2"/>
      <c r="I589" s="2"/>
    </row>
    <row r="590" spans="3:9">
      <c r="C590" s="2"/>
      <c r="D590" s="2"/>
      <c r="E590" s="2"/>
      <c r="F590" s="2"/>
      <c r="G590" s="2"/>
      <c r="H590" s="2"/>
      <c r="I590" s="2"/>
    </row>
    <row r="591" spans="3:9">
      <c r="C591" s="2"/>
      <c r="D591" s="2"/>
      <c r="E591" s="2"/>
      <c r="F591" s="2"/>
      <c r="G591" s="2"/>
      <c r="H591" s="2"/>
      <c r="I591" s="2"/>
    </row>
    <row r="592" spans="3:9">
      <c r="C592" s="2"/>
      <c r="D592" s="2"/>
      <c r="E592" s="2"/>
      <c r="F592" s="2"/>
      <c r="G592" s="2"/>
      <c r="H592" s="2"/>
      <c r="I592" s="2"/>
    </row>
    <row r="593" spans="3:9">
      <c r="C593" s="2"/>
      <c r="D593" s="2"/>
      <c r="E593" s="2"/>
      <c r="F593" s="2"/>
      <c r="G593" s="2"/>
      <c r="H593" s="2"/>
      <c r="I593" s="2"/>
    </row>
    <row r="594" spans="3:9">
      <c r="C594" s="2"/>
      <c r="D594" s="2"/>
      <c r="E594" s="2"/>
      <c r="F594" s="2"/>
      <c r="G594" s="2"/>
      <c r="H594" s="2"/>
      <c r="I594" s="2"/>
    </row>
    <row r="595" spans="3:9">
      <c r="C595" s="2"/>
      <c r="D595" s="2"/>
      <c r="E595" s="2"/>
      <c r="F595" s="2"/>
      <c r="G595" s="2"/>
      <c r="H595" s="2"/>
      <c r="I595" s="2"/>
    </row>
    <row r="596" spans="3:9">
      <c r="C596" s="2"/>
      <c r="D596" s="2"/>
      <c r="E596" s="2"/>
      <c r="F596" s="2"/>
      <c r="G596" s="2"/>
      <c r="H596" s="2"/>
      <c r="I596" s="2"/>
    </row>
    <row r="597" spans="3:9">
      <c r="C597" s="2"/>
      <c r="D597" s="2"/>
      <c r="E597" s="2"/>
      <c r="F597" s="2"/>
      <c r="G597" s="2"/>
      <c r="H597" s="2"/>
      <c r="I597" s="2"/>
    </row>
    <row r="598" spans="3:9">
      <c r="C598" s="2"/>
      <c r="D598" s="2"/>
      <c r="E598" s="2"/>
      <c r="F598" s="2"/>
      <c r="G598" s="2"/>
      <c r="H598" s="2"/>
      <c r="I598" s="2"/>
    </row>
    <row r="599" spans="3:9">
      <c r="C599" s="2"/>
      <c r="D599" s="2"/>
      <c r="E599" s="2"/>
      <c r="F599" s="2"/>
      <c r="G599" s="2"/>
      <c r="H599" s="2"/>
      <c r="I599" s="2"/>
    </row>
    <row r="600" spans="3:9">
      <c r="C600" s="2"/>
      <c r="D600" s="2"/>
      <c r="E600" s="2"/>
      <c r="F600" s="2"/>
      <c r="G600" s="2"/>
      <c r="H600" s="2"/>
      <c r="I600" s="2"/>
    </row>
    <row r="601" spans="3:9">
      <c r="C601" s="2"/>
      <c r="D601" s="2"/>
      <c r="E601" s="2"/>
      <c r="F601" s="2"/>
      <c r="G601" s="2"/>
      <c r="H601" s="2"/>
      <c r="I601" s="2"/>
    </row>
    <row r="602" spans="3:9">
      <c r="C602" s="2"/>
      <c r="D602" s="2"/>
      <c r="E602" s="2"/>
      <c r="F602" s="2"/>
      <c r="G602" s="2"/>
      <c r="H602" s="2"/>
      <c r="I602" s="2"/>
    </row>
    <row r="603" spans="3:9">
      <c r="C603" s="2"/>
      <c r="D603" s="2"/>
      <c r="E603" s="2"/>
      <c r="F603" s="2"/>
      <c r="G603" s="2"/>
      <c r="H603" s="2"/>
      <c r="I603" s="2"/>
    </row>
    <row r="604" spans="3:9">
      <c r="C604" s="2"/>
      <c r="D604" s="2"/>
      <c r="E604" s="2"/>
      <c r="F604" s="2"/>
      <c r="G604" s="2"/>
      <c r="H604" s="2"/>
      <c r="I604" s="2"/>
    </row>
    <row r="605" spans="3:9">
      <c r="C605" s="2"/>
      <c r="D605" s="2"/>
      <c r="E605" s="2"/>
      <c r="F605" s="2"/>
      <c r="G605" s="2"/>
      <c r="H605" s="2"/>
      <c r="I605" s="2"/>
    </row>
    <row r="606" spans="3:9">
      <c r="C606" s="2"/>
      <c r="D606" s="2"/>
      <c r="E606" s="2"/>
      <c r="F606" s="2"/>
      <c r="G606" s="2"/>
      <c r="H606" s="2"/>
      <c r="I606" s="2"/>
    </row>
    <row r="607" spans="3:9">
      <c r="C607" s="2"/>
      <c r="D607" s="2"/>
      <c r="E607" s="2"/>
      <c r="F607" s="2"/>
      <c r="G607" s="2"/>
      <c r="H607" s="2"/>
      <c r="I607" s="2"/>
    </row>
    <row r="608" spans="3:9">
      <c r="C608" s="2"/>
      <c r="D608" s="2"/>
      <c r="E608" s="2"/>
      <c r="F608" s="2"/>
      <c r="G608" s="2"/>
      <c r="H608" s="2"/>
      <c r="I608" s="2"/>
    </row>
    <row r="609" spans="3:9">
      <c r="C609" s="2"/>
      <c r="D609" s="2"/>
      <c r="E609" s="2"/>
      <c r="F609" s="2"/>
      <c r="G609" s="2"/>
      <c r="H609" s="2"/>
      <c r="I609" s="2"/>
    </row>
    <row r="610" spans="3:9">
      <c r="C610" s="2"/>
      <c r="D610" s="2"/>
      <c r="E610" s="2"/>
      <c r="F610" s="2"/>
      <c r="G610" s="2"/>
      <c r="H610" s="2"/>
      <c r="I610" s="2"/>
    </row>
    <row r="611" spans="3:9">
      <c r="C611" s="2"/>
      <c r="D611" s="2"/>
      <c r="E611" s="2"/>
      <c r="F611" s="2"/>
      <c r="G611" s="2"/>
      <c r="H611" s="2"/>
      <c r="I611" s="2"/>
    </row>
    <row r="612" spans="3:9">
      <c r="C612" s="2"/>
      <c r="D612" s="2"/>
      <c r="E612" s="2"/>
      <c r="F612" s="2"/>
      <c r="G612" s="2"/>
      <c r="H612" s="2"/>
      <c r="I612" s="2"/>
    </row>
    <row r="613" spans="3:9">
      <c r="C613" s="2"/>
      <c r="D613" s="2"/>
      <c r="E613" s="2"/>
      <c r="F613" s="2"/>
      <c r="G613" s="2"/>
      <c r="H613" s="2"/>
      <c r="I613" s="2"/>
    </row>
    <row r="614" spans="3:9">
      <c r="C614" s="2"/>
      <c r="D614" s="2"/>
      <c r="E614" s="2"/>
      <c r="F614" s="2"/>
      <c r="G614" s="2"/>
      <c r="H614" s="2"/>
      <c r="I614" s="2"/>
    </row>
    <row r="615" spans="3:9">
      <c r="C615" s="2"/>
      <c r="D615" s="2"/>
      <c r="E615" s="2"/>
      <c r="F615" s="2"/>
      <c r="G615" s="2"/>
      <c r="H615" s="2"/>
      <c r="I615" s="2"/>
    </row>
    <row r="616" spans="3:9">
      <c r="C616" s="2"/>
      <c r="D616" s="2"/>
      <c r="E616" s="2"/>
      <c r="F616" s="2"/>
      <c r="G616" s="2"/>
      <c r="H616" s="2"/>
      <c r="I616" s="2"/>
    </row>
    <row r="617" spans="3:9">
      <c r="C617" s="2"/>
      <c r="D617" s="2"/>
      <c r="E617" s="2"/>
      <c r="F617" s="2"/>
      <c r="G617" s="2"/>
      <c r="H617" s="2"/>
      <c r="I617" s="2"/>
    </row>
    <row r="618" spans="3:9">
      <c r="C618" s="2"/>
      <c r="D618" s="2"/>
      <c r="E618" s="2"/>
      <c r="F618" s="2"/>
      <c r="G618" s="2"/>
      <c r="H618" s="2"/>
      <c r="I618" s="2"/>
    </row>
    <row r="619" spans="3:9">
      <c r="C619" s="2"/>
      <c r="D619" s="2"/>
      <c r="E619" s="2"/>
      <c r="F619" s="2"/>
      <c r="G619" s="2"/>
      <c r="H619" s="2"/>
      <c r="I619" s="2"/>
    </row>
    <row r="620" spans="3:9">
      <c r="C620" s="2"/>
      <c r="D620" s="2"/>
      <c r="E620" s="2"/>
      <c r="F620" s="2"/>
      <c r="G620" s="2"/>
      <c r="H620" s="2"/>
      <c r="I620" s="2"/>
    </row>
    <row r="621" spans="3:9">
      <c r="C621" s="2"/>
      <c r="D621" s="2"/>
      <c r="E621" s="2"/>
      <c r="F621" s="2"/>
      <c r="G621" s="2"/>
      <c r="H621" s="2"/>
      <c r="I621" s="2"/>
    </row>
    <row r="622" spans="3:9">
      <c r="C622" s="2"/>
      <c r="D622" s="2"/>
      <c r="E622" s="2"/>
      <c r="F622" s="2"/>
      <c r="G622" s="2"/>
      <c r="H622" s="2"/>
      <c r="I622" s="2"/>
    </row>
    <row r="623" spans="3:9">
      <c r="C623" s="2"/>
      <c r="D623" s="2"/>
      <c r="E623" s="2"/>
      <c r="F623" s="2"/>
      <c r="G623" s="2"/>
      <c r="H623" s="2"/>
      <c r="I623" s="2"/>
    </row>
    <row r="624" spans="3:9">
      <c r="C624" s="2"/>
      <c r="D624" s="2"/>
      <c r="E624" s="2"/>
      <c r="F624" s="2"/>
      <c r="G624" s="2"/>
      <c r="H624" s="2"/>
      <c r="I624" s="2"/>
    </row>
    <row r="625" spans="3:9">
      <c r="C625" s="2"/>
      <c r="D625" s="2"/>
      <c r="E625" s="2"/>
      <c r="F625" s="2"/>
      <c r="G625" s="2"/>
      <c r="H625" s="2"/>
      <c r="I625" s="2"/>
    </row>
    <row r="626" spans="3:9">
      <c r="C626" s="2"/>
      <c r="D626" s="2"/>
      <c r="E626" s="2"/>
      <c r="F626" s="2"/>
      <c r="G626" s="2"/>
      <c r="H626" s="2"/>
      <c r="I626" s="2"/>
    </row>
    <row r="627" spans="3:9">
      <c r="C627" s="2"/>
      <c r="D627" s="2"/>
      <c r="E627" s="2"/>
      <c r="F627" s="2"/>
      <c r="G627" s="2"/>
      <c r="H627" s="2"/>
      <c r="I627" s="2"/>
    </row>
    <row r="628" spans="3:9">
      <c r="C628" s="2"/>
      <c r="D628" s="2"/>
      <c r="E628" s="2"/>
      <c r="F628" s="2"/>
      <c r="G628" s="2"/>
      <c r="H628" s="2"/>
      <c r="I628" s="2"/>
    </row>
    <row r="629" spans="3:9">
      <c r="C629" s="2"/>
      <c r="D629" s="2"/>
      <c r="E629" s="2"/>
      <c r="F629" s="2"/>
      <c r="G629" s="2"/>
      <c r="H629" s="2"/>
      <c r="I629" s="2"/>
    </row>
    <row r="630" spans="3:9">
      <c r="C630" s="2"/>
      <c r="D630" s="2"/>
      <c r="E630" s="2"/>
      <c r="F630" s="2"/>
      <c r="G630" s="2"/>
      <c r="H630" s="2"/>
      <c r="I630" s="2"/>
    </row>
    <row r="631" spans="3:9">
      <c r="C631" s="2"/>
      <c r="D631" s="2"/>
      <c r="E631" s="2"/>
      <c r="F631" s="2"/>
      <c r="G631" s="2"/>
      <c r="H631" s="2"/>
      <c r="I631" s="2"/>
    </row>
    <row r="632" spans="3:9">
      <c r="C632" s="2"/>
      <c r="D632" s="2"/>
      <c r="E632" s="2"/>
      <c r="F632" s="2"/>
      <c r="G632" s="2"/>
      <c r="H632" s="2"/>
      <c r="I632" s="2"/>
    </row>
    <row r="633" spans="3:9">
      <c r="C633" s="2"/>
      <c r="D633" s="2"/>
      <c r="E633" s="2"/>
      <c r="F633" s="2"/>
      <c r="G633" s="2"/>
      <c r="H633" s="2"/>
      <c r="I633" s="2"/>
    </row>
    <row r="634" spans="3:9">
      <c r="C634" s="2"/>
      <c r="D634" s="2"/>
      <c r="E634" s="2"/>
      <c r="F634" s="2"/>
      <c r="G634" s="2"/>
      <c r="H634" s="2"/>
      <c r="I634" s="2"/>
    </row>
    <row r="635" spans="3:9">
      <c r="C635" s="2"/>
      <c r="D635" s="2"/>
      <c r="E635" s="2"/>
      <c r="F635" s="2"/>
      <c r="G635" s="2"/>
      <c r="H635" s="2"/>
      <c r="I635" s="2"/>
    </row>
    <row r="636" spans="3:9">
      <c r="C636" s="2"/>
      <c r="D636" s="2"/>
      <c r="E636" s="2"/>
      <c r="F636" s="2"/>
      <c r="G636" s="2"/>
      <c r="H636" s="2"/>
      <c r="I636" s="2"/>
    </row>
    <row r="637" spans="3:9">
      <c r="C637" s="2"/>
      <c r="D637" s="2"/>
      <c r="E637" s="2"/>
      <c r="F637" s="2"/>
      <c r="G637" s="2"/>
      <c r="H637" s="2"/>
      <c r="I637" s="2"/>
    </row>
    <row r="638" spans="3:9">
      <c r="C638" s="2"/>
      <c r="D638" s="2"/>
      <c r="E638" s="2"/>
      <c r="F638" s="2"/>
      <c r="G638" s="2"/>
      <c r="H638" s="2"/>
      <c r="I638" s="2"/>
    </row>
    <row r="639" spans="3:9">
      <c r="C639" s="2"/>
      <c r="D639" s="2"/>
      <c r="E639" s="2"/>
      <c r="F639" s="2"/>
      <c r="G639" s="2"/>
      <c r="H639" s="2"/>
      <c r="I639" s="2"/>
    </row>
    <row r="640" spans="3:9">
      <c r="C640" s="2"/>
      <c r="D640" s="2"/>
      <c r="E640" s="2"/>
      <c r="F640" s="2"/>
      <c r="G640" s="2"/>
      <c r="H640" s="2"/>
      <c r="I640" s="2"/>
    </row>
    <row r="641" spans="3:9">
      <c r="C641" s="2"/>
      <c r="D641" s="2"/>
      <c r="E641" s="2"/>
      <c r="F641" s="2"/>
      <c r="G641" s="2"/>
      <c r="H641" s="2"/>
      <c r="I641" s="2"/>
    </row>
    <row r="642" spans="3:9">
      <c r="C642" s="2"/>
      <c r="D642" s="2"/>
      <c r="E642" s="2"/>
      <c r="F642" s="2"/>
      <c r="G642" s="2"/>
      <c r="H642" s="2"/>
      <c r="I642" s="2"/>
    </row>
    <row r="643" spans="3:9">
      <c r="C643" s="2"/>
      <c r="D643" s="2"/>
      <c r="E643" s="2"/>
      <c r="F643" s="2"/>
      <c r="G643" s="2"/>
      <c r="H643" s="2"/>
      <c r="I643" s="2"/>
    </row>
    <row r="644" spans="3:9">
      <c r="C644" s="2"/>
      <c r="D644" s="2"/>
      <c r="E644" s="2"/>
      <c r="F644" s="2"/>
      <c r="G644" s="2"/>
      <c r="H644" s="2"/>
      <c r="I644" s="2"/>
    </row>
    <row r="645" spans="3:9">
      <c r="C645" s="2"/>
      <c r="D645" s="2"/>
      <c r="E645" s="2"/>
      <c r="F645" s="2"/>
      <c r="G645" s="2"/>
      <c r="H645" s="2"/>
      <c r="I645" s="2"/>
    </row>
    <row r="646" spans="3:9">
      <c r="C646" s="2"/>
      <c r="D646" s="2"/>
      <c r="E646" s="2"/>
      <c r="F646" s="2"/>
      <c r="G646" s="2"/>
      <c r="H646" s="2"/>
      <c r="I646" s="2"/>
    </row>
    <row r="647" spans="3:9">
      <c r="C647" s="2"/>
      <c r="D647" s="2"/>
      <c r="E647" s="2"/>
      <c r="F647" s="2"/>
      <c r="G647" s="2"/>
      <c r="H647" s="2"/>
      <c r="I647" s="2"/>
    </row>
    <row r="648" spans="3:9">
      <c r="C648" s="2"/>
      <c r="D648" s="2"/>
      <c r="E648" s="2"/>
      <c r="F648" s="2"/>
      <c r="G648" s="2"/>
      <c r="H648" s="2"/>
      <c r="I648" s="2"/>
    </row>
    <row r="649" spans="3:9">
      <c r="C649" s="2"/>
      <c r="D649" s="2"/>
      <c r="E649" s="2"/>
      <c r="F649" s="2"/>
      <c r="G649" s="2"/>
      <c r="H649" s="2"/>
      <c r="I649" s="2"/>
    </row>
    <row r="650" spans="3:9">
      <c r="C650" s="2"/>
      <c r="D650" s="2"/>
      <c r="E650" s="2"/>
      <c r="F650" s="2"/>
      <c r="G650" s="2"/>
      <c r="H650" s="2"/>
      <c r="I650" s="2"/>
    </row>
    <row r="651" spans="3:9">
      <c r="C651" s="2"/>
      <c r="D651" s="2"/>
      <c r="E651" s="2"/>
      <c r="F651" s="2"/>
      <c r="G651" s="2"/>
      <c r="H651" s="2"/>
      <c r="I651" s="2"/>
    </row>
    <row r="652" spans="3:9">
      <c r="C652" s="2"/>
      <c r="D652" s="2"/>
      <c r="E652" s="2"/>
      <c r="F652" s="2"/>
      <c r="G652" s="2"/>
      <c r="H652" s="2"/>
      <c r="I652" s="2"/>
    </row>
    <row r="653" spans="3:9">
      <c r="C653" s="2"/>
      <c r="D653" s="2"/>
      <c r="E653" s="2"/>
      <c r="F653" s="2"/>
      <c r="G653" s="2"/>
      <c r="H653" s="2"/>
      <c r="I653" s="2"/>
    </row>
    <row r="654" spans="3:9">
      <c r="C654" s="2"/>
      <c r="D654" s="2"/>
      <c r="E654" s="2"/>
      <c r="F654" s="2"/>
      <c r="G654" s="2"/>
      <c r="H654" s="2"/>
      <c r="I654" s="2"/>
    </row>
    <row r="655" spans="3:9">
      <c r="C655" s="2"/>
      <c r="D655" s="2"/>
      <c r="E655" s="2"/>
      <c r="F655" s="2"/>
      <c r="G655" s="2"/>
      <c r="H655" s="2"/>
      <c r="I655" s="2"/>
    </row>
    <row r="656" spans="3:9">
      <c r="C656" s="2"/>
      <c r="D656" s="2"/>
      <c r="E656" s="2"/>
      <c r="F656" s="2"/>
      <c r="G656" s="2"/>
      <c r="H656" s="2"/>
      <c r="I656" s="2"/>
    </row>
    <row r="657" spans="3:9">
      <c r="C657" s="2"/>
      <c r="D657" s="2"/>
      <c r="E657" s="2"/>
      <c r="F657" s="2"/>
      <c r="G657" s="2"/>
      <c r="H657" s="2"/>
      <c r="I657" s="2"/>
    </row>
    <row r="658" spans="3:9">
      <c r="C658" s="2"/>
      <c r="D658" s="2"/>
      <c r="E658" s="2"/>
      <c r="F658" s="2"/>
      <c r="G658" s="2"/>
      <c r="H658" s="2"/>
      <c r="I658" s="2"/>
    </row>
    <row r="659" spans="3:9">
      <c r="C659" s="2"/>
      <c r="D659" s="2"/>
      <c r="E659" s="2"/>
      <c r="F659" s="2"/>
      <c r="G659" s="2"/>
      <c r="H659" s="2"/>
      <c r="I659" s="2"/>
    </row>
    <row r="660" spans="3:9">
      <c r="C660" s="2"/>
      <c r="D660" s="2"/>
      <c r="E660" s="2"/>
      <c r="F660" s="2"/>
      <c r="G660" s="2"/>
      <c r="H660" s="2"/>
      <c r="I660" s="2"/>
    </row>
    <row r="661" spans="3:9">
      <c r="C661" s="2"/>
      <c r="D661" s="2"/>
      <c r="E661" s="2"/>
      <c r="F661" s="2"/>
      <c r="G661" s="2"/>
      <c r="H661" s="2"/>
      <c r="I661" s="2"/>
    </row>
    <row r="662" spans="3:9">
      <c r="C662" s="2"/>
      <c r="D662" s="2"/>
      <c r="E662" s="2"/>
      <c r="F662" s="2"/>
      <c r="G662" s="2"/>
      <c r="H662" s="2"/>
      <c r="I662" s="2"/>
    </row>
    <row r="663" spans="3:9">
      <c r="C663" s="2"/>
      <c r="D663" s="2"/>
      <c r="E663" s="2"/>
      <c r="F663" s="2"/>
      <c r="G663" s="2"/>
      <c r="H663" s="2"/>
      <c r="I663" s="2"/>
    </row>
    <row r="664" spans="3:9">
      <c r="C664" s="2"/>
      <c r="D664" s="2"/>
      <c r="E664" s="2"/>
      <c r="F664" s="2"/>
      <c r="G664" s="2"/>
      <c r="H664" s="2"/>
      <c r="I664" s="2"/>
    </row>
    <row r="665" spans="3:9">
      <c r="C665" s="2"/>
      <c r="D665" s="2"/>
      <c r="E665" s="2"/>
      <c r="F665" s="2"/>
      <c r="G665" s="2"/>
      <c r="H665" s="2"/>
      <c r="I665" s="2"/>
    </row>
    <row r="666" spans="3:9">
      <c r="C666" s="2"/>
      <c r="D666" s="2"/>
      <c r="E666" s="2"/>
      <c r="F666" s="2"/>
      <c r="G666" s="2"/>
      <c r="H666" s="2"/>
      <c r="I666" s="2"/>
    </row>
    <row r="667" spans="3:9">
      <c r="C667" s="2"/>
      <c r="D667" s="2"/>
      <c r="E667" s="2"/>
      <c r="F667" s="2"/>
      <c r="G667" s="2"/>
      <c r="H667" s="2"/>
      <c r="I667" s="2"/>
    </row>
    <row r="668" spans="3:9">
      <c r="C668" s="2"/>
      <c r="D668" s="2"/>
      <c r="E668" s="2"/>
      <c r="F668" s="2"/>
      <c r="G668" s="2"/>
      <c r="H668" s="2"/>
      <c r="I668" s="2"/>
    </row>
    <row r="669" spans="3:9">
      <c r="C669" s="2"/>
      <c r="D669" s="2"/>
      <c r="E669" s="2"/>
      <c r="F669" s="2"/>
      <c r="G669" s="2"/>
      <c r="H669" s="2"/>
      <c r="I669" s="2"/>
    </row>
    <row r="670" spans="3:9">
      <c r="C670" s="2"/>
      <c r="D670" s="2"/>
      <c r="E670" s="2"/>
      <c r="F670" s="2"/>
      <c r="G670" s="2"/>
      <c r="H670" s="2"/>
      <c r="I670" s="2"/>
    </row>
    <row r="671" spans="3:9">
      <c r="C671" s="2"/>
      <c r="D671" s="2"/>
      <c r="E671" s="2"/>
      <c r="F671" s="2"/>
      <c r="G671" s="2"/>
      <c r="H671" s="2"/>
      <c r="I671" s="2"/>
    </row>
    <row r="672" spans="3:9">
      <c r="C672" s="2"/>
      <c r="D672" s="2"/>
      <c r="E672" s="2"/>
      <c r="F672" s="2"/>
      <c r="G672" s="2"/>
      <c r="H672" s="2"/>
      <c r="I672" s="2"/>
    </row>
    <row r="673" spans="3:9">
      <c r="C673" s="2"/>
      <c r="D673" s="2"/>
      <c r="E673" s="2"/>
      <c r="F673" s="2"/>
      <c r="G673" s="2"/>
      <c r="H673" s="2"/>
      <c r="I673" s="2"/>
    </row>
    <row r="674" spans="3:9">
      <c r="C674" s="2"/>
      <c r="D674" s="2"/>
      <c r="E674" s="2"/>
      <c r="F674" s="2"/>
      <c r="G674" s="2"/>
      <c r="H674" s="2"/>
      <c r="I674" s="2"/>
    </row>
    <row r="675" spans="3:9">
      <c r="C675" s="2"/>
      <c r="D675" s="2"/>
      <c r="E675" s="2"/>
      <c r="F675" s="2"/>
      <c r="G675" s="2"/>
      <c r="H675" s="2"/>
      <c r="I675" s="2"/>
    </row>
    <row r="676" spans="3:9">
      <c r="C676" s="2"/>
      <c r="D676" s="2"/>
      <c r="E676" s="2"/>
      <c r="F676" s="2"/>
      <c r="G676" s="2"/>
      <c r="H676" s="2"/>
      <c r="I676" s="2"/>
    </row>
    <row r="677" spans="3:9">
      <c r="C677" s="2"/>
      <c r="D677" s="2"/>
      <c r="E677" s="2"/>
      <c r="F677" s="2"/>
      <c r="G677" s="2"/>
      <c r="H677" s="2"/>
      <c r="I677" s="2"/>
    </row>
    <row r="678" spans="3:9">
      <c r="C678" s="2"/>
      <c r="D678" s="2"/>
      <c r="E678" s="2"/>
      <c r="F678" s="2"/>
      <c r="G678" s="2"/>
      <c r="H678" s="2"/>
      <c r="I678" s="2"/>
    </row>
    <row r="679" spans="3:9">
      <c r="C679" s="2"/>
      <c r="D679" s="2"/>
      <c r="E679" s="2"/>
      <c r="F679" s="2"/>
      <c r="G679" s="2"/>
      <c r="H679" s="2"/>
      <c r="I679" s="2"/>
    </row>
    <row r="680" spans="3:9">
      <c r="C680" s="2"/>
      <c r="D680" s="2"/>
      <c r="E680" s="2"/>
      <c r="F680" s="2"/>
      <c r="G680" s="2"/>
      <c r="H680" s="2"/>
      <c r="I680" s="2"/>
    </row>
    <row r="681" spans="3:9">
      <c r="C681" s="2"/>
      <c r="D681" s="2"/>
      <c r="E681" s="2"/>
      <c r="F681" s="2"/>
      <c r="G681" s="2"/>
      <c r="H681" s="2"/>
      <c r="I681" s="2"/>
    </row>
    <row r="682" spans="3:9">
      <c r="C682" s="2"/>
      <c r="D682" s="2"/>
      <c r="E682" s="2"/>
      <c r="F682" s="2"/>
      <c r="G682" s="2"/>
      <c r="H682" s="2"/>
      <c r="I682" s="2"/>
    </row>
    <row r="683" spans="3:9">
      <c r="C683" s="2"/>
      <c r="D683" s="2"/>
      <c r="E683" s="2"/>
      <c r="F683" s="2"/>
      <c r="G683" s="2"/>
      <c r="H683" s="2"/>
      <c r="I683" s="2"/>
    </row>
    <row r="684" spans="3:9">
      <c r="C684" s="2"/>
      <c r="D684" s="2"/>
      <c r="E684" s="2"/>
      <c r="F684" s="2"/>
      <c r="G684" s="2"/>
      <c r="H684" s="2"/>
      <c r="I684" s="2"/>
    </row>
    <row r="685" spans="3:9">
      <c r="C685" s="2"/>
      <c r="D685" s="2"/>
      <c r="E685" s="2"/>
      <c r="F685" s="2"/>
      <c r="G685" s="2"/>
      <c r="H685" s="2"/>
      <c r="I685" s="2"/>
    </row>
    <row r="686" spans="3:9">
      <c r="C686" s="2"/>
      <c r="D686" s="2"/>
      <c r="E686" s="2"/>
      <c r="F686" s="2"/>
      <c r="G686" s="2"/>
      <c r="H686" s="2"/>
      <c r="I686" s="2"/>
    </row>
    <row r="687" spans="3:9">
      <c r="C687" s="2"/>
      <c r="D687" s="2"/>
      <c r="E687" s="2"/>
      <c r="F687" s="2"/>
      <c r="G687" s="2"/>
      <c r="H687" s="2"/>
      <c r="I687" s="2"/>
    </row>
    <row r="688" spans="3:9">
      <c r="C688" s="2"/>
      <c r="D688" s="2"/>
      <c r="E688" s="2"/>
      <c r="F688" s="2"/>
      <c r="G688" s="2"/>
      <c r="H688" s="2"/>
      <c r="I688" s="2"/>
    </row>
    <row r="689" spans="3:9">
      <c r="C689" s="2"/>
      <c r="D689" s="2"/>
      <c r="E689" s="2"/>
      <c r="F689" s="2"/>
      <c r="G689" s="2"/>
      <c r="H689" s="2"/>
      <c r="I689" s="2"/>
    </row>
    <row r="690" spans="3:9">
      <c r="C690" s="2"/>
      <c r="D690" s="2"/>
      <c r="E690" s="2"/>
      <c r="F690" s="2"/>
      <c r="G690" s="2"/>
      <c r="H690" s="2"/>
      <c r="I690" s="2"/>
    </row>
    <row r="691" spans="3:9">
      <c r="C691" s="2"/>
      <c r="D691" s="2"/>
      <c r="E691" s="2"/>
      <c r="F691" s="2"/>
      <c r="G691" s="2"/>
      <c r="H691" s="2"/>
      <c r="I691" s="2"/>
    </row>
    <row r="692" spans="3:9">
      <c r="C692" s="2"/>
      <c r="D692" s="2"/>
      <c r="E692" s="2"/>
      <c r="F692" s="2"/>
      <c r="G692" s="2"/>
      <c r="H692" s="2"/>
      <c r="I692" s="2"/>
    </row>
    <row r="693" spans="3:9">
      <c r="C693" s="2"/>
      <c r="D693" s="2"/>
      <c r="E693" s="2"/>
      <c r="F693" s="2"/>
      <c r="G693" s="2"/>
      <c r="H693" s="2"/>
      <c r="I693" s="2"/>
    </row>
    <row r="694" spans="3:9">
      <c r="C694" s="2"/>
      <c r="D694" s="2"/>
      <c r="E694" s="2"/>
      <c r="F694" s="2"/>
      <c r="G694" s="2"/>
      <c r="H694" s="2"/>
      <c r="I694" s="2"/>
    </row>
    <row r="695" spans="3:9">
      <c r="C695" s="2"/>
      <c r="D695" s="2"/>
      <c r="E695" s="2"/>
      <c r="F695" s="2"/>
      <c r="G695" s="2"/>
      <c r="H695" s="2"/>
      <c r="I695" s="2"/>
    </row>
    <row r="696" spans="3:9">
      <c r="C696" s="2"/>
      <c r="D696" s="2"/>
      <c r="E696" s="2"/>
      <c r="F696" s="2"/>
      <c r="G696" s="2"/>
      <c r="H696" s="2"/>
      <c r="I696" s="2"/>
    </row>
    <row r="697" spans="3:9">
      <c r="C697" s="2"/>
      <c r="D697" s="2"/>
      <c r="E697" s="2"/>
      <c r="F697" s="2"/>
      <c r="G697" s="2"/>
      <c r="H697" s="2"/>
      <c r="I697" s="2"/>
    </row>
    <row r="698" spans="3:9">
      <c r="C698" s="2"/>
      <c r="D698" s="2"/>
      <c r="E698" s="2"/>
      <c r="F698" s="2"/>
      <c r="G698" s="2"/>
      <c r="H698" s="2"/>
      <c r="I698" s="2"/>
    </row>
    <row r="699" spans="3:9">
      <c r="C699" s="2"/>
      <c r="D699" s="2"/>
      <c r="E699" s="2"/>
      <c r="F699" s="2"/>
      <c r="G699" s="2"/>
      <c r="H699" s="2"/>
      <c r="I699" s="2"/>
    </row>
    <row r="700" spans="3:9">
      <c r="C700" s="2"/>
      <c r="D700" s="2"/>
      <c r="E700" s="2"/>
      <c r="F700" s="2"/>
      <c r="G700" s="2"/>
      <c r="H700" s="2"/>
      <c r="I700" s="2"/>
    </row>
    <row r="701" spans="3:9">
      <c r="C701" s="2"/>
      <c r="D701" s="2"/>
      <c r="E701" s="2"/>
      <c r="F701" s="2"/>
      <c r="G701" s="2"/>
      <c r="H701" s="2"/>
      <c r="I701" s="2"/>
    </row>
    <row r="702" spans="3:9">
      <c r="C702" s="2"/>
      <c r="D702" s="2"/>
      <c r="E702" s="2"/>
      <c r="F702" s="2"/>
      <c r="G702" s="2"/>
      <c r="H702" s="2"/>
      <c r="I702" s="2"/>
    </row>
    <row r="703" spans="3:9">
      <c r="C703" s="2"/>
      <c r="D703" s="2"/>
      <c r="E703" s="2"/>
      <c r="F703" s="2"/>
      <c r="G703" s="2"/>
      <c r="H703" s="2"/>
      <c r="I703" s="2"/>
    </row>
    <row r="704" spans="3:9">
      <c r="C704" s="2"/>
      <c r="D704" s="2"/>
      <c r="E704" s="2"/>
      <c r="F704" s="2"/>
      <c r="G704" s="2"/>
      <c r="H704" s="2"/>
      <c r="I704" s="2"/>
    </row>
    <row r="705" spans="3:9">
      <c r="C705" s="2"/>
      <c r="D705" s="2"/>
      <c r="E705" s="2"/>
      <c r="F705" s="2"/>
      <c r="G705" s="2"/>
      <c r="H705" s="2"/>
      <c r="I705" s="2"/>
    </row>
    <row r="706" spans="3:9">
      <c r="C706" s="2"/>
      <c r="D706" s="2"/>
      <c r="E706" s="2"/>
      <c r="F706" s="2"/>
      <c r="G706" s="2"/>
      <c r="H706" s="2"/>
      <c r="I706" s="2"/>
    </row>
    <row r="707" spans="3:9">
      <c r="C707" s="2"/>
      <c r="D707" s="2"/>
      <c r="E707" s="2"/>
      <c r="F707" s="2"/>
      <c r="G707" s="2"/>
      <c r="H707" s="2"/>
      <c r="I707" s="2"/>
    </row>
    <row r="708" spans="3:9">
      <c r="C708" s="2"/>
      <c r="D708" s="2"/>
      <c r="E708" s="2"/>
      <c r="F708" s="2"/>
      <c r="G708" s="2"/>
      <c r="H708" s="2"/>
      <c r="I708" s="2"/>
    </row>
    <row r="709" spans="3:9">
      <c r="C709" s="2"/>
      <c r="D709" s="2"/>
      <c r="E709" s="2"/>
      <c r="F709" s="2"/>
      <c r="G709" s="2"/>
      <c r="H709" s="2"/>
      <c r="I709" s="2"/>
    </row>
    <row r="710" spans="3:9">
      <c r="C710" s="2"/>
      <c r="D710" s="2"/>
      <c r="E710" s="2"/>
      <c r="F710" s="2"/>
      <c r="G710" s="2"/>
      <c r="H710" s="2"/>
      <c r="I710" s="2"/>
    </row>
    <row r="711" spans="3:9">
      <c r="C711" s="2"/>
      <c r="D711" s="2"/>
      <c r="E711" s="2"/>
      <c r="F711" s="2"/>
      <c r="G711" s="2"/>
      <c r="H711" s="2"/>
      <c r="I711" s="2"/>
    </row>
    <row r="712" spans="3:9">
      <c r="C712" s="2"/>
      <c r="D712" s="2"/>
      <c r="E712" s="2"/>
      <c r="F712" s="2"/>
      <c r="G712" s="2"/>
      <c r="H712" s="2"/>
      <c r="I712" s="2"/>
    </row>
    <row r="713" spans="3:9">
      <c r="C713" s="2"/>
      <c r="D713" s="2"/>
      <c r="E713" s="2"/>
      <c r="F713" s="2"/>
      <c r="G713" s="2"/>
      <c r="H713" s="2"/>
      <c r="I713" s="2"/>
    </row>
    <row r="714" spans="3:9">
      <c r="C714" s="2"/>
      <c r="D714" s="2"/>
      <c r="E714" s="2"/>
      <c r="F714" s="2"/>
      <c r="G714" s="2"/>
      <c r="H714" s="2"/>
      <c r="I714" s="2"/>
    </row>
    <row r="715" spans="3:9">
      <c r="C715" s="2"/>
      <c r="D715" s="2"/>
      <c r="E715" s="2"/>
      <c r="F715" s="2"/>
      <c r="G715" s="2"/>
      <c r="H715" s="2"/>
      <c r="I715" s="2"/>
    </row>
    <row r="716" spans="3:9">
      <c r="C716" s="2"/>
      <c r="D716" s="2"/>
      <c r="E716" s="2"/>
      <c r="F716" s="2"/>
      <c r="G716" s="2"/>
      <c r="H716" s="2"/>
      <c r="I716" s="2"/>
    </row>
    <row r="717" spans="3:9">
      <c r="C717" s="2"/>
      <c r="D717" s="2"/>
      <c r="E717" s="2"/>
      <c r="F717" s="2"/>
      <c r="G717" s="2"/>
      <c r="H717" s="2"/>
      <c r="I717" s="2"/>
    </row>
    <row r="718" spans="3:9">
      <c r="C718" s="2"/>
      <c r="D718" s="2"/>
      <c r="E718" s="2"/>
      <c r="F718" s="2"/>
      <c r="G718" s="2"/>
      <c r="H718" s="2"/>
      <c r="I718" s="2"/>
    </row>
    <row r="719" spans="3:9">
      <c r="C719" s="2"/>
      <c r="D719" s="2"/>
      <c r="E719" s="2"/>
      <c r="F719" s="2"/>
      <c r="G719" s="2"/>
      <c r="H719" s="2"/>
      <c r="I719" s="2"/>
    </row>
    <row r="720" spans="3:9">
      <c r="C720" s="2"/>
      <c r="D720" s="2"/>
      <c r="E720" s="2"/>
      <c r="F720" s="2"/>
      <c r="G720" s="2"/>
      <c r="H720" s="2"/>
      <c r="I720" s="2"/>
    </row>
    <row r="721" spans="3:9">
      <c r="C721" s="2"/>
      <c r="D721" s="2"/>
      <c r="E721" s="2"/>
      <c r="F721" s="2"/>
      <c r="G721" s="2"/>
      <c r="H721" s="2"/>
      <c r="I721" s="2"/>
    </row>
    <row r="722" spans="3:9">
      <c r="C722" s="2"/>
      <c r="D722" s="2"/>
      <c r="E722" s="2"/>
      <c r="F722" s="2"/>
      <c r="G722" s="2"/>
      <c r="H722" s="2"/>
      <c r="I722" s="2"/>
    </row>
    <row r="723" spans="3:9">
      <c r="C723" s="2"/>
      <c r="D723" s="2"/>
      <c r="E723" s="2"/>
      <c r="F723" s="2"/>
      <c r="G723" s="2"/>
      <c r="H723" s="2"/>
      <c r="I723" s="2"/>
    </row>
    <row r="724" spans="3:9">
      <c r="C724" s="2"/>
      <c r="D724" s="2"/>
      <c r="E724" s="2"/>
      <c r="F724" s="2"/>
      <c r="G724" s="2"/>
      <c r="H724" s="2"/>
      <c r="I724" s="2"/>
    </row>
    <row r="725" spans="3:9">
      <c r="C725" s="2"/>
      <c r="D725" s="2"/>
      <c r="E725" s="2"/>
      <c r="F725" s="2"/>
      <c r="G725" s="2"/>
      <c r="H725" s="2"/>
      <c r="I725" s="2"/>
    </row>
    <row r="726" spans="3:9">
      <c r="C726" s="2"/>
      <c r="D726" s="2"/>
      <c r="E726" s="2"/>
      <c r="F726" s="2"/>
      <c r="G726" s="2"/>
      <c r="H726" s="2"/>
      <c r="I726" s="2"/>
    </row>
    <row r="727" spans="3:9">
      <c r="C727" s="2"/>
      <c r="D727" s="2"/>
      <c r="E727" s="2"/>
      <c r="F727" s="2"/>
      <c r="G727" s="2"/>
      <c r="H727" s="2"/>
      <c r="I727" s="2"/>
    </row>
    <row r="728" spans="3:9">
      <c r="C728" s="2"/>
      <c r="D728" s="2"/>
      <c r="E728" s="2"/>
      <c r="F728" s="2"/>
      <c r="G728" s="2"/>
      <c r="H728" s="2"/>
      <c r="I728" s="2"/>
    </row>
    <row r="729" spans="3:9">
      <c r="C729" s="2"/>
      <c r="D729" s="2"/>
      <c r="E729" s="2"/>
      <c r="F729" s="2"/>
      <c r="G729" s="2"/>
      <c r="H729" s="2"/>
      <c r="I729" s="2"/>
    </row>
    <row r="730" spans="3:9">
      <c r="C730" s="2"/>
      <c r="D730" s="2"/>
      <c r="E730" s="2"/>
      <c r="F730" s="2"/>
      <c r="G730" s="2"/>
      <c r="H730" s="2"/>
      <c r="I730" s="2"/>
    </row>
    <row r="731" spans="3:9">
      <c r="C731" s="2"/>
      <c r="D731" s="2"/>
      <c r="E731" s="2"/>
      <c r="F731" s="2"/>
      <c r="G731" s="2"/>
      <c r="H731" s="2"/>
      <c r="I731" s="2"/>
    </row>
    <row r="732" spans="3:9">
      <c r="C732" s="2"/>
      <c r="D732" s="2"/>
      <c r="E732" s="2"/>
      <c r="F732" s="2"/>
      <c r="G732" s="2"/>
      <c r="H732" s="2"/>
      <c r="I732" s="2"/>
    </row>
    <row r="733" spans="3:9">
      <c r="C733" s="2"/>
      <c r="D733" s="2"/>
      <c r="E733" s="2"/>
      <c r="F733" s="2"/>
      <c r="G733" s="2"/>
      <c r="H733" s="2"/>
      <c r="I733" s="2"/>
    </row>
    <row r="734" spans="3:9">
      <c r="C734" s="2"/>
      <c r="D734" s="2"/>
      <c r="E734" s="2"/>
      <c r="F734" s="2"/>
      <c r="G734" s="2"/>
      <c r="H734" s="2"/>
      <c r="I734" s="2"/>
    </row>
    <row r="735" spans="3:9">
      <c r="C735" s="2"/>
      <c r="D735" s="2"/>
      <c r="E735" s="2"/>
      <c r="F735" s="2"/>
      <c r="G735" s="2"/>
      <c r="H735" s="2"/>
      <c r="I735" s="2"/>
    </row>
    <row r="736" spans="3:9">
      <c r="C736" s="2"/>
      <c r="D736" s="2"/>
      <c r="E736" s="2"/>
      <c r="F736" s="2"/>
      <c r="G736" s="2"/>
      <c r="H736" s="2"/>
      <c r="I736" s="2"/>
    </row>
    <row r="737" spans="3:9">
      <c r="C737" s="2"/>
      <c r="D737" s="2"/>
      <c r="E737" s="2"/>
      <c r="F737" s="2"/>
      <c r="G737" s="2"/>
      <c r="H737" s="2"/>
      <c r="I737" s="2"/>
    </row>
    <row r="738" spans="3:9">
      <c r="C738" s="2"/>
      <c r="D738" s="2"/>
      <c r="E738" s="2"/>
      <c r="F738" s="2"/>
      <c r="G738" s="2"/>
      <c r="H738" s="2"/>
      <c r="I738" s="2"/>
    </row>
    <row r="739" spans="3:9">
      <c r="C739" s="2"/>
      <c r="D739" s="2"/>
      <c r="E739" s="2"/>
      <c r="F739" s="2"/>
      <c r="G739" s="2"/>
      <c r="H739" s="2"/>
      <c r="I739" s="2"/>
    </row>
    <row r="740" spans="3:9">
      <c r="C740" s="2"/>
      <c r="D740" s="2"/>
      <c r="E740" s="2"/>
      <c r="F740" s="2"/>
      <c r="G740" s="2"/>
      <c r="H740" s="2"/>
      <c r="I740" s="2"/>
    </row>
    <row r="741" spans="3:9">
      <c r="C741" s="2"/>
      <c r="D741" s="2"/>
      <c r="E741" s="2"/>
      <c r="F741" s="2"/>
      <c r="G741" s="2"/>
      <c r="H741" s="2"/>
      <c r="I741" s="2"/>
    </row>
    <row r="742" spans="3:9">
      <c r="C742" s="2"/>
      <c r="D742" s="2"/>
      <c r="E742" s="2"/>
      <c r="F742" s="2"/>
      <c r="G742" s="2"/>
      <c r="H742" s="2"/>
      <c r="I742" s="2"/>
    </row>
    <row r="743" spans="3:9">
      <c r="C743" s="2"/>
      <c r="D743" s="2"/>
      <c r="E743" s="2"/>
      <c r="F743" s="2"/>
      <c r="G743" s="2"/>
      <c r="H743" s="2"/>
      <c r="I743" s="2"/>
    </row>
    <row r="744" spans="3:9">
      <c r="C744" s="2"/>
      <c r="D744" s="2"/>
      <c r="E744" s="2"/>
      <c r="F744" s="2"/>
      <c r="G744" s="2"/>
      <c r="H744" s="2"/>
      <c r="I744" s="2"/>
    </row>
    <row r="745" spans="3:9">
      <c r="C745" s="2"/>
      <c r="D745" s="2"/>
      <c r="E745" s="2"/>
      <c r="F745" s="2"/>
      <c r="G745" s="2"/>
      <c r="H745" s="2"/>
      <c r="I745" s="2"/>
    </row>
    <row r="746" spans="3:9">
      <c r="C746" s="2"/>
      <c r="D746" s="2"/>
      <c r="E746" s="2"/>
      <c r="F746" s="2"/>
      <c r="G746" s="2"/>
      <c r="H746" s="2"/>
      <c r="I746" s="2"/>
    </row>
    <row r="747" spans="3:9">
      <c r="C747" s="2"/>
      <c r="D747" s="2"/>
      <c r="E747" s="2"/>
      <c r="F747" s="2"/>
      <c r="G747" s="2"/>
      <c r="H747" s="2"/>
      <c r="I747" s="2"/>
    </row>
    <row r="748" spans="3:9">
      <c r="C748" s="2"/>
      <c r="D748" s="2"/>
      <c r="E748" s="2"/>
      <c r="F748" s="2"/>
      <c r="G748" s="2"/>
      <c r="H748" s="2"/>
      <c r="I748" s="2"/>
    </row>
    <row r="749" spans="3:9">
      <c r="C749" s="2"/>
      <c r="D749" s="2"/>
      <c r="E749" s="2"/>
      <c r="F749" s="2"/>
      <c r="G749" s="2"/>
      <c r="H749" s="2"/>
      <c r="I749" s="2"/>
    </row>
    <row r="750" spans="3:9">
      <c r="C750" s="2"/>
      <c r="D750" s="2"/>
      <c r="E750" s="2"/>
      <c r="F750" s="2"/>
      <c r="G750" s="2"/>
      <c r="H750" s="2"/>
      <c r="I750" s="2"/>
    </row>
    <row r="751" spans="3:9">
      <c r="C751" s="2"/>
      <c r="D751" s="2"/>
      <c r="E751" s="2"/>
      <c r="F751" s="2"/>
      <c r="G751" s="2"/>
      <c r="H751" s="2"/>
      <c r="I751" s="2"/>
    </row>
    <row r="752" spans="3:9">
      <c r="C752" s="2"/>
      <c r="D752" s="2"/>
      <c r="E752" s="2"/>
      <c r="F752" s="2"/>
      <c r="G752" s="2"/>
      <c r="H752" s="2"/>
      <c r="I752" s="2"/>
    </row>
    <row r="753" spans="3:9">
      <c r="C753" s="2"/>
      <c r="D753" s="2"/>
      <c r="E753" s="2"/>
      <c r="F753" s="2"/>
      <c r="G753" s="2"/>
      <c r="H753" s="2"/>
      <c r="I753" s="2"/>
    </row>
    <row r="754" spans="3:9">
      <c r="C754" s="2"/>
      <c r="D754" s="2"/>
      <c r="E754" s="2"/>
      <c r="F754" s="2"/>
      <c r="G754" s="2"/>
      <c r="H754" s="2"/>
      <c r="I754" s="2"/>
    </row>
    <row r="755" spans="3:9">
      <c r="C755" s="2"/>
      <c r="D755" s="2"/>
      <c r="E755" s="2"/>
      <c r="F755" s="2"/>
      <c r="G755" s="2"/>
      <c r="H755" s="2"/>
      <c r="I755" s="2"/>
    </row>
    <row r="756" spans="3:9">
      <c r="C756" s="2"/>
      <c r="D756" s="2"/>
      <c r="E756" s="2"/>
      <c r="F756" s="2"/>
      <c r="G756" s="2"/>
      <c r="H756" s="2"/>
      <c r="I756" s="2"/>
    </row>
    <row r="757" spans="3:9">
      <c r="C757" s="2"/>
      <c r="D757" s="2"/>
      <c r="E757" s="2"/>
      <c r="F757" s="2"/>
      <c r="G757" s="2"/>
      <c r="H757" s="2"/>
      <c r="I757" s="2"/>
    </row>
    <row r="758" spans="3:9">
      <c r="C758" s="2"/>
      <c r="D758" s="2"/>
      <c r="E758" s="2"/>
      <c r="F758" s="2"/>
      <c r="G758" s="2"/>
      <c r="H758" s="2"/>
      <c r="I758" s="2"/>
    </row>
    <row r="759" spans="3:9">
      <c r="C759" s="2"/>
      <c r="D759" s="2"/>
      <c r="E759" s="2"/>
      <c r="F759" s="2"/>
      <c r="G759" s="2"/>
      <c r="H759" s="2"/>
      <c r="I759" s="2"/>
    </row>
    <row r="760" spans="3:9">
      <c r="C760" s="2"/>
      <c r="D760" s="2"/>
      <c r="E760" s="2"/>
      <c r="F760" s="2"/>
      <c r="G760" s="2"/>
      <c r="H760" s="2"/>
      <c r="I760" s="2"/>
    </row>
    <row r="761" spans="3:9">
      <c r="C761" s="2"/>
      <c r="D761" s="2"/>
      <c r="E761" s="2"/>
      <c r="F761" s="2"/>
      <c r="G761" s="2"/>
      <c r="H761" s="2"/>
      <c r="I761" s="2"/>
    </row>
    <row r="762" spans="3:9">
      <c r="C762" s="2"/>
      <c r="D762" s="2"/>
      <c r="E762" s="2"/>
      <c r="F762" s="2"/>
      <c r="G762" s="2"/>
      <c r="H762" s="2"/>
      <c r="I762" s="2"/>
    </row>
    <row r="763" spans="3:9">
      <c r="C763" s="2"/>
      <c r="D763" s="2"/>
      <c r="E763" s="2"/>
      <c r="F763" s="2"/>
      <c r="G763" s="2"/>
      <c r="H763" s="2"/>
      <c r="I763" s="2"/>
    </row>
    <row r="764" spans="3:9">
      <c r="C764" s="2"/>
      <c r="D764" s="2"/>
      <c r="E764" s="2"/>
      <c r="F764" s="2"/>
      <c r="G764" s="2"/>
      <c r="H764" s="2"/>
      <c r="I764" s="2"/>
    </row>
    <row r="765" spans="3:9">
      <c r="C765" s="2"/>
      <c r="D765" s="2"/>
      <c r="E765" s="2"/>
      <c r="F765" s="2"/>
      <c r="G765" s="2"/>
      <c r="H765" s="2"/>
      <c r="I765" s="2"/>
    </row>
    <row r="766" spans="3:9">
      <c r="C766" s="2"/>
      <c r="D766" s="2"/>
      <c r="E766" s="2"/>
      <c r="F766" s="2"/>
      <c r="G766" s="2"/>
      <c r="H766" s="2"/>
      <c r="I766" s="2"/>
    </row>
    <row r="767" spans="3:9">
      <c r="C767" s="2"/>
      <c r="D767" s="2"/>
      <c r="E767" s="2"/>
      <c r="F767" s="2"/>
      <c r="G767" s="2"/>
      <c r="H767" s="2"/>
      <c r="I767" s="2"/>
    </row>
    <row r="768" spans="3:9">
      <c r="C768" s="2"/>
      <c r="D768" s="2"/>
      <c r="E768" s="2"/>
      <c r="F768" s="2"/>
      <c r="G768" s="2"/>
      <c r="H768" s="2"/>
      <c r="I768" s="2"/>
    </row>
    <row r="769" spans="3:9">
      <c r="C769" s="2"/>
      <c r="D769" s="2"/>
      <c r="E769" s="2"/>
      <c r="F769" s="2"/>
      <c r="G769" s="2"/>
      <c r="H769" s="2"/>
      <c r="I769" s="2"/>
    </row>
    <row r="770" spans="3:9">
      <c r="C770" s="2"/>
      <c r="D770" s="2"/>
      <c r="E770" s="2"/>
      <c r="F770" s="2"/>
      <c r="G770" s="2"/>
      <c r="H770" s="2"/>
      <c r="I770" s="2"/>
    </row>
    <row r="771" spans="3:9">
      <c r="C771" s="2"/>
      <c r="D771" s="2"/>
      <c r="E771" s="2"/>
      <c r="F771" s="2"/>
      <c r="G771" s="2"/>
      <c r="H771" s="2"/>
      <c r="I771" s="2"/>
    </row>
    <row r="772" spans="3:9">
      <c r="C772" s="2"/>
      <c r="D772" s="2"/>
      <c r="E772" s="2"/>
      <c r="F772" s="2"/>
      <c r="G772" s="2"/>
      <c r="H772" s="2"/>
      <c r="I772" s="2"/>
    </row>
    <row r="773" spans="3:9">
      <c r="C773" s="2"/>
      <c r="D773" s="2"/>
      <c r="E773" s="2"/>
      <c r="F773" s="2"/>
      <c r="G773" s="2"/>
      <c r="H773" s="2"/>
      <c r="I773" s="2"/>
    </row>
    <row r="774" spans="3:9">
      <c r="C774" s="2"/>
      <c r="D774" s="2"/>
      <c r="E774" s="2"/>
      <c r="F774" s="2"/>
      <c r="G774" s="2"/>
      <c r="H774" s="2"/>
      <c r="I774" s="2"/>
    </row>
    <row r="775" spans="3:9">
      <c r="C775" s="2"/>
      <c r="D775" s="2"/>
      <c r="E775" s="2"/>
      <c r="F775" s="2"/>
      <c r="G775" s="2"/>
      <c r="H775" s="2"/>
      <c r="I775" s="2"/>
    </row>
    <row r="776" spans="3:9">
      <c r="C776" s="2"/>
      <c r="D776" s="2"/>
      <c r="E776" s="2"/>
      <c r="F776" s="2"/>
      <c r="G776" s="2"/>
      <c r="H776" s="2"/>
      <c r="I776" s="2"/>
    </row>
    <row r="777" spans="3:9">
      <c r="C777" s="2"/>
      <c r="D777" s="2"/>
      <c r="E777" s="2"/>
      <c r="F777" s="2"/>
      <c r="G777" s="2"/>
      <c r="H777" s="2"/>
      <c r="I777" s="2"/>
    </row>
    <row r="778" spans="3:9">
      <c r="C778" s="2"/>
      <c r="D778" s="2"/>
      <c r="E778" s="2"/>
      <c r="F778" s="2"/>
      <c r="G778" s="2"/>
      <c r="H778" s="2"/>
      <c r="I778" s="2"/>
    </row>
    <row r="779" spans="3:9">
      <c r="C779" s="2"/>
      <c r="D779" s="2"/>
      <c r="E779" s="2"/>
      <c r="F779" s="2"/>
      <c r="G779" s="2"/>
      <c r="H779" s="2"/>
      <c r="I779" s="2"/>
    </row>
    <row r="780" spans="3:9">
      <c r="C780" s="2"/>
      <c r="D780" s="2"/>
      <c r="E780" s="2"/>
      <c r="F780" s="2"/>
      <c r="G780" s="2"/>
      <c r="H780" s="2"/>
      <c r="I780" s="2"/>
    </row>
    <row r="781" spans="3:9">
      <c r="C781" s="2"/>
      <c r="D781" s="2"/>
      <c r="E781" s="2"/>
      <c r="F781" s="2"/>
      <c r="G781" s="2"/>
      <c r="H781" s="2"/>
      <c r="I781" s="2"/>
    </row>
    <row r="782" spans="3:9">
      <c r="C782" s="2"/>
      <c r="D782" s="2"/>
      <c r="E782" s="2"/>
      <c r="F782" s="2"/>
      <c r="G782" s="2"/>
      <c r="H782" s="2"/>
      <c r="I782" s="2"/>
    </row>
    <row r="783" spans="3:9">
      <c r="C783" s="2"/>
      <c r="D783" s="2"/>
      <c r="E783" s="2"/>
      <c r="F783" s="2"/>
      <c r="G783" s="2"/>
      <c r="H783" s="2"/>
      <c r="I783" s="2"/>
    </row>
    <row r="784" spans="3:9">
      <c r="C784" s="2"/>
      <c r="D784" s="2"/>
      <c r="E784" s="2"/>
      <c r="F784" s="2"/>
      <c r="G784" s="2"/>
      <c r="H784" s="2"/>
      <c r="I784" s="2"/>
    </row>
    <row r="785" spans="3:9">
      <c r="C785" s="2"/>
      <c r="D785" s="2"/>
      <c r="E785" s="2"/>
      <c r="F785" s="2"/>
      <c r="G785" s="2"/>
      <c r="H785" s="2"/>
      <c r="I785" s="2"/>
    </row>
    <row r="786" spans="3:9">
      <c r="C786" s="2"/>
      <c r="D786" s="2"/>
      <c r="E786" s="2"/>
      <c r="F786" s="2"/>
      <c r="G786" s="2"/>
      <c r="H786" s="2"/>
      <c r="I786" s="2"/>
    </row>
    <row r="787" spans="3:9">
      <c r="C787" s="2"/>
      <c r="D787" s="2"/>
      <c r="E787" s="2"/>
      <c r="F787" s="2"/>
      <c r="G787" s="2"/>
      <c r="H787" s="2"/>
      <c r="I787" s="2"/>
    </row>
    <row r="788" spans="3:9">
      <c r="C788" s="2"/>
      <c r="D788" s="2"/>
      <c r="E788" s="2"/>
      <c r="F788" s="2"/>
      <c r="G788" s="2"/>
      <c r="H788" s="2"/>
      <c r="I788" s="2"/>
    </row>
    <row r="789" spans="3:9">
      <c r="C789" s="2"/>
      <c r="D789" s="2"/>
      <c r="E789" s="2"/>
      <c r="F789" s="2"/>
      <c r="G789" s="2"/>
      <c r="H789" s="2"/>
      <c r="I789" s="2"/>
    </row>
    <row r="790" spans="3:9">
      <c r="C790" s="2"/>
      <c r="D790" s="2"/>
      <c r="E790" s="2"/>
      <c r="F790" s="2"/>
      <c r="G790" s="2"/>
      <c r="H790" s="2"/>
      <c r="I790" s="2"/>
    </row>
    <row r="791" spans="3:9">
      <c r="C791" s="2"/>
      <c r="D791" s="2"/>
      <c r="E791" s="2"/>
      <c r="F791" s="2"/>
      <c r="G791" s="2"/>
      <c r="H791" s="2"/>
      <c r="I791" s="2"/>
    </row>
    <row r="792" spans="3:9">
      <c r="C792" s="2"/>
      <c r="D792" s="2"/>
      <c r="E792" s="2"/>
      <c r="F792" s="2"/>
      <c r="G792" s="2"/>
      <c r="H792" s="2"/>
      <c r="I792" s="2"/>
    </row>
    <row r="793" spans="3:9">
      <c r="C793" s="2"/>
      <c r="D793" s="2"/>
      <c r="E793" s="2"/>
      <c r="F793" s="2"/>
      <c r="G793" s="2"/>
      <c r="H793" s="2"/>
      <c r="I793" s="2"/>
    </row>
    <row r="794" spans="3:9">
      <c r="C794" s="2"/>
      <c r="D794" s="2"/>
      <c r="E794" s="2"/>
      <c r="F794" s="2"/>
      <c r="G794" s="2"/>
      <c r="H794" s="2"/>
      <c r="I794" s="2"/>
    </row>
    <row r="795" spans="3:9">
      <c r="C795" s="2"/>
      <c r="D795" s="2"/>
      <c r="E795" s="2"/>
      <c r="F795" s="2"/>
      <c r="G795" s="2"/>
      <c r="H795" s="2"/>
      <c r="I795" s="2"/>
    </row>
    <row r="796" spans="3:9">
      <c r="C796" s="2"/>
      <c r="D796" s="2"/>
      <c r="E796" s="2"/>
      <c r="F796" s="2"/>
      <c r="G796" s="2"/>
      <c r="H796" s="2"/>
      <c r="I796" s="2"/>
    </row>
    <row r="797" spans="3:9">
      <c r="C797" s="2"/>
      <c r="D797" s="2"/>
      <c r="E797" s="2"/>
      <c r="F797" s="2"/>
      <c r="G797" s="2"/>
      <c r="H797" s="2"/>
      <c r="I797" s="2"/>
    </row>
    <row r="798" spans="3:9">
      <c r="C798" s="2"/>
      <c r="D798" s="2"/>
      <c r="E798" s="2"/>
      <c r="F798" s="2"/>
      <c r="G798" s="2"/>
      <c r="H798" s="2"/>
      <c r="I798" s="2"/>
    </row>
    <row r="799" spans="3:9">
      <c r="C799" s="2"/>
      <c r="D799" s="2"/>
      <c r="E799" s="2"/>
      <c r="F799" s="2"/>
      <c r="G799" s="2"/>
      <c r="H799" s="2"/>
      <c r="I799" s="2"/>
    </row>
    <row r="800" spans="3:9">
      <c r="C800" s="2"/>
      <c r="D800" s="2"/>
      <c r="E800" s="2"/>
      <c r="F800" s="2"/>
      <c r="G800" s="2"/>
      <c r="H800" s="2"/>
      <c r="I800" s="2"/>
    </row>
    <row r="801" spans="3:9">
      <c r="C801" s="2"/>
      <c r="D801" s="2"/>
      <c r="E801" s="2"/>
      <c r="F801" s="2"/>
      <c r="G801" s="2"/>
      <c r="H801" s="2"/>
      <c r="I801" s="2"/>
    </row>
    <row r="802" spans="3:9">
      <c r="C802" s="2"/>
      <c r="D802" s="2"/>
      <c r="E802" s="2"/>
      <c r="F802" s="2"/>
      <c r="G802" s="2"/>
      <c r="H802" s="2"/>
      <c r="I802" s="2"/>
    </row>
    <row r="803" spans="3:9">
      <c r="C803" s="2"/>
      <c r="D803" s="2"/>
      <c r="E803" s="2"/>
      <c r="F803" s="2"/>
      <c r="G803" s="2"/>
      <c r="H803" s="2"/>
      <c r="I803" s="2"/>
    </row>
    <row r="804" spans="3:9">
      <c r="C804" s="2"/>
      <c r="D804" s="2"/>
      <c r="E804" s="2"/>
      <c r="F804" s="2"/>
      <c r="G804" s="2"/>
      <c r="H804" s="2"/>
      <c r="I804" s="2"/>
    </row>
    <row r="805" spans="3:9">
      <c r="C805" s="2"/>
      <c r="D805" s="2"/>
      <c r="E805" s="2"/>
      <c r="F805" s="2"/>
      <c r="G805" s="2"/>
      <c r="H805" s="2"/>
      <c r="I805" s="2"/>
    </row>
    <row r="806" spans="3:9">
      <c r="C806" s="2"/>
      <c r="D806" s="2"/>
      <c r="E806" s="2"/>
      <c r="F806" s="2"/>
      <c r="G806" s="2"/>
      <c r="H806" s="2"/>
      <c r="I806" s="2"/>
    </row>
    <row r="807" spans="3:9">
      <c r="C807" s="2"/>
      <c r="D807" s="2"/>
      <c r="E807" s="2"/>
      <c r="F807" s="2"/>
      <c r="G807" s="2"/>
      <c r="H807" s="2"/>
      <c r="I807" s="2"/>
    </row>
    <row r="808" spans="3:9">
      <c r="C808" s="2"/>
      <c r="D808" s="2"/>
      <c r="E808" s="2"/>
      <c r="F808" s="2"/>
      <c r="G808" s="2"/>
      <c r="H808" s="2"/>
      <c r="I808" s="2"/>
    </row>
    <row r="809" spans="3:9">
      <c r="C809" s="2"/>
      <c r="D809" s="2"/>
      <c r="E809" s="2"/>
      <c r="F809" s="2"/>
      <c r="G809" s="2"/>
      <c r="H809" s="2"/>
      <c r="I809" s="2"/>
    </row>
    <row r="810" spans="3:9">
      <c r="C810" s="2"/>
      <c r="D810" s="2"/>
      <c r="E810" s="2"/>
      <c r="F810" s="2"/>
      <c r="G810" s="2"/>
      <c r="H810" s="2"/>
      <c r="I810" s="2"/>
    </row>
    <row r="811" spans="3:9">
      <c r="C811" s="2"/>
      <c r="D811" s="2"/>
      <c r="E811" s="2"/>
      <c r="F811" s="2"/>
      <c r="G811" s="2"/>
      <c r="H811" s="2"/>
      <c r="I811" s="2"/>
    </row>
    <row r="812" spans="3:9">
      <c r="C812" s="2"/>
      <c r="D812" s="2"/>
      <c r="E812" s="2"/>
      <c r="F812" s="2"/>
      <c r="G812" s="2"/>
      <c r="H812" s="2"/>
      <c r="I812" s="2"/>
    </row>
    <row r="813" spans="3:9">
      <c r="C813" s="2"/>
      <c r="D813" s="2"/>
      <c r="E813" s="2"/>
      <c r="F813" s="2"/>
      <c r="G813" s="2"/>
      <c r="H813" s="2"/>
      <c r="I813" s="2"/>
    </row>
    <row r="814" spans="3:9">
      <c r="C814" s="2"/>
      <c r="D814" s="2"/>
      <c r="E814" s="2"/>
      <c r="F814" s="2"/>
      <c r="G814" s="2"/>
      <c r="H814" s="2"/>
      <c r="I814" s="2"/>
    </row>
    <row r="815" spans="3:9">
      <c r="C815" s="2"/>
      <c r="D815" s="2"/>
      <c r="E815" s="2"/>
      <c r="F815" s="2"/>
      <c r="G815" s="2"/>
      <c r="H815" s="2"/>
      <c r="I815" s="2"/>
    </row>
    <row r="816" spans="3:9">
      <c r="C816" s="2"/>
      <c r="D816" s="2"/>
      <c r="E816" s="2"/>
      <c r="F816" s="2"/>
      <c r="G816" s="2"/>
      <c r="H816" s="2"/>
      <c r="I816" s="2"/>
    </row>
    <row r="817" spans="3:9">
      <c r="C817" s="2"/>
      <c r="D817" s="2"/>
      <c r="E817" s="2"/>
      <c r="F817" s="2"/>
      <c r="G817" s="2"/>
      <c r="H817" s="2"/>
      <c r="I817" s="2"/>
    </row>
    <row r="818" spans="3:9">
      <c r="C818" s="2"/>
      <c r="D818" s="2"/>
      <c r="E818" s="2"/>
      <c r="F818" s="2"/>
      <c r="G818" s="2"/>
      <c r="H818" s="2"/>
      <c r="I818" s="2"/>
    </row>
    <row r="819" spans="3:9">
      <c r="C819" s="2"/>
      <c r="D819" s="2"/>
      <c r="E819" s="2"/>
      <c r="F819" s="2"/>
      <c r="G819" s="2"/>
      <c r="H819" s="2"/>
      <c r="I819" s="2"/>
    </row>
    <row r="820" spans="3:9">
      <c r="C820" s="2"/>
      <c r="D820" s="2"/>
      <c r="E820" s="2"/>
      <c r="F820" s="2"/>
      <c r="G820" s="2"/>
      <c r="H820" s="2"/>
      <c r="I820" s="2"/>
    </row>
    <row r="821" spans="3:9">
      <c r="C821" s="2"/>
      <c r="D821" s="2"/>
      <c r="E821" s="2"/>
      <c r="F821" s="2"/>
      <c r="G821" s="2"/>
      <c r="H821" s="2"/>
      <c r="I821" s="2"/>
    </row>
    <row r="822" spans="3:9">
      <c r="C822" s="2"/>
      <c r="D822" s="2"/>
      <c r="E822" s="2"/>
      <c r="F822" s="2"/>
      <c r="G822" s="2"/>
      <c r="H822" s="2"/>
      <c r="I822" s="2"/>
    </row>
    <row r="823" spans="3:9">
      <c r="C823" s="2"/>
      <c r="D823" s="2"/>
      <c r="E823" s="2"/>
      <c r="F823" s="2"/>
      <c r="G823" s="2"/>
      <c r="H823" s="2"/>
      <c r="I823" s="2"/>
    </row>
    <row r="824" spans="3:9">
      <c r="C824" s="2"/>
      <c r="D824" s="2"/>
      <c r="E824" s="2"/>
      <c r="F824" s="2"/>
      <c r="G824" s="2"/>
      <c r="H824" s="2"/>
      <c r="I824" s="2"/>
    </row>
    <row r="825" spans="3:9">
      <c r="C825" s="2"/>
      <c r="D825" s="2"/>
      <c r="E825" s="2"/>
      <c r="F825" s="2"/>
      <c r="G825" s="2"/>
      <c r="H825" s="2"/>
      <c r="I825" s="2"/>
    </row>
    <row r="826" spans="3:9">
      <c r="C826" s="2"/>
      <c r="D826" s="2"/>
      <c r="E826" s="2"/>
      <c r="F826" s="2"/>
      <c r="G826" s="2"/>
      <c r="H826" s="2"/>
      <c r="I826" s="2"/>
    </row>
    <row r="827" spans="3:9">
      <c r="C827" s="2"/>
      <c r="D827" s="2"/>
      <c r="E827" s="2"/>
      <c r="F827" s="2"/>
      <c r="G827" s="2"/>
      <c r="H827" s="2"/>
      <c r="I827" s="2"/>
    </row>
    <row r="828" spans="3:9">
      <c r="C828" s="2"/>
      <c r="D828" s="2"/>
      <c r="E828" s="2"/>
      <c r="F828" s="2"/>
      <c r="G828" s="2"/>
      <c r="H828" s="2"/>
      <c r="I828" s="2"/>
    </row>
    <row r="829" spans="3:9">
      <c r="C829" s="2"/>
      <c r="D829" s="2"/>
      <c r="E829" s="2"/>
      <c r="F829" s="2"/>
      <c r="G829" s="2"/>
      <c r="H829" s="2"/>
      <c r="I829" s="2"/>
    </row>
    <row r="830" spans="3:9">
      <c r="C830" s="2"/>
      <c r="D830" s="2"/>
      <c r="E830" s="2"/>
      <c r="F830" s="2"/>
      <c r="G830" s="2"/>
      <c r="H830" s="2"/>
      <c r="I830" s="2"/>
    </row>
    <row r="831" spans="3:9">
      <c r="C831" s="2"/>
      <c r="D831" s="2"/>
      <c r="E831" s="2"/>
      <c r="F831" s="2"/>
      <c r="G831" s="2"/>
      <c r="H831" s="2"/>
      <c r="I831" s="2"/>
    </row>
    <row r="832" spans="3:9">
      <c r="C832" s="2"/>
      <c r="D832" s="2"/>
      <c r="E832" s="2"/>
      <c r="F832" s="2"/>
      <c r="G832" s="2"/>
      <c r="H832" s="2"/>
      <c r="I832" s="2"/>
    </row>
    <row r="833" spans="3:9">
      <c r="C833" s="2"/>
      <c r="D833" s="2"/>
      <c r="E833" s="2"/>
      <c r="F833" s="2"/>
      <c r="G833" s="2"/>
      <c r="H833" s="2"/>
      <c r="I833" s="2"/>
    </row>
    <row r="834" spans="3:9">
      <c r="C834" s="2"/>
      <c r="D834" s="2"/>
      <c r="E834" s="2"/>
      <c r="F834" s="2"/>
      <c r="G834" s="2"/>
      <c r="H834" s="2"/>
      <c r="I834" s="2"/>
    </row>
    <row r="835" spans="3:9">
      <c r="C835" s="2"/>
      <c r="D835" s="2"/>
      <c r="E835" s="2"/>
      <c r="F835" s="2"/>
      <c r="G835" s="2"/>
      <c r="H835" s="2"/>
      <c r="I835" s="2"/>
    </row>
    <row r="836" spans="3:9">
      <c r="C836" s="2"/>
      <c r="D836" s="2"/>
      <c r="E836" s="2"/>
      <c r="F836" s="2"/>
      <c r="G836" s="2"/>
      <c r="H836" s="2"/>
      <c r="I836" s="2"/>
    </row>
    <row r="837" spans="3:9">
      <c r="C837" s="2"/>
      <c r="D837" s="2"/>
      <c r="E837" s="2"/>
      <c r="F837" s="2"/>
      <c r="G837" s="2"/>
      <c r="H837" s="2"/>
      <c r="I837" s="2"/>
    </row>
    <row r="838" spans="3:9">
      <c r="C838" s="2"/>
      <c r="D838" s="2"/>
      <c r="E838" s="2"/>
      <c r="F838" s="2"/>
      <c r="G838" s="2"/>
      <c r="H838" s="2"/>
      <c r="I838" s="2"/>
    </row>
    <row r="839" spans="3:9">
      <c r="C839" s="2"/>
      <c r="D839" s="2"/>
      <c r="E839" s="2"/>
      <c r="F839" s="2"/>
      <c r="G839" s="2"/>
      <c r="H839" s="2"/>
      <c r="I839" s="2"/>
    </row>
    <row r="840" spans="3:9">
      <c r="C840" s="2"/>
      <c r="D840" s="2"/>
      <c r="E840" s="2"/>
      <c r="F840" s="2"/>
      <c r="G840" s="2"/>
      <c r="H840" s="2"/>
      <c r="I840" s="2"/>
    </row>
    <row r="841" spans="3:9">
      <c r="C841" s="2"/>
      <c r="D841" s="2"/>
      <c r="E841" s="2"/>
      <c r="F841" s="2"/>
      <c r="G841" s="2"/>
      <c r="H841" s="2"/>
      <c r="I841" s="2"/>
    </row>
    <row r="842" spans="3:9">
      <c r="C842" s="2"/>
      <c r="D842" s="2"/>
      <c r="E842" s="2"/>
      <c r="F842" s="2"/>
      <c r="G842" s="2"/>
      <c r="H842" s="2"/>
      <c r="I842" s="2"/>
    </row>
    <row r="843" spans="3:9">
      <c r="C843" s="2"/>
      <c r="D843" s="2"/>
      <c r="E843" s="2"/>
      <c r="F843" s="2"/>
      <c r="G843" s="2"/>
      <c r="H843" s="2"/>
      <c r="I843" s="2"/>
    </row>
    <row r="844" spans="3:9">
      <c r="C844" s="2"/>
      <c r="D844" s="2"/>
      <c r="E844" s="2"/>
      <c r="F844" s="2"/>
      <c r="G844" s="2"/>
      <c r="H844" s="2"/>
      <c r="I844" s="2"/>
    </row>
    <row r="845" spans="3:9">
      <c r="C845" s="2"/>
      <c r="D845" s="2"/>
      <c r="E845" s="2"/>
      <c r="F845" s="2"/>
      <c r="G845" s="2"/>
      <c r="H845" s="2"/>
      <c r="I845" s="2"/>
    </row>
    <row r="846" spans="3:9">
      <c r="C846" s="2"/>
      <c r="D846" s="2"/>
      <c r="E846" s="2"/>
      <c r="F846" s="2"/>
      <c r="G846" s="2"/>
      <c r="H846" s="2"/>
      <c r="I846" s="2"/>
    </row>
    <row r="847" spans="3:9">
      <c r="C847" s="2"/>
      <c r="D847" s="2"/>
      <c r="E847" s="2"/>
      <c r="F847" s="2"/>
      <c r="G847" s="2"/>
      <c r="H847" s="2"/>
      <c r="I847" s="2"/>
    </row>
    <row r="848" spans="3:9">
      <c r="C848" s="2"/>
      <c r="D848" s="2"/>
      <c r="E848" s="2"/>
      <c r="F848" s="2"/>
      <c r="G848" s="2"/>
      <c r="H848" s="2"/>
      <c r="I848" s="2"/>
    </row>
    <row r="849" spans="3:9">
      <c r="C849" s="2"/>
      <c r="D849" s="2"/>
      <c r="E849" s="2"/>
      <c r="F849" s="2"/>
      <c r="G849" s="2"/>
      <c r="H849" s="2"/>
      <c r="I849" s="2"/>
    </row>
    <row r="850" spans="3:9">
      <c r="C850" s="2"/>
      <c r="D850" s="2"/>
      <c r="E850" s="2"/>
      <c r="F850" s="2"/>
      <c r="G850" s="2"/>
      <c r="H850" s="2"/>
      <c r="I850" s="2"/>
    </row>
    <row r="851" spans="3:9">
      <c r="C851" s="2"/>
      <c r="D851" s="2"/>
      <c r="E851" s="2"/>
      <c r="F851" s="2"/>
      <c r="G851" s="2"/>
      <c r="H851" s="2"/>
      <c r="I851" s="2"/>
    </row>
    <row r="852" spans="3:9">
      <c r="C852" s="2"/>
      <c r="D852" s="2"/>
      <c r="E852" s="2"/>
      <c r="F852" s="2"/>
      <c r="G852" s="2"/>
      <c r="H852" s="2"/>
      <c r="I852" s="2"/>
    </row>
    <row r="853" spans="3:9">
      <c r="C853" s="2"/>
      <c r="D853" s="2"/>
      <c r="E853" s="2"/>
      <c r="F853" s="2"/>
      <c r="G853" s="2"/>
      <c r="H853" s="2"/>
      <c r="I853" s="2"/>
    </row>
    <row r="854" spans="3:9">
      <c r="C854" s="2"/>
      <c r="D854" s="2"/>
      <c r="E854" s="2"/>
      <c r="F854" s="2"/>
      <c r="G854" s="2"/>
      <c r="H854" s="2"/>
      <c r="I854" s="2"/>
    </row>
    <row r="855" spans="3:9">
      <c r="C855" s="2"/>
      <c r="D855" s="2"/>
      <c r="E855" s="2"/>
      <c r="F855" s="2"/>
      <c r="G855" s="2"/>
      <c r="H855" s="2"/>
      <c r="I855" s="2"/>
    </row>
    <row r="856" spans="3:9">
      <c r="C856" s="2"/>
      <c r="D856" s="2"/>
      <c r="E856" s="2"/>
      <c r="F856" s="2"/>
      <c r="G856" s="2"/>
      <c r="H856" s="2"/>
      <c r="I856" s="2"/>
    </row>
    <row r="857" spans="3:9">
      <c r="C857" s="2"/>
      <c r="D857" s="2"/>
      <c r="E857" s="2"/>
      <c r="F857" s="2"/>
      <c r="G857" s="2"/>
      <c r="H857" s="2"/>
      <c r="I857" s="2"/>
    </row>
    <row r="858" spans="3:9">
      <c r="C858" s="2"/>
      <c r="D858" s="2"/>
      <c r="E858" s="2"/>
      <c r="F858" s="2"/>
      <c r="G858" s="2"/>
      <c r="H858" s="2"/>
      <c r="I858" s="2"/>
    </row>
    <row r="859" spans="3:9">
      <c r="C859" s="2"/>
      <c r="D859" s="2"/>
      <c r="E859" s="2"/>
      <c r="F859" s="2"/>
      <c r="G859" s="2"/>
      <c r="H859" s="2"/>
      <c r="I859" s="2"/>
    </row>
    <row r="860" spans="3:9">
      <c r="C860" s="2"/>
      <c r="D860" s="2"/>
      <c r="E860" s="2"/>
      <c r="F860" s="2"/>
      <c r="G860" s="2"/>
      <c r="H860" s="2"/>
      <c r="I860" s="2"/>
    </row>
    <row r="861" spans="3:9">
      <c r="C861" s="2"/>
      <c r="D861" s="2"/>
      <c r="E861" s="2"/>
      <c r="F861" s="2"/>
      <c r="G861" s="2"/>
      <c r="H861" s="2"/>
      <c r="I861" s="2"/>
    </row>
    <row r="862" spans="3:9">
      <c r="C862" s="2"/>
      <c r="D862" s="2"/>
      <c r="E862" s="2"/>
      <c r="F862" s="2"/>
      <c r="G862" s="2"/>
      <c r="H862" s="2"/>
      <c r="I862" s="2"/>
    </row>
    <row r="863" spans="3:9">
      <c r="C863" s="2"/>
      <c r="D863" s="2"/>
      <c r="E863" s="2"/>
      <c r="F863" s="2"/>
      <c r="G863" s="2"/>
      <c r="H863" s="2"/>
      <c r="I863" s="2"/>
    </row>
    <row r="864" spans="3:9">
      <c r="C864" s="2"/>
      <c r="D864" s="2"/>
      <c r="E864" s="2"/>
      <c r="F864" s="2"/>
      <c r="G864" s="2"/>
      <c r="H864" s="2"/>
      <c r="I864" s="2"/>
    </row>
    <row r="865" spans="3:9">
      <c r="C865" s="2"/>
      <c r="D865" s="2"/>
      <c r="E865" s="2"/>
      <c r="F865" s="2"/>
      <c r="G865" s="2"/>
      <c r="H865" s="2"/>
      <c r="I865" s="2"/>
    </row>
    <row r="866" spans="3:9">
      <c r="C866" s="2"/>
      <c r="D866" s="2"/>
      <c r="E866" s="2"/>
      <c r="F866" s="2"/>
      <c r="G866" s="2"/>
      <c r="H866" s="2"/>
      <c r="I866" s="2"/>
    </row>
    <row r="867" spans="3:9">
      <c r="C867" s="2"/>
      <c r="D867" s="2"/>
      <c r="E867" s="2"/>
      <c r="F867" s="2"/>
      <c r="G867" s="2"/>
      <c r="H867" s="2"/>
      <c r="I867" s="2"/>
    </row>
    <row r="868" spans="3:9">
      <c r="C868" s="2"/>
      <c r="D868" s="2"/>
      <c r="E868" s="2"/>
      <c r="F868" s="2"/>
      <c r="G868" s="2"/>
      <c r="H868" s="2"/>
      <c r="I868" s="2"/>
    </row>
    <row r="869" spans="3:9">
      <c r="C869" s="2"/>
      <c r="D869" s="2"/>
      <c r="E869" s="2"/>
      <c r="F869" s="2"/>
      <c r="G869" s="2"/>
      <c r="H869" s="2"/>
      <c r="I869" s="2"/>
    </row>
    <row r="870" spans="3:9">
      <c r="C870" s="2"/>
      <c r="D870" s="2"/>
      <c r="E870" s="2"/>
      <c r="F870" s="2"/>
      <c r="G870" s="2"/>
      <c r="H870" s="2"/>
      <c r="I870" s="2"/>
    </row>
    <row r="871" spans="3:9">
      <c r="C871" s="2"/>
      <c r="D871" s="2"/>
      <c r="E871" s="2"/>
      <c r="F871" s="2"/>
      <c r="G871" s="2"/>
      <c r="H871" s="2"/>
      <c r="I871" s="2"/>
    </row>
    <row r="872" spans="3:9">
      <c r="C872" s="2"/>
      <c r="D872" s="2"/>
      <c r="E872" s="2"/>
      <c r="F872" s="2"/>
      <c r="G872" s="2"/>
      <c r="H872" s="2"/>
      <c r="I872" s="2"/>
    </row>
    <row r="873" spans="3:9">
      <c r="C873" s="2"/>
      <c r="D873" s="2"/>
      <c r="E873" s="2"/>
      <c r="F873" s="2"/>
      <c r="G873" s="2"/>
      <c r="H873" s="2"/>
      <c r="I873" s="2"/>
    </row>
    <row r="874" spans="3:9">
      <c r="C874" s="2"/>
      <c r="D874" s="2"/>
      <c r="E874" s="2"/>
      <c r="F874" s="2"/>
      <c r="G874" s="2"/>
      <c r="H874" s="2"/>
      <c r="I874" s="2"/>
    </row>
    <row r="875" spans="3:9">
      <c r="C875" s="2"/>
      <c r="D875" s="2"/>
      <c r="E875" s="2"/>
      <c r="F875" s="2"/>
      <c r="G875" s="2"/>
      <c r="H875" s="2"/>
      <c r="I875" s="2"/>
    </row>
    <row r="876" spans="3:9">
      <c r="C876" s="2"/>
      <c r="D876" s="2"/>
      <c r="E876" s="2"/>
      <c r="F876" s="2"/>
      <c r="G876" s="2"/>
      <c r="H876" s="2"/>
      <c r="I876" s="2"/>
    </row>
    <row r="877" spans="3:9">
      <c r="C877" s="2"/>
      <c r="D877" s="2"/>
      <c r="E877" s="2"/>
      <c r="F877" s="2"/>
      <c r="G877" s="2"/>
      <c r="H877" s="2"/>
      <c r="I877" s="2"/>
    </row>
    <row r="878" spans="3:9">
      <c r="C878" s="2"/>
      <c r="D878" s="2"/>
      <c r="E878" s="2"/>
      <c r="F878" s="2"/>
      <c r="G878" s="2"/>
      <c r="H878" s="2"/>
      <c r="I878" s="2"/>
    </row>
    <row r="879" spans="3:9">
      <c r="C879" s="2"/>
      <c r="D879" s="2"/>
      <c r="E879" s="2"/>
      <c r="F879" s="2"/>
      <c r="G879" s="2"/>
      <c r="H879" s="2"/>
      <c r="I879" s="2"/>
    </row>
    <row r="880" spans="3:9">
      <c r="C880" s="2"/>
      <c r="D880" s="2"/>
      <c r="E880" s="2"/>
      <c r="F880" s="2"/>
      <c r="G880" s="2"/>
      <c r="H880" s="2"/>
      <c r="I880" s="2"/>
    </row>
    <row r="881" spans="3:9">
      <c r="C881" s="2"/>
      <c r="D881" s="2"/>
      <c r="E881" s="2"/>
      <c r="F881" s="2"/>
      <c r="G881" s="2"/>
      <c r="H881" s="2"/>
      <c r="I881" s="2"/>
    </row>
    <row r="882" spans="3:9">
      <c r="C882" s="2"/>
      <c r="D882" s="2"/>
      <c r="E882" s="2"/>
      <c r="F882" s="2"/>
      <c r="G882" s="2"/>
      <c r="H882" s="2"/>
      <c r="I882" s="2"/>
    </row>
    <row r="883" spans="3:9">
      <c r="C883" s="2"/>
      <c r="D883" s="2"/>
      <c r="E883" s="2"/>
      <c r="F883" s="2"/>
      <c r="G883" s="2"/>
      <c r="H883" s="2"/>
      <c r="I883" s="2"/>
    </row>
    <row r="884" spans="3:9">
      <c r="C884" s="2"/>
      <c r="D884" s="2"/>
      <c r="E884" s="2"/>
      <c r="F884" s="2"/>
      <c r="G884" s="2"/>
      <c r="H884" s="2"/>
      <c r="I884" s="2"/>
    </row>
    <row r="885" spans="3:9">
      <c r="C885" s="2"/>
      <c r="D885" s="2"/>
      <c r="E885" s="2"/>
      <c r="F885" s="2"/>
      <c r="G885" s="2"/>
      <c r="H885" s="2"/>
      <c r="I885" s="2"/>
    </row>
    <row r="886" spans="3:9">
      <c r="C886" s="2"/>
      <c r="D886" s="2"/>
      <c r="E886" s="2"/>
      <c r="F886" s="2"/>
      <c r="G886" s="2"/>
      <c r="H886" s="2"/>
      <c r="I886" s="2"/>
    </row>
    <row r="887" spans="3:9">
      <c r="C887" s="2"/>
      <c r="D887" s="2"/>
      <c r="E887" s="2"/>
      <c r="F887" s="2"/>
      <c r="G887" s="2"/>
      <c r="H887" s="2"/>
      <c r="I887" s="2"/>
    </row>
    <row r="888" spans="3:9">
      <c r="C888" s="2"/>
      <c r="D888" s="2"/>
      <c r="E888" s="2"/>
      <c r="F888" s="2"/>
      <c r="G888" s="2"/>
      <c r="H888" s="2"/>
      <c r="I888" s="2"/>
    </row>
    <row r="889" spans="3:9">
      <c r="C889" s="2"/>
      <c r="D889" s="2"/>
      <c r="E889" s="2"/>
      <c r="F889" s="2"/>
      <c r="G889" s="2"/>
      <c r="H889" s="2"/>
      <c r="I889" s="2"/>
    </row>
    <row r="890" spans="3:9">
      <c r="C890" s="2"/>
      <c r="D890" s="2"/>
      <c r="E890" s="2"/>
      <c r="F890" s="2"/>
      <c r="G890" s="2"/>
      <c r="H890" s="2"/>
      <c r="I890" s="2"/>
    </row>
    <row r="891" spans="3:9">
      <c r="C891" s="2"/>
      <c r="D891" s="2"/>
      <c r="E891" s="2"/>
      <c r="F891" s="2"/>
      <c r="G891" s="2"/>
      <c r="H891" s="2"/>
      <c r="I891" s="2"/>
    </row>
    <row r="892" spans="3:9">
      <c r="C892" s="2"/>
      <c r="D892" s="2"/>
      <c r="E892" s="2"/>
      <c r="F892" s="2"/>
      <c r="G892" s="2"/>
      <c r="H892" s="2"/>
      <c r="I892" s="2"/>
    </row>
    <row r="893" spans="3:9">
      <c r="C893" s="2"/>
      <c r="D893" s="2"/>
      <c r="E893" s="2"/>
      <c r="F893" s="2"/>
      <c r="G893" s="2"/>
      <c r="H893" s="2"/>
      <c r="I893" s="2"/>
    </row>
    <row r="894" spans="3:9">
      <c r="C894" s="2"/>
      <c r="D894" s="2"/>
      <c r="E894" s="2"/>
      <c r="F894" s="2"/>
      <c r="G894" s="2"/>
      <c r="H894" s="2"/>
      <c r="I894" s="2"/>
    </row>
    <row r="895" spans="3:9">
      <c r="C895" s="2"/>
      <c r="D895" s="2"/>
      <c r="E895" s="2"/>
      <c r="F895" s="2"/>
      <c r="G895" s="2"/>
      <c r="H895" s="2"/>
      <c r="I895" s="2"/>
    </row>
    <row r="896" spans="3:9">
      <c r="C896" s="2"/>
      <c r="D896" s="2"/>
      <c r="E896" s="2"/>
      <c r="F896" s="2"/>
      <c r="G896" s="2"/>
      <c r="H896" s="2"/>
      <c r="I896" s="2"/>
    </row>
    <row r="897" spans="3:9">
      <c r="C897" s="2"/>
      <c r="D897" s="2"/>
      <c r="E897" s="2"/>
      <c r="F897" s="2"/>
      <c r="G897" s="2"/>
      <c r="H897" s="2"/>
      <c r="I897" s="2"/>
    </row>
    <row r="898" spans="3:9">
      <c r="C898" s="2"/>
      <c r="D898" s="2"/>
      <c r="E898" s="2"/>
      <c r="F898" s="2"/>
      <c r="G898" s="2"/>
      <c r="H898" s="2"/>
      <c r="I898" s="2"/>
    </row>
    <row r="899" spans="3:9">
      <c r="C899" s="2"/>
      <c r="D899" s="2"/>
      <c r="E899" s="2"/>
      <c r="F899" s="2"/>
      <c r="G899" s="2"/>
      <c r="H899" s="2"/>
      <c r="I899" s="2"/>
    </row>
    <row r="900" spans="3:9">
      <c r="C900" s="2"/>
      <c r="D900" s="2"/>
      <c r="E900" s="2"/>
      <c r="F900" s="2"/>
      <c r="G900" s="2"/>
      <c r="H900" s="2"/>
      <c r="I900" s="2"/>
    </row>
    <row r="901" spans="3:9">
      <c r="C901" s="2"/>
      <c r="D901" s="2"/>
      <c r="E901" s="2"/>
      <c r="F901" s="2"/>
      <c r="G901" s="2"/>
      <c r="H901" s="2"/>
      <c r="I901" s="2"/>
    </row>
    <row r="902" spans="3:9">
      <c r="C902" s="2"/>
      <c r="D902" s="2"/>
      <c r="E902" s="2"/>
      <c r="F902" s="2"/>
      <c r="G902" s="2"/>
      <c r="H902" s="2"/>
      <c r="I902" s="2"/>
    </row>
    <row r="903" spans="3:9">
      <c r="C903" s="2"/>
      <c r="D903" s="2"/>
      <c r="E903" s="2"/>
      <c r="F903" s="2"/>
      <c r="G903" s="2"/>
      <c r="H903" s="2"/>
      <c r="I903" s="2"/>
    </row>
    <row r="904" spans="3:9">
      <c r="C904" s="2"/>
      <c r="D904" s="2"/>
      <c r="E904" s="2"/>
      <c r="F904" s="2"/>
      <c r="G904" s="2"/>
      <c r="H904" s="2"/>
      <c r="I904" s="2"/>
    </row>
    <row r="905" spans="3:9">
      <c r="C905" s="2"/>
      <c r="D905" s="2"/>
      <c r="E905" s="2"/>
      <c r="F905" s="2"/>
      <c r="G905" s="2"/>
      <c r="H905" s="2"/>
      <c r="I905" s="2"/>
    </row>
    <row r="906" spans="3:9">
      <c r="C906" s="2"/>
      <c r="D906" s="2"/>
      <c r="E906" s="2"/>
      <c r="F906" s="2"/>
      <c r="G906" s="2"/>
      <c r="H906" s="2"/>
      <c r="I906" s="2"/>
    </row>
    <row r="907" spans="3:9">
      <c r="C907" s="2"/>
      <c r="D907" s="2"/>
      <c r="E907" s="2"/>
      <c r="F907" s="2"/>
      <c r="G907" s="2"/>
      <c r="H907" s="2"/>
      <c r="I907" s="2"/>
    </row>
    <row r="908" spans="3:9">
      <c r="C908" s="2"/>
      <c r="D908" s="2"/>
      <c r="E908" s="2"/>
      <c r="F908" s="2"/>
      <c r="G908" s="2"/>
      <c r="H908" s="2"/>
      <c r="I908" s="2"/>
    </row>
    <row r="909" spans="3:9">
      <c r="C909" s="2"/>
      <c r="D909" s="2"/>
      <c r="E909" s="2"/>
      <c r="F909" s="2"/>
      <c r="G909" s="2"/>
      <c r="H909" s="2"/>
      <c r="I909" s="2"/>
    </row>
    <row r="910" spans="3:9">
      <c r="C910" s="2"/>
      <c r="D910" s="2"/>
      <c r="E910" s="2"/>
      <c r="F910" s="2"/>
      <c r="G910" s="2"/>
      <c r="H910" s="2"/>
      <c r="I910" s="2"/>
    </row>
    <row r="911" spans="3:9">
      <c r="C911" s="2"/>
      <c r="D911" s="2"/>
      <c r="E911" s="2"/>
      <c r="F911" s="2"/>
      <c r="G911" s="2"/>
      <c r="H911" s="2"/>
      <c r="I911" s="2"/>
    </row>
    <row r="912" spans="3:9">
      <c r="C912" s="2"/>
      <c r="D912" s="2"/>
      <c r="E912" s="2"/>
      <c r="F912" s="2"/>
      <c r="G912" s="2"/>
      <c r="H912" s="2"/>
      <c r="I912" s="2"/>
    </row>
    <row r="913" spans="3:9">
      <c r="C913" s="2"/>
      <c r="D913" s="2"/>
      <c r="E913" s="2"/>
      <c r="F913" s="2"/>
      <c r="G913" s="2"/>
      <c r="H913" s="2"/>
      <c r="I913" s="2"/>
    </row>
    <row r="914" spans="3:9">
      <c r="C914" s="2"/>
      <c r="D914" s="2"/>
      <c r="E914" s="2"/>
      <c r="F914" s="2"/>
      <c r="G914" s="2"/>
      <c r="H914" s="2"/>
      <c r="I914" s="2"/>
    </row>
    <row r="915" spans="3:9">
      <c r="C915" s="2"/>
      <c r="D915" s="2"/>
      <c r="E915" s="2"/>
      <c r="F915" s="2"/>
      <c r="G915" s="2"/>
      <c r="H915" s="2"/>
      <c r="I915" s="2"/>
    </row>
    <row r="916" spans="3:9">
      <c r="C916" s="2"/>
      <c r="D916" s="2"/>
      <c r="E916" s="2"/>
      <c r="F916" s="2"/>
      <c r="G916" s="2"/>
      <c r="H916" s="2"/>
      <c r="I916" s="2"/>
    </row>
    <row r="917" spans="3:9">
      <c r="C917" s="2"/>
      <c r="D917" s="2"/>
      <c r="E917" s="2"/>
      <c r="F917" s="2"/>
      <c r="G917" s="2"/>
      <c r="H917" s="2"/>
      <c r="I917" s="2"/>
    </row>
    <row r="918" spans="3:9">
      <c r="C918" s="2"/>
      <c r="D918" s="2"/>
      <c r="E918" s="2"/>
      <c r="F918" s="2"/>
      <c r="G918" s="2"/>
      <c r="H918" s="2"/>
      <c r="I918" s="2"/>
    </row>
    <row r="919" spans="3:9">
      <c r="C919" s="2"/>
      <c r="D919" s="2"/>
      <c r="E919" s="2"/>
      <c r="F919" s="2"/>
      <c r="G919" s="2"/>
      <c r="H919" s="2"/>
      <c r="I919" s="2"/>
    </row>
    <row r="920" spans="3:9">
      <c r="C920" s="2"/>
      <c r="D920" s="2"/>
      <c r="E920" s="2"/>
      <c r="F920" s="2"/>
      <c r="G920" s="2"/>
      <c r="H920" s="2"/>
      <c r="I920" s="2"/>
    </row>
    <row r="921" spans="3:9">
      <c r="C921" s="2"/>
      <c r="D921" s="2"/>
      <c r="E921" s="2"/>
      <c r="F921" s="2"/>
      <c r="G921" s="2"/>
      <c r="H921" s="2"/>
      <c r="I921" s="2"/>
    </row>
    <row r="922" spans="3:9">
      <c r="C922" s="2"/>
      <c r="D922" s="2"/>
      <c r="E922" s="2"/>
      <c r="F922" s="2"/>
      <c r="G922" s="2"/>
      <c r="H922" s="2"/>
      <c r="I922" s="2"/>
    </row>
    <row r="923" spans="3:9">
      <c r="C923" s="2"/>
      <c r="D923" s="2"/>
      <c r="E923" s="2"/>
      <c r="F923" s="2"/>
      <c r="G923" s="2"/>
      <c r="H923" s="2"/>
      <c r="I923" s="2"/>
    </row>
    <row r="924" spans="3:9">
      <c r="C924" s="2"/>
      <c r="D924" s="2"/>
      <c r="E924" s="2"/>
      <c r="F924" s="2"/>
      <c r="G924" s="2"/>
      <c r="H924" s="2"/>
      <c r="I924" s="2"/>
    </row>
    <row r="925" spans="3:9">
      <c r="C925" s="2"/>
      <c r="D925" s="2"/>
      <c r="E925" s="2"/>
      <c r="F925" s="2"/>
      <c r="G925" s="2"/>
      <c r="H925" s="2"/>
      <c r="I925" s="2"/>
    </row>
    <row r="926" spans="3:9">
      <c r="C926" s="2"/>
      <c r="D926" s="2"/>
      <c r="E926" s="2"/>
      <c r="F926" s="2"/>
      <c r="G926" s="2"/>
      <c r="H926" s="2"/>
      <c r="I926" s="2"/>
    </row>
    <row r="927" spans="3:9">
      <c r="C927" s="2"/>
      <c r="D927" s="2"/>
      <c r="E927" s="2"/>
      <c r="F927" s="2"/>
      <c r="G927" s="2"/>
      <c r="H927" s="2"/>
      <c r="I927" s="2"/>
    </row>
    <row r="928" spans="3:9">
      <c r="C928" s="2"/>
      <c r="D928" s="2"/>
      <c r="E928" s="2"/>
      <c r="F928" s="2"/>
      <c r="G928" s="2"/>
      <c r="H928" s="2"/>
      <c r="I928" s="2"/>
    </row>
    <row r="929" spans="3:9">
      <c r="C929" s="2"/>
      <c r="D929" s="2"/>
      <c r="E929" s="2"/>
      <c r="F929" s="2"/>
      <c r="G929" s="2"/>
      <c r="H929" s="2"/>
      <c r="I929" s="2"/>
    </row>
    <row r="930" spans="3:9">
      <c r="C930" s="2"/>
      <c r="D930" s="2"/>
      <c r="E930" s="2"/>
      <c r="F930" s="2"/>
      <c r="G930" s="2"/>
      <c r="H930" s="2"/>
      <c r="I930" s="2"/>
    </row>
    <row r="931" spans="3:9">
      <c r="C931" s="2"/>
      <c r="D931" s="2"/>
      <c r="E931" s="2"/>
      <c r="F931" s="2"/>
      <c r="G931" s="2"/>
      <c r="H931" s="2"/>
      <c r="I931" s="2"/>
    </row>
    <row r="932" spans="3:9">
      <c r="C932" s="2"/>
      <c r="D932" s="2"/>
      <c r="E932" s="2"/>
      <c r="F932" s="2"/>
      <c r="G932" s="2"/>
      <c r="H932" s="2"/>
      <c r="I932" s="2"/>
    </row>
    <row r="933" spans="3:9">
      <c r="C933" s="2"/>
      <c r="D933" s="2"/>
      <c r="E933" s="2"/>
      <c r="F933" s="2"/>
      <c r="G933" s="2"/>
      <c r="H933" s="2"/>
      <c r="I933" s="2"/>
    </row>
    <row r="934" spans="3:9">
      <c r="C934" s="2"/>
      <c r="D934" s="2"/>
      <c r="E934" s="2"/>
      <c r="F934" s="2"/>
      <c r="G934" s="2"/>
      <c r="H934" s="2"/>
      <c r="I934" s="2"/>
    </row>
    <row r="935" spans="3:9">
      <c r="C935" s="2"/>
      <c r="D935" s="2"/>
      <c r="E935" s="2"/>
      <c r="F935" s="2"/>
      <c r="G935" s="2"/>
      <c r="H935" s="2"/>
      <c r="I935" s="2"/>
    </row>
    <row r="936" spans="3:9">
      <c r="C936" s="2"/>
      <c r="D936" s="2"/>
      <c r="E936" s="2"/>
      <c r="F936" s="2"/>
      <c r="G936" s="2"/>
      <c r="H936" s="2"/>
      <c r="I936" s="2"/>
    </row>
    <row r="937" spans="3:9">
      <c r="C937" s="2"/>
      <c r="D937" s="2"/>
      <c r="E937" s="2"/>
      <c r="F937" s="2"/>
      <c r="G937" s="2"/>
      <c r="H937" s="2"/>
      <c r="I937" s="2"/>
    </row>
    <row r="938" spans="3:9">
      <c r="C938" s="2"/>
      <c r="D938" s="2"/>
      <c r="E938" s="2"/>
      <c r="F938" s="2"/>
      <c r="G938" s="2"/>
      <c r="H938" s="2"/>
      <c r="I938" s="2"/>
    </row>
    <row r="939" spans="3:9">
      <c r="C939" s="2"/>
      <c r="D939" s="2"/>
      <c r="E939" s="2"/>
      <c r="F939" s="2"/>
      <c r="G939" s="2"/>
      <c r="H939" s="2"/>
      <c r="I939" s="2"/>
    </row>
    <row r="940" spans="3:9">
      <c r="C940" s="2"/>
      <c r="D940" s="2"/>
      <c r="E940" s="2"/>
      <c r="F940" s="2"/>
      <c r="G940" s="2"/>
      <c r="H940" s="2"/>
      <c r="I940" s="2"/>
    </row>
    <row r="941" spans="3:9">
      <c r="C941" s="2"/>
      <c r="D941" s="2"/>
      <c r="E941" s="2"/>
      <c r="F941" s="2"/>
      <c r="G941" s="2"/>
      <c r="H941" s="2"/>
      <c r="I941" s="2"/>
    </row>
    <row r="942" spans="3:9">
      <c r="C942" s="2"/>
      <c r="D942" s="2"/>
      <c r="E942" s="2"/>
      <c r="F942" s="2"/>
      <c r="G942" s="2"/>
      <c r="H942" s="2"/>
      <c r="I942" s="2"/>
    </row>
    <row r="943" spans="3:9">
      <c r="C943" s="2"/>
      <c r="D943" s="2"/>
      <c r="E943" s="2"/>
      <c r="F943" s="2"/>
      <c r="G943" s="2"/>
      <c r="H943" s="2"/>
      <c r="I943" s="2"/>
    </row>
    <row r="944" spans="3:9">
      <c r="C944" s="2"/>
      <c r="D944" s="2"/>
      <c r="E944" s="2"/>
      <c r="F944" s="2"/>
      <c r="G944" s="2"/>
      <c r="H944" s="2"/>
      <c r="I944" s="2"/>
    </row>
    <row r="945" spans="3:9">
      <c r="C945" s="2"/>
      <c r="D945" s="2"/>
      <c r="E945" s="2"/>
      <c r="F945" s="2"/>
      <c r="G945" s="2"/>
      <c r="H945" s="2"/>
      <c r="I945" s="2"/>
    </row>
    <row r="946" spans="3:9">
      <c r="C946" s="2"/>
      <c r="D946" s="2"/>
      <c r="E946" s="2"/>
      <c r="F946" s="2"/>
      <c r="G946" s="2"/>
      <c r="H946" s="2"/>
      <c r="I946" s="2"/>
    </row>
    <row r="947" spans="3:9">
      <c r="C947" s="2"/>
      <c r="D947" s="2"/>
      <c r="E947" s="2"/>
      <c r="F947" s="2"/>
      <c r="G947" s="2"/>
      <c r="H947" s="2"/>
      <c r="I947" s="2"/>
    </row>
    <row r="948" spans="3:9">
      <c r="C948" s="2"/>
      <c r="D948" s="2"/>
      <c r="E948" s="2"/>
      <c r="F948" s="2"/>
      <c r="G948" s="2"/>
      <c r="H948" s="2"/>
      <c r="I948" s="2"/>
    </row>
    <row r="949" spans="3:9">
      <c r="C949" s="2"/>
      <c r="D949" s="2"/>
      <c r="E949" s="2"/>
      <c r="F949" s="2"/>
      <c r="G949" s="2"/>
      <c r="H949" s="2"/>
      <c r="I949" s="2"/>
    </row>
    <row r="950" spans="3:9">
      <c r="C950" s="2"/>
      <c r="D950" s="2"/>
      <c r="E950" s="2"/>
      <c r="F950" s="2"/>
      <c r="G950" s="2"/>
      <c r="H950" s="2"/>
      <c r="I950" s="2"/>
    </row>
    <row r="951" spans="3:9">
      <c r="C951" s="2"/>
      <c r="D951" s="2"/>
      <c r="E951" s="2"/>
      <c r="F951" s="2"/>
      <c r="G951" s="2"/>
      <c r="H951" s="2"/>
      <c r="I951" s="2"/>
    </row>
    <row r="952" spans="3:9">
      <c r="C952" s="2"/>
      <c r="D952" s="2"/>
      <c r="E952" s="2"/>
      <c r="F952" s="2"/>
      <c r="G952" s="2"/>
      <c r="H952" s="2"/>
      <c r="I952" s="2"/>
    </row>
    <row r="953" spans="3:9">
      <c r="C953" s="2"/>
      <c r="D953" s="2"/>
      <c r="E953" s="2"/>
      <c r="F953" s="2"/>
      <c r="G953" s="2"/>
      <c r="H953" s="2"/>
      <c r="I953" s="2"/>
    </row>
    <row r="954" spans="3:9">
      <c r="C954" s="2"/>
      <c r="D954" s="2"/>
      <c r="E954" s="2"/>
      <c r="F954" s="2"/>
      <c r="G954" s="2"/>
      <c r="H954" s="2"/>
      <c r="I954" s="2"/>
    </row>
    <row r="955" spans="3:9">
      <c r="C955" s="2"/>
      <c r="D955" s="2"/>
      <c r="E955" s="2"/>
      <c r="F955" s="2"/>
      <c r="G955" s="2"/>
      <c r="H955" s="2"/>
      <c r="I955" s="2"/>
    </row>
    <row r="956" spans="3:9">
      <c r="C956" s="2"/>
      <c r="D956" s="2"/>
      <c r="E956" s="2"/>
      <c r="F956" s="2"/>
      <c r="G956" s="2"/>
      <c r="H956" s="2"/>
      <c r="I956" s="2"/>
    </row>
    <row r="957" spans="3:9">
      <c r="C957" s="2"/>
      <c r="D957" s="2"/>
      <c r="E957" s="2"/>
      <c r="F957" s="2"/>
      <c r="G957" s="2"/>
      <c r="H957" s="2"/>
      <c r="I957" s="2"/>
    </row>
    <row r="958" spans="3:9">
      <c r="C958" s="2"/>
      <c r="D958" s="2"/>
      <c r="E958" s="2"/>
      <c r="F958" s="2"/>
      <c r="G958" s="2"/>
      <c r="H958" s="2"/>
      <c r="I958" s="2"/>
    </row>
    <row r="959" spans="3:9">
      <c r="C959" s="2"/>
      <c r="D959" s="2"/>
      <c r="E959" s="2"/>
      <c r="F959" s="2"/>
      <c r="G959" s="2"/>
      <c r="H959" s="2"/>
      <c r="I959" s="2"/>
    </row>
    <row r="960" spans="3:9">
      <c r="C960" s="2"/>
      <c r="D960" s="2"/>
      <c r="E960" s="2"/>
      <c r="F960" s="2"/>
      <c r="G960" s="2"/>
      <c r="H960" s="2"/>
      <c r="I960" s="2"/>
    </row>
    <row r="961" spans="3:9">
      <c r="C961" s="2"/>
      <c r="D961" s="2"/>
      <c r="E961" s="2"/>
      <c r="F961" s="2"/>
      <c r="G961" s="2"/>
      <c r="H961" s="2"/>
      <c r="I961" s="2"/>
    </row>
    <row r="962" spans="3:9">
      <c r="C962" s="2"/>
      <c r="D962" s="2"/>
      <c r="E962" s="2"/>
      <c r="F962" s="2"/>
      <c r="G962" s="2"/>
      <c r="H962" s="2"/>
      <c r="I962" s="2"/>
    </row>
    <row r="963" spans="3:9">
      <c r="C963" s="2"/>
      <c r="D963" s="2"/>
      <c r="E963" s="2"/>
      <c r="F963" s="2"/>
      <c r="G963" s="2"/>
      <c r="H963" s="2"/>
      <c r="I963" s="2"/>
    </row>
    <row r="964" spans="3:9">
      <c r="C964" s="2"/>
      <c r="D964" s="2"/>
      <c r="E964" s="2"/>
      <c r="F964" s="2"/>
      <c r="G964" s="2"/>
      <c r="H964" s="2"/>
      <c r="I964" s="2"/>
    </row>
    <row r="965" spans="3:9">
      <c r="C965" s="2"/>
      <c r="D965" s="2"/>
      <c r="E965" s="2"/>
      <c r="F965" s="2"/>
      <c r="G965" s="2"/>
      <c r="H965" s="2"/>
      <c r="I965" s="2"/>
    </row>
    <row r="966" spans="3:9">
      <c r="C966" s="2"/>
      <c r="D966" s="2"/>
      <c r="E966" s="2"/>
      <c r="F966" s="2"/>
      <c r="G966" s="2"/>
      <c r="H966" s="2"/>
      <c r="I966" s="2"/>
    </row>
    <row r="967" spans="3:9">
      <c r="C967" s="2"/>
      <c r="D967" s="2"/>
      <c r="E967" s="2"/>
      <c r="F967" s="2"/>
      <c r="G967" s="2"/>
      <c r="H967" s="2"/>
      <c r="I967" s="2"/>
    </row>
    <row r="968" spans="3:9">
      <c r="C968" s="2"/>
      <c r="D968" s="2"/>
      <c r="E968" s="2"/>
      <c r="F968" s="2"/>
      <c r="G968" s="2"/>
      <c r="H968" s="2"/>
      <c r="I968" s="2"/>
    </row>
    <row r="969" spans="3:9">
      <c r="C969" s="2"/>
      <c r="D969" s="2"/>
      <c r="E969" s="2"/>
      <c r="F969" s="2"/>
      <c r="G969" s="2"/>
      <c r="H969" s="2"/>
      <c r="I969" s="2"/>
    </row>
    <row r="970" spans="3:9">
      <c r="C970" s="2"/>
      <c r="D970" s="2"/>
      <c r="E970" s="2"/>
      <c r="F970" s="2"/>
      <c r="G970" s="2"/>
      <c r="H970" s="2"/>
      <c r="I970" s="2"/>
    </row>
    <row r="971" spans="3:9">
      <c r="C971" s="2"/>
      <c r="D971" s="2"/>
      <c r="E971" s="2"/>
      <c r="F971" s="2"/>
      <c r="G971" s="2"/>
      <c r="H971" s="2"/>
      <c r="I971" s="2"/>
    </row>
    <row r="972" spans="3:9">
      <c r="C972" s="2"/>
      <c r="D972" s="2"/>
      <c r="E972" s="2"/>
      <c r="F972" s="2"/>
      <c r="G972" s="2"/>
      <c r="H972" s="2"/>
      <c r="I972" s="2"/>
    </row>
    <row r="973" spans="3:9">
      <c r="C973" s="2"/>
      <c r="D973" s="2"/>
      <c r="E973" s="2"/>
      <c r="F973" s="2"/>
      <c r="G973" s="2"/>
      <c r="H973" s="2"/>
      <c r="I973" s="2"/>
    </row>
    <row r="974" spans="3:9">
      <c r="C974" s="2"/>
      <c r="D974" s="2"/>
      <c r="E974" s="2"/>
      <c r="F974" s="2"/>
      <c r="G974" s="2"/>
      <c r="H974" s="2"/>
      <c r="I974" s="2"/>
    </row>
    <row r="975" spans="3:9">
      <c r="C975" s="2"/>
      <c r="D975" s="2"/>
      <c r="E975" s="2"/>
      <c r="F975" s="2"/>
      <c r="G975" s="2"/>
      <c r="H975" s="2"/>
      <c r="I975" s="2"/>
    </row>
    <row r="976" spans="3:9">
      <c r="C976" s="2"/>
      <c r="D976" s="2"/>
      <c r="E976" s="2"/>
      <c r="F976" s="2"/>
      <c r="G976" s="2"/>
      <c r="H976" s="2"/>
      <c r="I976" s="2"/>
    </row>
    <row r="977" spans="3:9">
      <c r="C977" s="2"/>
      <c r="D977" s="2"/>
      <c r="E977" s="2"/>
      <c r="F977" s="2"/>
      <c r="G977" s="2"/>
      <c r="H977" s="2"/>
      <c r="I977" s="2"/>
    </row>
    <row r="978" spans="3:9">
      <c r="C978" s="2"/>
      <c r="D978" s="2"/>
      <c r="E978" s="2"/>
      <c r="F978" s="2"/>
      <c r="G978" s="2"/>
      <c r="H978" s="2"/>
      <c r="I978" s="2"/>
    </row>
    <row r="979" spans="3:9">
      <c r="C979" s="2"/>
      <c r="D979" s="2"/>
      <c r="E979" s="2"/>
      <c r="F979" s="2"/>
      <c r="G979" s="2"/>
      <c r="H979" s="2"/>
      <c r="I979" s="2"/>
    </row>
    <row r="980" spans="3:9">
      <c r="C980" s="2"/>
      <c r="D980" s="2"/>
      <c r="E980" s="2"/>
      <c r="F980" s="2"/>
      <c r="G980" s="2"/>
      <c r="H980" s="2"/>
      <c r="I980" s="2"/>
    </row>
    <row r="981" spans="3:9">
      <c r="C981" s="2"/>
      <c r="D981" s="2"/>
      <c r="E981" s="2"/>
      <c r="F981" s="2"/>
      <c r="G981" s="2"/>
      <c r="H981" s="2"/>
      <c r="I981" s="2"/>
    </row>
    <row r="982" spans="3:9">
      <c r="C982" s="2"/>
      <c r="D982" s="2"/>
      <c r="E982" s="2"/>
      <c r="F982" s="2"/>
      <c r="G982" s="2"/>
      <c r="H982" s="2"/>
      <c r="I982" s="2"/>
    </row>
    <row r="983" spans="3:9">
      <c r="C983" s="2"/>
      <c r="D983" s="2"/>
      <c r="E983" s="2"/>
      <c r="F983" s="2"/>
      <c r="G983" s="2"/>
      <c r="H983" s="2"/>
      <c r="I983" s="2"/>
    </row>
    <row r="984" spans="3:9">
      <c r="C984" s="2"/>
      <c r="D984" s="2"/>
      <c r="E984" s="2"/>
      <c r="F984" s="2"/>
      <c r="G984" s="2"/>
      <c r="H984" s="2"/>
      <c r="I984" s="2"/>
    </row>
    <row r="985" spans="3:9">
      <c r="C985" s="2"/>
      <c r="D985" s="2"/>
      <c r="E985" s="2"/>
      <c r="F985" s="2"/>
      <c r="G985" s="2"/>
      <c r="H985" s="2"/>
      <c r="I985" s="2"/>
    </row>
    <row r="986" spans="3:9">
      <c r="C986" s="2"/>
      <c r="D986" s="2"/>
      <c r="E986" s="2"/>
      <c r="F986" s="2"/>
      <c r="G986" s="2"/>
      <c r="H986" s="2"/>
      <c r="I986" s="2"/>
    </row>
    <row r="987" spans="3:9">
      <c r="C987" s="2"/>
      <c r="D987" s="2"/>
      <c r="E987" s="2"/>
      <c r="F987" s="2"/>
      <c r="G987" s="2"/>
      <c r="H987" s="2"/>
      <c r="I987" s="2"/>
    </row>
    <row r="988" spans="3:9">
      <c r="C988" s="2"/>
      <c r="D988" s="2"/>
      <c r="E988" s="2"/>
      <c r="F988" s="2"/>
      <c r="G988" s="2"/>
      <c r="H988" s="2"/>
      <c r="I988" s="2"/>
    </row>
    <row r="989" spans="3:9">
      <c r="C989" s="2"/>
      <c r="D989" s="2"/>
      <c r="E989" s="2"/>
      <c r="F989" s="2"/>
      <c r="G989" s="2"/>
      <c r="H989" s="2"/>
      <c r="I989" s="2"/>
    </row>
    <row r="990" spans="3:9">
      <c r="C990" s="2"/>
      <c r="D990" s="2"/>
      <c r="E990" s="2"/>
      <c r="F990" s="2"/>
      <c r="G990" s="2"/>
      <c r="H990" s="2"/>
      <c r="I990" s="2"/>
    </row>
    <row r="991" spans="3:9">
      <c r="C991" s="2"/>
      <c r="D991" s="2"/>
      <c r="E991" s="2"/>
      <c r="F991" s="2"/>
      <c r="G991" s="2"/>
      <c r="H991" s="2"/>
      <c r="I991" s="2"/>
    </row>
    <row r="992" spans="3:9">
      <c r="C992" s="2"/>
      <c r="D992" s="2"/>
      <c r="E992" s="2"/>
      <c r="F992" s="2"/>
      <c r="G992" s="2"/>
      <c r="H992" s="2"/>
      <c r="I992" s="2"/>
    </row>
    <row r="993" spans="3:9">
      <c r="C993" s="2"/>
      <c r="D993" s="2"/>
      <c r="E993" s="2"/>
      <c r="F993" s="2"/>
      <c r="G993" s="2"/>
      <c r="H993" s="2"/>
      <c r="I993" s="2"/>
    </row>
    <row r="994" spans="3:9">
      <c r="C994" s="2"/>
      <c r="D994" s="2"/>
      <c r="E994" s="2"/>
      <c r="F994" s="2"/>
      <c r="G994" s="2"/>
      <c r="H994" s="2"/>
      <c r="I994" s="2"/>
    </row>
    <row r="995" spans="3:9">
      <c r="C995" s="2"/>
      <c r="D995" s="2"/>
      <c r="E995" s="2"/>
      <c r="F995" s="2"/>
      <c r="G995" s="2"/>
      <c r="H995" s="2"/>
      <c r="I995" s="2"/>
    </row>
    <row r="996" spans="3:9">
      <c r="C996" s="2"/>
      <c r="D996" s="2"/>
      <c r="E996" s="2"/>
      <c r="F996" s="2"/>
      <c r="G996" s="2"/>
      <c r="H996" s="2"/>
      <c r="I996" s="2"/>
    </row>
    <row r="997" spans="3:9">
      <c r="C997" s="2"/>
      <c r="D997" s="2"/>
      <c r="E997" s="2"/>
      <c r="F997" s="2"/>
      <c r="G997" s="2"/>
      <c r="H997" s="2"/>
      <c r="I997" s="2"/>
    </row>
    <row r="998" spans="3:9">
      <c r="C998" s="2"/>
      <c r="D998" s="2"/>
      <c r="E998" s="2"/>
      <c r="F998" s="2"/>
      <c r="G998" s="2"/>
      <c r="H998" s="2"/>
      <c r="I998" s="2"/>
    </row>
    <row r="999" spans="3:9">
      <c r="C999" s="2"/>
      <c r="D999" s="2"/>
      <c r="E999" s="2"/>
      <c r="F999" s="2"/>
      <c r="G999" s="2"/>
      <c r="H999" s="2"/>
      <c r="I999" s="2"/>
    </row>
    <row r="1000" spans="3:9">
      <c r="C1000" s="2"/>
      <c r="D1000" s="2"/>
      <c r="E1000" s="2"/>
      <c r="F1000" s="2"/>
      <c r="G1000" s="2"/>
      <c r="H1000" s="2"/>
      <c r="I1000" s="2"/>
    </row>
    <row r="1001" spans="3:9">
      <c r="C1001" s="2"/>
      <c r="D1001" s="2"/>
      <c r="E1001" s="2"/>
      <c r="F1001" s="2"/>
      <c r="G1001" s="2"/>
      <c r="H1001" s="2"/>
      <c r="I1001" s="2"/>
    </row>
    <row r="1002" spans="3:9">
      <c r="C1002" s="2"/>
      <c r="D1002" s="2"/>
      <c r="E1002" s="2"/>
      <c r="F1002" s="2"/>
      <c r="G1002" s="2"/>
      <c r="H1002" s="2"/>
      <c r="I1002" s="2"/>
    </row>
    <row r="1003" spans="3:9">
      <c r="C1003" s="2"/>
      <c r="D1003" s="2"/>
      <c r="E1003" s="2"/>
      <c r="F1003" s="2"/>
      <c r="G1003" s="2"/>
      <c r="H1003" s="2"/>
      <c r="I1003" s="2"/>
    </row>
    <row r="1004" spans="3:9">
      <c r="C1004" s="2"/>
      <c r="D1004" s="2"/>
      <c r="E1004" s="2"/>
      <c r="F1004" s="2"/>
      <c r="G1004" s="2"/>
      <c r="H1004" s="2"/>
      <c r="I1004" s="2"/>
    </row>
    <row r="1005" spans="3:9">
      <c r="C1005" s="2"/>
      <c r="D1005" s="2"/>
      <c r="E1005" s="2"/>
      <c r="F1005" s="2"/>
      <c r="G1005" s="2"/>
      <c r="H1005" s="2"/>
      <c r="I1005" s="2"/>
    </row>
    <row r="1006" spans="3:9">
      <c r="C1006" s="2"/>
      <c r="D1006" s="2"/>
      <c r="E1006" s="2"/>
      <c r="F1006" s="2"/>
      <c r="G1006" s="2"/>
      <c r="H1006" s="2"/>
      <c r="I1006" s="2"/>
    </row>
    <row r="1007" spans="3:9">
      <c r="C1007" s="2"/>
      <c r="D1007" s="2"/>
      <c r="E1007" s="2"/>
      <c r="F1007" s="2"/>
      <c r="G1007" s="2"/>
      <c r="H1007" s="2"/>
      <c r="I1007" s="2"/>
    </row>
    <row r="1008" spans="3:9">
      <c r="C1008" s="2"/>
      <c r="D1008" s="2"/>
      <c r="E1008" s="2"/>
      <c r="F1008" s="2"/>
      <c r="G1008" s="2"/>
      <c r="H1008" s="2"/>
      <c r="I1008" s="2"/>
    </row>
    <row r="1009" spans="3:9">
      <c r="C1009" s="2"/>
      <c r="D1009" s="2"/>
      <c r="E1009" s="2"/>
      <c r="F1009" s="2"/>
      <c r="G1009" s="2"/>
      <c r="H1009" s="2"/>
      <c r="I1009" s="2"/>
    </row>
    <row r="1010" spans="3:9">
      <c r="C1010" s="2"/>
      <c r="D1010" s="2"/>
      <c r="E1010" s="2"/>
      <c r="F1010" s="2"/>
      <c r="G1010" s="2"/>
      <c r="H1010" s="2"/>
      <c r="I1010" s="2"/>
    </row>
    <row r="1011" spans="3:9">
      <c r="C1011" s="2"/>
      <c r="D1011" s="2"/>
      <c r="E1011" s="2"/>
      <c r="F1011" s="2"/>
      <c r="G1011" s="2"/>
      <c r="H1011" s="2"/>
      <c r="I1011" s="2"/>
    </row>
    <row r="1012" spans="3:9">
      <c r="C1012" s="2"/>
      <c r="D1012" s="2"/>
      <c r="E1012" s="2"/>
      <c r="F1012" s="2"/>
      <c r="G1012" s="2"/>
      <c r="H1012" s="2"/>
      <c r="I1012" s="2"/>
    </row>
    <row r="1013" spans="3:9">
      <c r="C1013" s="2"/>
      <c r="D1013" s="2"/>
      <c r="E1013" s="2"/>
      <c r="F1013" s="2"/>
      <c r="G1013" s="2"/>
      <c r="H1013" s="2"/>
      <c r="I1013" s="2"/>
    </row>
    <row r="1014" spans="3:9">
      <c r="C1014" s="2"/>
      <c r="D1014" s="2"/>
      <c r="E1014" s="2"/>
      <c r="F1014" s="2"/>
      <c r="G1014" s="2"/>
      <c r="H1014" s="2"/>
      <c r="I1014" s="2"/>
    </row>
    <row r="1015" spans="3:9">
      <c r="C1015" s="2"/>
      <c r="D1015" s="2"/>
      <c r="E1015" s="2"/>
      <c r="F1015" s="2"/>
      <c r="G1015" s="2"/>
      <c r="H1015" s="2"/>
      <c r="I1015" s="2"/>
    </row>
    <row r="1016" spans="3:9">
      <c r="C1016" s="2"/>
      <c r="D1016" s="2"/>
      <c r="E1016" s="2"/>
      <c r="F1016" s="2"/>
      <c r="G1016" s="2"/>
      <c r="H1016" s="2"/>
      <c r="I1016" s="2"/>
    </row>
    <row r="1017" spans="3:9">
      <c r="C1017" s="2"/>
      <c r="D1017" s="2"/>
      <c r="E1017" s="2"/>
      <c r="F1017" s="2"/>
      <c r="G1017" s="2"/>
      <c r="H1017" s="2"/>
      <c r="I1017" s="2"/>
    </row>
    <row r="1018" spans="3:9">
      <c r="C1018" s="2"/>
      <c r="D1018" s="2"/>
      <c r="E1018" s="2"/>
      <c r="F1018" s="2"/>
      <c r="G1018" s="2"/>
      <c r="H1018" s="2"/>
      <c r="I1018" s="2"/>
    </row>
    <row r="1019" spans="3:9">
      <c r="C1019" s="2"/>
      <c r="D1019" s="2"/>
      <c r="E1019" s="2"/>
      <c r="F1019" s="2"/>
      <c r="G1019" s="2"/>
      <c r="H1019" s="2"/>
      <c r="I1019" s="2"/>
    </row>
    <row r="1020" spans="3:9">
      <c r="C1020" s="2"/>
      <c r="D1020" s="2"/>
      <c r="E1020" s="2"/>
      <c r="F1020" s="2"/>
      <c r="G1020" s="2"/>
      <c r="H1020" s="2"/>
      <c r="I1020" s="2"/>
    </row>
    <row r="1021" spans="3:9">
      <c r="C1021" s="2"/>
      <c r="D1021" s="2"/>
      <c r="E1021" s="2"/>
      <c r="F1021" s="2"/>
      <c r="G1021" s="2"/>
      <c r="H1021" s="2"/>
      <c r="I1021" s="2"/>
    </row>
    <row r="1022" spans="3:9">
      <c r="C1022" s="2"/>
      <c r="D1022" s="2"/>
      <c r="E1022" s="2"/>
      <c r="F1022" s="2"/>
      <c r="G1022" s="2"/>
      <c r="H1022" s="2"/>
      <c r="I1022" s="2"/>
    </row>
    <row r="1023" spans="3:9">
      <c r="C1023" s="2"/>
      <c r="D1023" s="2"/>
      <c r="E1023" s="2"/>
      <c r="F1023" s="2"/>
      <c r="G1023" s="2"/>
      <c r="H1023" s="2"/>
      <c r="I1023" s="2"/>
    </row>
    <row r="1024" spans="3:9">
      <c r="C1024" s="2"/>
      <c r="D1024" s="2"/>
      <c r="E1024" s="2"/>
      <c r="F1024" s="2"/>
      <c r="G1024" s="2"/>
      <c r="H1024" s="2"/>
      <c r="I1024" s="2"/>
    </row>
    <row r="1025" spans="3:9">
      <c r="C1025" s="2"/>
      <c r="D1025" s="2"/>
      <c r="E1025" s="2"/>
      <c r="F1025" s="2"/>
      <c r="G1025" s="2"/>
      <c r="H1025" s="2"/>
      <c r="I1025" s="2"/>
    </row>
    <row r="1026" spans="3:9">
      <c r="C1026" s="2"/>
      <c r="D1026" s="2"/>
      <c r="E1026" s="2"/>
      <c r="F1026" s="2"/>
      <c r="G1026" s="2"/>
      <c r="H1026" s="2"/>
      <c r="I1026" s="2"/>
    </row>
    <row r="1027" spans="3:9">
      <c r="C1027" s="2"/>
      <c r="D1027" s="2"/>
      <c r="E1027" s="2"/>
      <c r="F1027" s="2"/>
      <c r="G1027" s="2"/>
      <c r="H1027" s="2"/>
      <c r="I1027" s="2"/>
    </row>
    <row r="1028" spans="3:9">
      <c r="C1028" s="2"/>
      <c r="D1028" s="2"/>
      <c r="E1028" s="2"/>
      <c r="F1028" s="2"/>
      <c r="G1028" s="2"/>
      <c r="H1028" s="2"/>
      <c r="I1028" s="2"/>
    </row>
    <row r="1029" spans="3:9">
      <c r="C1029" s="2"/>
      <c r="D1029" s="2"/>
      <c r="E1029" s="2"/>
      <c r="F1029" s="2"/>
      <c r="G1029" s="2"/>
      <c r="H1029" s="2"/>
      <c r="I1029" s="2"/>
    </row>
    <row r="1030" spans="3:9">
      <c r="C1030" s="2"/>
      <c r="D1030" s="2"/>
      <c r="E1030" s="2"/>
      <c r="F1030" s="2"/>
      <c r="G1030" s="2"/>
      <c r="H1030" s="2"/>
      <c r="I1030" s="2"/>
    </row>
    <row r="1031" spans="3:9">
      <c r="C1031" s="2"/>
      <c r="D1031" s="2"/>
      <c r="E1031" s="2"/>
      <c r="F1031" s="2"/>
      <c r="G1031" s="2"/>
      <c r="H1031" s="2"/>
      <c r="I1031" s="2"/>
    </row>
    <row r="1032" spans="3:9">
      <c r="C1032" s="2"/>
      <c r="D1032" s="2"/>
      <c r="E1032" s="2"/>
      <c r="F1032" s="2"/>
      <c r="G1032" s="2"/>
      <c r="H1032" s="2"/>
      <c r="I1032" s="2"/>
    </row>
    <row r="1033" spans="3:9">
      <c r="C1033" s="2"/>
      <c r="D1033" s="2"/>
      <c r="E1033" s="2"/>
      <c r="F1033" s="2"/>
      <c r="G1033" s="2"/>
      <c r="H1033" s="2"/>
      <c r="I1033" s="2"/>
    </row>
    <row r="1034" spans="3:9">
      <c r="C1034" s="2"/>
      <c r="D1034" s="2"/>
      <c r="E1034" s="2"/>
      <c r="F1034" s="2"/>
      <c r="G1034" s="2"/>
      <c r="H1034" s="2"/>
      <c r="I1034" s="2"/>
    </row>
    <row r="1035" spans="3:9">
      <c r="C1035" s="2"/>
      <c r="D1035" s="2"/>
      <c r="E1035" s="2"/>
      <c r="F1035" s="2"/>
      <c r="G1035" s="2"/>
      <c r="H1035" s="2"/>
      <c r="I1035" s="2"/>
    </row>
    <row r="1036" spans="3:9">
      <c r="C1036" s="2"/>
      <c r="D1036" s="2"/>
      <c r="E1036" s="2"/>
      <c r="F1036" s="2"/>
      <c r="G1036" s="2"/>
      <c r="H1036" s="2"/>
      <c r="I1036" s="2"/>
    </row>
    <row r="1037" spans="3:9">
      <c r="C1037" s="2"/>
      <c r="D1037" s="2"/>
      <c r="E1037" s="2"/>
      <c r="F1037" s="2"/>
      <c r="G1037" s="2"/>
      <c r="H1037" s="2"/>
      <c r="I1037" s="2"/>
    </row>
    <row r="1038" spans="3:9">
      <c r="C1038" s="2"/>
      <c r="D1038" s="2"/>
      <c r="E1038" s="2"/>
      <c r="F1038" s="2"/>
      <c r="G1038" s="2"/>
      <c r="H1038" s="2"/>
      <c r="I1038" s="2"/>
    </row>
    <row r="1039" spans="3:9">
      <c r="C1039" s="2"/>
      <c r="D1039" s="2"/>
      <c r="E1039" s="2"/>
      <c r="F1039" s="2"/>
      <c r="G1039" s="2"/>
      <c r="H1039" s="2"/>
      <c r="I1039" s="2"/>
    </row>
    <row r="1040" spans="3:9">
      <c r="C1040" s="2"/>
      <c r="D1040" s="2"/>
      <c r="E1040" s="2"/>
      <c r="F1040" s="2"/>
      <c r="G1040" s="2"/>
      <c r="H1040" s="2"/>
      <c r="I1040" s="2"/>
    </row>
    <row r="1041" spans="3:9">
      <c r="C1041" s="2"/>
      <c r="D1041" s="2"/>
      <c r="E1041" s="2"/>
      <c r="F1041" s="2"/>
      <c r="G1041" s="2"/>
      <c r="H1041" s="2"/>
      <c r="I1041" s="2"/>
    </row>
    <row r="1042" spans="3:9">
      <c r="C1042" s="2"/>
      <c r="D1042" s="2"/>
      <c r="E1042" s="2"/>
      <c r="F1042" s="2"/>
      <c r="G1042" s="2"/>
      <c r="H1042" s="2"/>
      <c r="I1042" s="2"/>
    </row>
    <row r="1043" spans="3:9">
      <c r="C1043" s="2"/>
      <c r="D1043" s="2"/>
      <c r="E1043" s="2"/>
      <c r="F1043" s="2"/>
      <c r="G1043" s="2"/>
      <c r="H1043" s="2"/>
      <c r="I1043" s="2"/>
    </row>
    <row r="1044" spans="3:9">
      <c r="C1044" s="2"/>
      <c r="D1044" s="2"/>
      <c r="E1044" s="2"/>
      <c r="F1044" s="2"/>
      <c r="G1044" s="2"/>
      <c r="H1044" s="2"/>
      <c r="I1044" s="2"/>
    </row>
    <row r="1045" spans="3:9">
      <c r="C1045" s="2"/>
      <c r="D1045" s="2"/>
      <c r="E1045" s="2"/>
      <c r="F1045" s="2"/>
      <c r="G1045" s="2"/>
      <c r="H1045" s="2"/>
      <c r="I1045" s="2"/>
    </row>
    <row r="1046" spans="3:9">
      <c r="C1046" s="2"/>
      <c r="D1046" s="2"/>
      <c r="E1046" s="2"/>
      <c r="F1046" s="2"/>
      <c r="G1046" s="2"/>
      <c r="H1046" s="2"/>
      <c r="I1046" s="2"/>
    </row>
    <row r="1047" spans="3:9">
      <c r="C1047" s="2"/>
      <c r="D1047" s="2"/>
      <c r="E1047" s="2"/>
      <c r="F1047" s="2"/>
      <c r="G1047" s="2"/>
      <c r="H1047" s="2"/>
      <c r="I1047" s="2"/>
    </row>
    <row r="1048" spans="3:9">
      <c r="C1048" s="2"/>
      <c r="D1048" s="2"/>
      <c r="E1048" s="2"/>
      <c r="F1048" s="2"/>
      <c r="G1048" s="2"/>
      <c r="H1048" s="2"/>
      <c r="I1048" s="2"/>
    </row>
    <row r="1049" spans="3:9">
      <c r="C1049" s="2"/>
      <c r="D1049" s="2"/>
      <c r="E1049" s="2"/>
      <c r="F1049" s="2"/>
      <c r="G1049" s="2"/>
      <c r="H1049" s="2"/>
      <c r="I1049" s="2"/>
    </row>
    <row r="1050" spans="3:9">
      <c r="C1050" s="2"/>
      <c r="D1050" s="2"/>
      <c r="E1050" s="2"/>
      <c r="F1050" s="2"/>
      <c r="G1050" s="2"/>
      <c r="H1050" s="2"/>
      <c r="I1050" s="2"/>
    </row>
    <row r="1051" spans="3:9">
      <c r="C1051" s="2"/>
      <c r="D1051" s="2"/>
      <c r="E1051" s="2"/>
      <c r="F1051" s="2"/>
      <c r="G1051" s="2"/>
      <c r="H1051" s="2"/>
      <c r="I1051" s="2"/>
    </row>
    <row r="1052" spans="3:9">
      <c r="C1052" s="2"/>
      <c r="D1052" s="2"/>
      <c r="E1052" s="2"/>
      <c r="F1052" s="2"/>
      <c r="G1052" s="2"/>
      <c r="H1052" s="2"/>
      <c r="I1052" s="2"/>
    </row>
    <row r="1053" spans="3:9">
      <c r="C1053" s="2"/>
      <c r="D1053" s="2"/>
      <c r="E1053" s="2"/>
      <c r="F1053" s="2"/>
      <c r="G1053" s="2"/>
      <c r="H1053" s="2"/>
      <c r="I1053" s="2"/>
    </row>
    <row r="1054" spans="3:9">
      <c r="C1054" s="2"/>
      <c r="D1054" s="2"/>
      <c r="E1054" s="2"/>
      <c r="F1054" s="2"/>
      <c r="G1054" s="2"/>
      <c r="H1054" s="2"/>
      <c r="I1054" s="2"/>
    </row>
    <row r="1055" spans="3:9">
      <c r="C1055" s="2"/>
      <c r="D1055" s="2"/>
      <c r="E1055" s="2"/>
      <c r="F1055" s="2"/>
      <c r="G1055" s="2"/>
      <c r="H1055" s="2"/>
      <c r="I1055" s="2"/>
    </row>
    <row r="1056" spans="3:9">
      <c r="C1056" s="2"/>
      <c r="D1056" s="2"/>
      <c r="E1056" s="2"/>
      <c r="F1056" s="2"/>
      <c r="G1056" s="2"/>
      <c r="H1056" s="2"/>
      <c r="I1056" s="2"/>
    </row>
    <row r="1057" spans="3:9">
      <c r="C1057" s="2"/>
      <c r="D1057" s="2"/>
      <c r="E1057" s="2"/>
      <c r="F1057" s="2"/>
      <c r="G1057" s="2"/>
      <c r="H1057" s="2"/>
      <c r="I1057" s="2"/>
    </row>
    <row r="1058" spans="3:9">
      <c r="C1058" s="2"/>
      <c r="D1058" s="2"/>
      <c r="E1058" s="2"/>
      <c r="F1058" s="2"/>
      <c r="G1058" s="2"/>
      <c r="H1058" s="2"/>
      <c r="I1058" s="2"/>
    </row>
    <row r="1059" spans="3:9">
      <c r="C1059" s="2"/>
      <c r="D1059" s="2"/>
      <c r="E1059" s="2"/>
      <c r="F1059" s="2"/>
      <c r="G1059" s="2"/>
      <c r="H1059" s="2"/>
      <c r="I1059" s="2"/>
    </row>
    <row r="1060" spans="3:9">
      <c r="C1060" s="2"/>
      <c r="D1060" s="2"/>
      <c r="E1060" s="2"/>
      <c r="F1060" s="2"/>
      <c r="G1060" s="2"/>
      <c r="H1060" s="2"/>
      <c r="I1060" s="2"/>
    </row>
    <row r="1061" spans="3:9">
      <c r="C1061" s="2"/>
      <c r="D1061" s="2"/>
      <c r="E1061" s="2"/>
      <c r="F1061" s="2"/>
      <c r="G1061" s="2"/>
      <c r="H1061" s="2"/>
      <c r="I1061" s="2"/>
    </row>
    <row r="1062" spans="3:9">
      <c r="C1062" s="2"/>
      <c r="D1062" s="2"/>
      <c r="E1062" s="2"/>
      <c r="F1062" s="2"/>
      <c r="G1062" s="2"/>
      <c r="H1062" s="2"/>
      <c r="I1062" s="2"/>
    </row>
    <row r="1063" spans="3:9">
      <c r="C1063" s="2"/>
      <c r="D1063" s="2"/>
      <c r="E1063" s="2"/>
      <c r="F1063" s="2"/>
      <c r="G1063" s="2"/>
      <c r="H1063" s="2"/>
      <c r="I1063" s="2"/>
    </row>
    <row r="1064" spans="3:9">
      <c r="C1064" s="2"/>
      <c r="D1064" s="2"/>
      <c r="E1064" s="2"/>
      <c r="F1064" s="2"/>
      <c r="G1064" s="2"/>
      <c r="H1064" s="2"/>
      <c r="I1064" s="2"/>
    </row>
    <row r="1065" spans="3:9">
      <c r="C1065" s="2"/>
      <c r="D1065" s="2"/>
      <c r="E1065" s="2"/>
      <c r="F1065" s="2"/>
      <c r="G1065" s="2"/>
      <c r="H1065" s="2"/>
      <c r="I1065" s="2"/>
    </row>
    <row r="1066" spans="3:9">
      <c r="C1066" s="2"/>
      <c r="D1066" s="2"/>
      <c r="E1066" s="2"/>
      <c r="F1066" s="2"/>
      <c r="G1066" s="2"/>
      <c r="H1066" s="2"/>
      <c r="I1066" s="2"/>
    </row>
    <row r="1067" spans="3:9">
      <c r="C1067" s="2"/>
      <c r="D1067" s="2"/>
      <c r="E1067" s="2"/>
      <c r="F1067" s="2"/>
      <c r="G1067" s="2"/>
      <c r="H1067" s="2"/>
      <c r="I1067" s="2"/>
    </row>
    <row r="1068" spans="3:9">
      <c r="C1068" s="2"/>
      <c r="D1068" s="2"/>
      <c r="E1068" s="2"/>
      <c r="F1068" s="2"/>
      <c r="G1068" s="2"/>
      <c r="H1068" s="2"/>
      <c r="I1068" s="2"/>
    </row>
    <row r="1069" spans="3:9">
      <c r="C1069" s="2"/>
      <c r="D1069" s="2"/>
      <c r="E1069" s="2"/>
      <c r="F1069" s="2"/>
      <c r="G1069" s="2"/>
      <c r="H1069" s="2"/>
      <c r="I1069" s="2"/>
    </row>
    <row r="1070" spans="3:9">
      <c r="C1070" s="2"/>
      <c r="D1070" s="2"/>
      <c r="E1070" s="2"/>
      <c r="F1070" s="2"/>
      <c r="G1070" s="2"/>
      <c r="H1070" s="2"/>
      <c r="I1070" s="2"/>
    </row>
    <row r="1071" spans="3:9">
      <c r="C1071" s="2"/>
      <c r="D1071" s="2"/>
      <c r="E1071" s="2"/>
      <c r="F1071" s="2"/>
      <c r="G1071" s="2"/>
      <c r="H1071" s="2"/>
      <c r="I1071" s="2"/>
    </row>
    <row r="1072" spans="3:9">
      <c r="C1072" s="2"/>
      <c r="D1072" s="2"/>
      <c r="E1072" s="2"/>
      <c r="F1072" s="2"/>
      <c r="G1072" s="2"/>
      <c r="H1072" s="2"/>
      <c r="I1072" s="2"/>
    </row>
    <row r="1073" spans="3:9">
      <c r="C1073" s="2"/>
      <c r="D1073" s="2"/>
      <c r="E1073" s="2"/>
      <c r="F1073" s="2"/>
      <c r="G1073" s="2"/>
      <c r="H1073" s="2"/>
      <c r="I1073" s="2"/>
    </row>
    <row r="1074" spans="3:9">
      <c r="C1074" s="2"/>
      <c r="D1074" s="2"/>
      <c r="E1074" s="2"/>
      <c r="F1074" s="2"/>
      <c r="G1074" s="2"/>
      <c r="H1074" s="2"/>
      <c r="I1074" s="2"/>
    </row>
    <row r="1075" spans="3:9">
      <c r="C1075" s="2"/>
      <c r="D1075" s="2"/>
      <c r="E1075" s="2"/>
      <c r="F1075" s="2"/>
      <c r="G1075" s="2"/>
      <c r="H1075" s="2"/>
      <c r="I1075" s="2"/>
    </row>
    <row r="1076" spans="3:9">
      <c r="C1076" s="2"/>
      <c r="D1076" s="2"/>
      <c r="E1076" s="2"/>
      <c r="F1076" s="2"/>
      <c r="G1076" s="2"/>
      <c r="H1076" s="2"/>
      <c r="I1076" s="2"/>
    </row>
    <row r="1077" spans="3:9">
      <c r="C1077" s="2"/>
      <c r="D1077" s="2"/>
      <c r="E1077" s="2"/>
      <c r="F1077" s="2"/>
      <c r="G1077" s="2"/>
      <c r="H1077" s="2"/>
      <c r="I1077" s="2"/>
    </row>
    <row r="1078" spans="3:9">
      <c r="C1078" s="2"/>
      <c r="D1078" s="2"/>
      <c r="E1078" s="2"/>
      <c r="F1078" s="2"/>
      <c r="G1078" s="2"/>
      <c r="H1078" s="2"/>
      <c r="I1078" s="2"/>
    </row>
    <row r="1079" spans="3:9">
      <c r="C1079" s="2"/>
      <c r="D1079" s="2"/>
      <c r="E1079" s="2"/>
      <c r="F1079" s="2"/>
      <c r="G1079" s="2"/>
      <c r="H1079" s="2"/>
      <c r="I1079" s="2"/>
    </row>
    <row r="1080" spans="3:9">
      <c r="C1080" s="2"/>
      <c r="D1080" s="2"/>
      <c r="E1080" s="2"/>
      <c r="F1080" s="2"/>
      <c r="G1080" s="2"/>
      <c r="H1080" s="2"/>
      <c r="I1080" s="2"/>
    </row>
    <row r="1081" spans="3:9">
      <c r="C1081" s="2"/>
      <c r="D1081" s="2"/>
      <c r="E1081" s="2"/>
      <c r="F1081" s="2"/>
      <c r="G1081" s="2"/>
      <c r="H1081" s="2"/>
      <c r="I1081" s="2"/>
    </row>
    <row r="1082" spans="3:9">
      <c r="C1082" s="2"/>
      <c r="D1082" s="2"/>
      <c r="E1082" s="2"/>
      <c r="F1082" s="2"/>
      <c r="G1082" s="2"/>
      <c r="H1082" s="2"/>
      <c r="I1082" s="2"/>
    </row>
    <row r="1083" spans="3:9">
      <c r="C1083" s="2"/>
      <c r="D1083" s="2"/>
      <c r="E1083" s="2"/>
      <c r="F1083" s="2"/>
      <c r="G1083" s="2"/>
      <c r="H1083" s="2"/>
      <c r="I1083" s="2"/>
    </row>
    <row r="1084" spans="3:9">
      <c r="C1084" s="2"/>
      <c r="D1084" s="2"/>
      <c r="E1084" s="2"/>
      <c r="F1084" s="2"/>
      <c r="G1084" s="2"/>
      <c r="H1084" s="2"/>
      <c r="I1084" s="2"/>
    </row>
    <row r="1085" spans="3:9">
      <c r="C1085" s="2"/>
      <c r="D1085" s="2"/>
      <c r="E1085" s="2"/>
      <c r="F1085" s="2"/>
      <c r="G1085" s="2"/>
      <c r="H1085" s="2"/>
      <c r="I1085" s="2"/>
    </row>
    <row r="1086" spans="3:9">
      <c r="C1086" s="2"/>
      <c r="D1086" s="2"/>
      <c r="E1086" s="2"/>
      <c r="F1086" s="2"/>
      <c r="G1086" s="2"/>
      <c r="H1086" s="2"/>
      <c r="I1086" s="2"/>
    </row>
    <row r="1087" spans="3:9">
      <c r="C1087" s="2"/>
      <c r="D1087" s="2"/>
      <c r="E1087" s="2"/>
      <c r="F1087" s="2"/>
      <c r="G1087" s="2"/>
      <c r="H1087" s="2"/>
      <c r="I1087" s="2"/>
    </row>
    <row r="1088" spans="3:9">
      <c r="C1088" s="2"/>
      <c r="D1088" s="2"/>
      <c r="E1088" s="2"/>
      <c r="F1088" s="2"/>
      <c r="G1088" s="2"/>
      <c r="H1088" s="2"/>
      <c r="I1088" s="2"/>
    </row>
    <row r="1089" spans="3:9">
      <c r="C1089" s="2"/>
      <c r="D1089" s="2"/>
      <c r="E1089" s="2"/>
      <c r="F1089" s="2"/>
      <c r="G1089" s="2"/>
      <c r="H1089" s="2"/>
      <c r="I1089" s="2"/>
    </row>
    <row r="1090" spans="3:9">
      <c r="C1090" s="2"/>
      <c r="D1090" s="2"/>
      <c r="E1090" s="2"/>
      <c r="F1090" s="2"/>
      <c r="G1090" s="2"/>
      <c r="H1090" s="2"/>
      <c r="I1090" s="2"/>
    </row>
    <row r="1091" spans="3:9">
      <c r="C1091" s="2"/>
      <c r="D1091" s="2"/>
      <c r="E1091" s="2"/>
      <c r="F1091" s="2"/>
      <c r="G1091" s="2"/>
      <c r="H1091" s="2"/>
      <c r="I1091" s="2"/>
    </row>
    <row r="1092" spans="3:9">
      <c r="C1092" s="2"/>
      <c r="D1092" s="2"/>
      <c r="E1092" s="2"/>
      <c r="F1092" s="2"/>
      <c r="G1092" s="2"/>
      <c r="H1092" s="2"/>
      <c r="I1092" s="2"/>
    </row>
    <row r="1093" spans="3:9">
      <c r="C1093" s="2"/>
      <c r="D1093" s="2"/>
      <c r="E1093" s="2"/>
      <c r="F1093" s="2"/>
      <c r="G1093" s="2"/>
      <c r="H1093" s="2"/>
      <c r="I1093" s="2"/>
    </row>
    <row r="1094" spans="3:9">
      <c r="C1094" s="2"/>
      <c r="D1094" s="2"/>
      <c r="E1094" s="2"/>
      <c r="F1094" s="2"/>
      <c r="G1094" s="2"/>
      <c r="H1094" s="2"/>
      <c r="I1094" s="2"/>
    </row>
    <row r="1095" spans="3:9">
      <c r="C1095" s="2"/>
      <c r="D1095" s="2"/>
      <c r="E1095" s="2"/>
      <c r="F1095" s="2"/>
      <c r="G1095" s="2"/>
      <c r="H1095" s="2"/>
      <c r="I1095" s="2"/>
    </row>
    <row r="1096" spans="3:9">
      <c r="C1096" s="2"/>
      <c r="D1096" s="2"/>
      <c r="E1096" s="2"/>
      <c r="F1096" s="2"/>
      <c r="G1096" s="2"/>
      <c r="H1096" s="2"/>
      <c r="I1096" s="2"/>
    </row>
    <row r="1097" spans="3:9">
      <c r="C1097" s="2"/>
      <c r="D1097" s="2"/>
      <c r="E1097" s="2"/>
      <c r="F1097" s="2"/>
      <c r="G1097" s="2"/>
      <c r="H1097" s="2"/>
      <c r="I1097" s="2"/>
    </row>
    <row r="1098" spans="3:9">
      <c r="C1098" s="2"/>
      <c r="D1098" s="2"/>
      <c r="E1098" s="2"/>
      <c r="F1098" s="2"/>
      <c r="G1098" s="2"/>
      <c r="H1098" s="2"/>
      <c r="I1098" s="2"/>
    </row>
    <row r="1099" spans="3:9">
      <c r="C1099" s="2"/>
      <c r="D1099" s="2"/>
      <c r="E1099" s="2"/>
      <c r="F1099" s="2"/>
      <c r="G1099" s="2"/>
      <c r="H1099" s="2"/>
      <c r="I1099" s="2"/>
    </row>
    <row r="1100" spans="3:9">
      <c r="C1100" s="2"/>
      <c r="D1100" s="2"/>
      <c r="E1100" s="2"/>
      <c r="F1100" s="2"/>
      <c r="G1100" s="2"/>
      <c r="H1100" s="2"/>
      <c r="I1100" s="2"/>
    </row>
    <row r="1101" spans="3:9">
      <c r="C1101" s="2"/>
      <c r="D1101" s="2"/>
      <c r="E1101" s="2"/>
      <c r="F1101" s="2"/>
      <c r="G1101" s="2"/>
      <c r="H1101" s="2"/>
      <c r="I1101" s="2"/>
    </row>
    <row r="1102" spans="3:9">
      <c r="C1102" s="2"/>
      <c r="D1102" s="2"/>
      <c r="E1102" s="2"/>
      <c r="F1102" s="2"/>
      <c r="G1102" s="2"/>
      <c r="H1102" s="2"/>
      <c r="I1102" s="2"/>
    </row>
    <row r="1103" spans="3:9">
      <c r="C1103" s="2"/>
      <c r="D1103" s="2"/>
      <c r="E1103" s="2"/>
      <c r="F1103" s="2"/>
      <c r="G1103" s="2"/>
      <c r="H1103" s="2"/>
      <c r="I1103" s="2"/>
    </row>
    <row r="1104" spans="3:9">
      <c r="C1104" s="2"/>
      <c r="D1104" s="2"/>
      <c r="E1104" s="2"/>
      <c r="F1104" s="2"/>
      <c r="G1104" s="2"/>
      <c r="H1104" s="2"/>
      <c r="I1104" s="2"/>
    </row>
    <row r="1105" spans="3:9">
      <c r="C1105" s="2"/>
      <c r="D1105" s="2"/>
      <c r="E1105" s="2"/>
      <c r="F1105" s="2"/>
      <c r="G1105" s="2"/>
      <c r="H1105" s="2"/>
      <c r="I1105" s="2"/>
    </row>
    <row r="1106" spans="3:9">
      <c r="C1106" s="2"/>
      <c r="D1106" s="2"/>
      <c r="E1106" s="2"/>
      <c r="F1106" s="2"/>
      <c r="G1106" s="2"/>
      <c r="H1106" s="2"/>
      <c r="I1106" s="2"/>
    </row>
    <row r="1107" spans="3:9">
      <c r="C1107" s="2"/>
      <c r="D1107" s="2"/>
      <c r="E1107" s="2"/>
      <c r="F1107" s="2"/>
      <c r="G1107" s="2"/>
      <c r="H1107" s="2"/>
      <c r="I1107" s="2"/>
    </row>
    <row r="1108" spans="3:9">
      <c r="C1108" s="2"/>
      <c r="D1108" s="2"/>
      <c r="E1108" s="2"/>
      <c r="F1108" s="2"/>
      <c r="G1108" s="2"/>
      <c r="H1108" s="2"/>
      <c r="I1108" s="2"/>
    </row>
    <row r="1109" spans="3:9">
      <c r="C1109" s="2"/>
      <c r="D1109" s="2"/>
      <c r="E1109" s="2"/>
      <c r="F1109" s="2"/>
      <c r="G1109" s="2"/>
      <c r="H1109" s="2"/>
      <c r="I1109" s="2"/>
    </row>
    <row r="1110" spans="3:9">
      <c r="C1110" s="2"/>
      <c r="D1110" s="2"/>
      <c r="E1110" s="2"/>
      <c r="F1110" s="2"/>
      <c r="G1110" s="2"/>
      <c r="H1110" s="2"/>
      <c r="I1110" s="2"/>
    </row>
    <row r="1111" spans="3:9">
      <c r="C1111" s="2"/>
      <c r="D1111" s="2"/>
      <c r="E1111" s="2"/>
      <c r="F1111" s="2"/>
      <c r="G1111" s="2"/>
      <c r="H1111" s="2"/>
      <c r="I1111" s="2"/>
    </row>
    <row r="1112" spans="3:9">
      <c r="C1112" s="2"/>
      <c r="D1112" s="2"/>
      <c r="E1112" s="2"/>
      <c r="F1112" s="2"/>
      <c r="G1112" s="2"/>
      <c r="H1112" s="2"/>
      <c r="I1112" s="2"/>
    </row>
    <row r="1113" spans="3:9">
      <c r="C1113" s="2"/>
      <c r="D1113" s="2"/>
      <c r="E1113" s="2"/>
      <c r="F1113" s="2"/>
      <c r="G1113" s="2"/>
      <c r="H1113" s="2"/>
      <c r="I1113" s="2"/>
    </row>
    <row r="1114" spans="3:9">
      <c r="C1114" s="2"/>
      <c r="D1114" s="2"/>
      <c r="E1114" s="2"/>
      <c r="F1114" s="2"/>
      <c r="G1114" s="2"/>
      <c r="H1114" s="2"/>
      <c r="I1114" s="2"/>
    </row>
    <row r="1115" spans="3:9">
      <c r="C1115" s="2"/>
      <c r="D1115" s="2"/>
      <c r="E1115" s="2"/>
      <c r="F1115" s="2"/>
      <c r="G1115" s="2"/>
      <c r="H1115" s="2"/>
      <c r="I1115" s="2"/>
    </row>
    <row r="1116" spans="3:9">
      <c r="C1116" s="2"/>
      <c r="D1116" s="2"/>
      <c r="E1116" s="2"/>
      <c r="F1116" s="2"/>
      <c r="G1116" s="2"/>
      <c r="H1116" s="2"/>
      <c r="I1116" s="2"/>
    </row>
    <row r="1117" spans="3:9">
      <c r="C1117" s="2"/>
      <c r="D1117" s="2"/>
      <c r="E1117" s="2"/>
      <c r="F1117" s="2"/>
      <c r="G1117" s="2"/>
      <c r="H1117" s="2"/>
      <c r="I1117" s="2"/>
    </row>
    <row r="1118" spans="3:9">
      <c r="C1118" s="2"/>
      <c r="D1118" s="2"/>
      <c r="E1118" s="2"/>
      <c r="F1118" s="2"/>
      <c r="G1118" s="2"/>
      <c r="H1118" s="2"/>
      <c r="I1118" s="2"/>
    </row>
    <row r="1119" spans="3:9">
      <c r="C1119" s="2"/>
      <c r="D1119" s="2"/>
      <c r="E1119" s="2"/>
      <c r="F1119" s="2"/>
      <c r="G1119" s="2"/>
      <c r="H1119" s="2"/>
      <c r="I1119" s="2"/>
    </row>
    <row r="1120" spans="3:9">
      <c r="C1120" s="2"/>
      <c r="D1120" s="2"/>
      <c r="E1120" s="2"/>
      <c r="F1120" s="2"/>
      <c r="G1120" s="2"/>
      <c r="H1120" s="2"/>
      <c r="I1120" s="2"/>
    </row>
    <row r="1121" spans="3:9">
      <c r="C1121" s="2"/>
      <c r="D1121" s="2"/>
      <c r="E1121" s="2"/>
      <c r="F1121" s="2"/>
      <c r="G1121" s="2"/>
      <c r="H1121" s="2"/>
      <c r="I1121" s="2"/>
    </row>
    <row r="1122" spans="3:9">
      <c r="C1122" s="2"/>
      <c r="D1122" s="2"/>
      <c r="E1122" s="2"/>
      <c r="F1122" s="2"/>
      <c r="G1122" s="2"/>
      <c r="H1122" s="2"/>
      <c r="I1122" s="2"/>
    </row>
    <row r="1123" spans="3:9">
      <c r="C1123" s="2"/>
      <c r="D1123" s="2"/>
      <c r="E1123" s="2"/>
      <c r="F1123" s="2"/>
      <c r="G1123" s="2"/>
      <c r="H1123" s="2"/>
      <c r="I1123" s="2"/>
    </row>
    <row r="1124" spans="3:9">
      <c r="C1124" s="2"/>
      <c r="D1124" s="2"/>
      <c r="E1124" s="2"/>
      <c r="F1124" s="2"/>
      <c r="G1124" s="2"/>
      <c r="H1124" s="2"/>
      <c r="I1124" s="2"/>
    </row>
    <row r="1125" spans="3:9">
      <c r="C1125" s="2"/>
      <c r="D1125" s="2"/>
      <c r="E1125" s="2"/>
      <c r="F1125" s="2"/>
      <c r="G1125" s="2"/>
      <c r="H1125" s="2"/>
      <c r="I1125" s="2"/>
    </row>
    <row r="1126" spans="3:9">
      <c r="C1126" s="2"/>
      <c r="D1126" s="2"/>
      <c r="E1126" s="2"/>
      <c r="F1126" s="2"/>
      <c r="G1126" s="2"/>
      <c r="H1126" s="2"/>
      <c r="I1126" s="2"/>
    </row>
    <row r="1127" spans="3:9">
      <c r="C1127" s="2"/>
      <c r="D1127" s="2"/>
      <c r="E1127" s="2"/>
      <c r="F1127" s="2"/>
      <c r="G1127" s="2"/>
      <c r="H1127" s="2"/>
      <c r="I1127" s="2"/>
    </row>
    <row r="1128" spans="3:9">
      <c r="C1128" s="2"/>
      <c r="D1128" s="2"/>
      <c r="E1128" s="2"/>
      <c r="F1128" s="2"/>
      <c r="G1128" s="2"/>
      <c r="H1128" s="2"/>
      <c r="I1128" s="2"/>
    </row>
    <row r="1129" spans="3:9">
      <c r="C1129" s="2"/>
      <c r="D1129" s="2"/>
      <c r="E1129" s="2"/>
      <c r="F1129" s="2"/>
      <c r="G1129" s="2"/>
      <c r="H1129" s="2"/>
      <c r="I1129" s="2"/>
    </row>
    <row r="1130" spans="3:9">
      <c r="C1130" s="2"/>
      <c r="D1130" s="2"/>
      <c r="E1130" s="2"/>
      <c r="F1130" s="2"/>
      <c r="G1130" s="2"/>
      <c r="H1130" s="2"/>
      <c r="I1130" s="2"/>
    </row>
    <row r="1131" spans="3:9">
      <c r="C1131" s="2"/>
      <c r="D1131" s="2"/>
      <c r="E1131" s="2"/>
      <c r="F1131" s="2"/>
      <c r="G1131" s="2"/>
      <c r="H1131" s="2"/>
      <c r="I1131" s="2"/>
    </row>
    <row r="1132" spans="3:9">
      <c r="C1132" s="2"/>
      <c r="D1132" s="2"/>
      <c r="E1132" s="2"/>
      <c r="F1132" s="2"/>
      <c r="G1132" s="2"/>
      <c r="H1132" s="2"/>
      <c r="I1132" s="2"/>
    </row>
    <row r="1133" spans="3:9">
      <c r="C1133" s="2"/>
      <c r="D1133" s="2"/>
      <c r="E1133" s="2"/>
      <c r="F1133" s="2"/>
      <c r="G1133" s="2"/>
      <c r="H1133" s="2"/>
      <c r="I1133" s="2"/>
    </row>
    <row r="1134" spans="3:9">
      <c r="C1134" s="2"/>
      <c r="D1134" s="2"/>
      <c r="E1134" s="2"/>
      <c r="F1134" s="2"/>
      <c r="G1134" s="2"/>
      <c r="H1134" s="2"/>
      <c r="I1134" s="2"/>
    </row>
    <row r="1135" spans="3:9">
      <c r="C1135" s="2"/>
      <c r="D1135" s="2"/>
      <c r="E1135" s="2"/>
      <c r="F1135" s="2"/>
      <c r="G1135" s="2"/>
      <c r="H1135" s="2"/>
      <c r="I1135" s="2"/>
    </row>
    <row r="1136" spans="3:9">
      <c r="C1136" s="2"/>
      <c r="D1136" s="2"/>
      <c r="E1136" s="2"/>
      <c r="F1136" s="2"/>
      <c r="G1136" s="2"/>
      <c r="H1136" s="2"/>
      <c r="I1136" s="2"/>
    </row>
    <row r="1137" spans="3:9">
      <c r="C1137" s="2"/>
      <c r="D1137" s="2"/>
      <c r="E1137" s="2"/>
      <c r="F1137" s="2"/>
      <c r="G1137" s="2"/>
      <c r="H1137" s="2"/>
      <c r="I1137" s="2"/>
    </row>
    <row r="1138" spans="3:9">
      <c r="C1138" s="2"/>
      <c r="D1138" s="2"/>
      <c r="E1138" s="2"/>
      <c r="F1138" s="2"/>
      <c r="G1138" s="2"/>
      <c r="H1138" s="2"/>
      <c r="I1138" s="2"/>
    </row>
    <row r="1139" spans="3:9">
      <c r="C1139" s="2"/>
      <c r="D1139" s="2"/>
      <c r="E1139" s="2"/>
      <c r="F1139" s="2"/>
      <c r="G1139" s="2"/>
      <c r="H1139" s="2"/>
      <c r="I1139" s="2"/>
    </row>
    <row r="1140" spans="3:9">
      <c r="C1140" s="2"/>
      <c r="D1140" s="2"/>
      <c r="E1140" s="2"/>
      <c r="F1140" s="2"/>
      <c r="G1140" s="2"/>
      <c r="H1140" s="2"/>
      <c r="I1140" s="2"/>
    </row>
    <row r="1141" spans="3:9">
      <c r="C1141" s="2"/>
      <c r="D1141" s="2"/>
      <c r="E1141" s="2"/>
      <c r="F1141" s="2"/>
      <c r="G1141" s="2"/>
      <c r="H1141" s="2"/>
      <c r="I1141" s="2"/>
    </row>
    <row r="1142" spans="3:9">
      <c r="C1142" s="2"/>
      <c r="D1142" s="2"/>
      <c r="E1142" s="2"/>
      <c r="F1142" s="2"/>
      <c r="G1142" s="2"/>
      <c r="H1142" s="2"/>
      <c r="I1142" s="2"/>
    </row>
    <row r="1143" spans="3:9">
      <c r="C1143" s="2"/>
      <c r="D1143" s="2"/>
      <c r="E1143" s="2"/>
      <c r="F1143" s="2"/>
      <c r="G1143" s="2"/>
      <c r="H1143" s="2"/>
      <c r="I1143" s="2"/>
    </row>
    <row r="1144" spans="3:9">
      <c r="C1144" s="2"/>
      <c r="D1144" s="2"/>
      <c r="E1144" s="2"/>
      <c r="F1144" s="2"/>
      <c r="G1144" s="2"/>
      <c r="H1144" s="2"/>
      <c r="I1144" s="2"/>
    </row>
    <row r="1145" spans="3:9">
      <c r="C1145" s="2"/>
      <c r="D1145" s="2"/>
      <c r="E1145" s="2"/>
      <c r="F1145" s="2"/>
      <c r="G1145" s="2"/>
      <c r="H1145" s="2"/>
      <c r="I1145" s="2"/>
    </row>
    <row r="1146" spans="3:9">
      <c r="C1146" s="2"/>
      <c r="D1146" s="2"/>
      <c r="E1146" s="2"/>
      <c r="F1146" s="2"/>
      <c r="G1146" s="2"/>
      <c r="H1146" s="2"/>
      <c r="I1146" s="2"/>
    </row>
    <row r="1147" spans="3:9">
      <c r="C1147" s="2"/>
      <c r="D1147" s="2"/>
      <c r="E1147" s="2"/>
      <c r="F1147" s="2"/>
      <c r="G1147" s="2"/>
      <c r="H1147" s="2"/>
      <c r="I1147" s="2"/>
    </row>
    <row r="1148" spans="3:9">
      <c r="C1148" s="2"/>
      <c r="D1148" s="2"/>
      <c r="E1148" s="2"/>
      <c r="F1148" s="2"/>
      <c r="G1148" s="2"/>
      <c r="H1148" s="2"/>
      <c r="I1148" s="2"/>
    </row>
    <row r="1149" spans="3:9">
      <c r="C1149" s="2"/>
      <c r="D1149" s="2"/>
      <c r="E1149" s="2"/>
      <c r="F1149" s="2"/>
      <c r="G1149" s="2"/>
      <c r="H1149" s="2"/>
      <c r="I1149" s="2"/>
    </row>
    <row r="1150" spans="3:9">
      <c r="C1150" s="2"/>
      <c r="D1150" s="2"/>
      <c r="E1150" s="2"/>
      <c r="F1150" s="2"/>
      <c r="G1150" s="2"/>
      <c r="H1150" s="2"/>
      <c r="I1150" s="2"/>
    </row>
    <row r="1151" spans="3:9">
      <c r="C1151" s="2"/>
      <c r="D1151" s="2"/>
      <c r="E1151" s="2"/>
      <c r="F1151" s="2"/>
      <c r="G1151" s="2"/>
      <c r="H1151" s="2"/>
      <c r="I1151" s="2"/>
    </row>
    <row r="1152" spans="3:9">
      <c r="C1152" s="2"/>
      <c r="D1152" s="2"/>
      <c r="E1152" s="2"/>
      <c r="F1152" s="2"/>
      <c r="G1152" s="2"/>
      <c r="H1152" s="2"/>
      <c r="I1152" s="2"/>
    </row>
    <row r="1153" spans="3:9">
      <c r="C1153" s="2"/>
      <c r="D1153" s="2"/>
      <c r="E1153" s="2"/>
      <c r="F1153" s="2"/>
      <c r="G1153" s="2"/>
      <c r="H1153" s="2"/>
      <c r="I1153" s="2"/>
    </row>
    <row r="1154" spans="3:9">
      <c r="C1154" s="2"/>
      <c r="D1154" s="2"/>
      <c r="E1154" s="2"/>
      <c r="F1154" s="2"/>
      <c r="G1154" s="2"/>
      <c r="H1154" s="2"/>
      <c r="I1154" s="2"/>
    </row>
    <row r="1155" spans="3:9">
      <c r="C1155" s="2"/>
      <c r="D1155" s="2"/>
      <c r="E1155" s="2"/>
      <c r="F1155" s="2"/>
      <c r="G1155" s="2"/>
      <c r="H1155" s="2"/>
      <c r="I1155" s="2"/>
    </row>
    <row r="1156" spans="3:9">
      <c r="C1156" s="2"/>
      <c r="D1156" s="2"/>
      <c r="E1156" s="2"/>
      <c r="F1156" s="2"/>
      <c r="G1156" s="2"/>
      <c r="H1156" s="2"/>
      <c r="I1156" s="2"/>
    </row>
    <row r="1157" spans="3:9">
      <c r="C1157" s="2"/>
      <c r="D1157" s="2"/>
      <c r="E1157" s="2"/>
      <c r="F1157" s="2"/>
      <c r="G1157" s="2"/>
      <c r="H1157" s="2"/>
      <c r="I1157" s="2"/>
    </row>
    <row r="1158" spans="3:9">
      <c r="C1158" s="2"/>
      <c r="D1158" s="2"/>
      <c r="E1158" s="2"/>
      <c r="F1158" s="2"/>
      <c r="G1158" s="2"/>
      <c r="H1158" s="2"/>
      <c r="I1158" s="2"/>
    </row>
    <row r="1159" spans="3:9">
      <c r="C1159" s="2"/>
      <c r="D1159" s="2"/>
      <c r="E1159" s="2"/>
      <c r="F1159" s="2"/>
      <c r="G1159" s="2"/>
      <c r="H1159" s="2"/>
      <c r="I1159" s="2"/>
    </row>
    <row r="1160" spans="3:9">
      <c r="C1160" s="2"/>
      <c r="D1160" s="2"/>
      <c r="E1160" s="2"/>
      <c r="F1160" s="2"/>
      <c r="G1160" s="2"/>
      <c r="H1160" s="2"/>
      <c r="I1160" s="2"/>
    </row>
    <row r="1161" spans="3:9">
      <c r="C1161" s="2"/>
      <c r="D1161" s="2"/>
      <c r="E1161" s="2"/>
      <c r="F1161" s="2"/>
      <c r="G1161" s="2"/>
      <c r="H1161" s="2"/>
      <c r="I1161" s="2"/>
    </row>
    <row r="1162" spans="3:9">
      <c r="C1162" s="2"/>
      <c r="D1162" s="2"/>
      <c r="E1162" s="2"/>
      <c r="F1162" s="2"/>
      <c r="G1162" s="2"/>
      <c r="H1162" s="2"/>
      <c r="I1162" s="2"/>
    </row>
    <row r="1163" spans="3:9">
      <c r="C1163" s="2"/>
      <c r="D1163" s="2"/>
      <c r="E1163" s="2"/>
      <c r="F1163" s="2"/>
      <c r="G1163" s="2"/>
      <c r="H1163" s="2"/>
      <c r="I1163" s="2"/>
    </row>
    <row r="1164" spans="3:9">
      <c r="C1164" s="2"/>
      <c r="D1164" s="2"/>
      <c r="E1164" s="2"/>
      <c r="F1164" s="2"/>
      <c r="G1164" s="2"/>
      <c r="H1164" s="2"/>
      <c r="I1164" s="2"/>
    </row>
    <row r="1165" spans="3:9">
      <c r="C1165" s="2"/>
      <c r="D1165" s="2"/>
      <c r="E1165" s="2"/>
      <c r="F1165" s="2"/>
      <c r="G1165" s="2"/>
      <c r="H1165" s="2"/>
      <c r="I1165" s="2"/>
    </row>
    <row r="1166" spans="3:9">
      <c r="C1166" s="2"/>
      <c r="D1166" s="2"/>
      <c r="E1166" s="2"/>
      <c r="F1166" s="2"/>
      <c r="G1166" s="2"/>
      <c r="H1166" s="2"/>
      <c r="I1166" s="2"/>
    </row>
    <row r="1167" spans="3:9">
      <c r="C1167" s="2"/>
      <c r="D1167" s="2"/>
      <c r="E1167" s="2"/>
      <c r="F1167" s="2"/>
      <c r="G1167" s="2"/>
      <c r="H1167" s="2"/>
      <c r="I1167" s="2"/>
    </row>
    <row r="1168" spans="3:9">
      <c r="C1168" s="2"/>
      <c r="D1168" s="2"/>
      <c r="E1168" s="2"/>
      <c r="F1168" s="2"/>
      <c r="G1168" s="2"/>
      <c r="H1168" s="2"/>
      <c r="I1168" s="2"/>
    </row>
    <row r="1169" spans="3:9">
      <c r="C1169" s="2"/>
      <c r="D1169" s="2"/>
      <c r="E1169" s="2"/>
      <c r="F1169" s="2"/>
      <c r="G1169" s="2"/>
      <c r="H1169" s="2"/>
      <c r="I1169" s="2"/>
    </row>
    <row r="1170" spans="3:9">
      <c r="C1170" s="2"/>
      <c r="D1170" s="2"/>
      <c r="E1170" s="2"/>
      <c r="F1170" s="2"/>
      <c r="G1170" s="2"/>
      <c r="H1170" s="2"/>
      <c r="I1170" s="2"/>
    </row>
    <row r="1171" spans="3:9">
      <c r="C1171" s="2"/>
      <c r="D1171" s="2"/>
      <c r="E1171" s="2"/>
      <c r="F1171" s="2"/>
      <c r="G1171" s="2"/>
      <c r="H1171" s="2"/>
      <c r="I1171" s="2"/>
    </row>
    <row r="1172" spans="3:9">
      <c r="C1172" s="2"/>
      <c r="D1172" s="2"/>
      <c r="E1172" s="2"/>
      <c r="F1172" s="2"/>
      <c r="G1172" s="2"/>
      <c r="H1172" s="2"/>
      <c r="I1172" s="2"/>
    </row>
    <row r="1173" spans="3:9">
      <c r="C1173" s="2"/>
      <c r="D1173" s="2"/>
      <c r="E1173" s="2"/>
      <c r="F1173" s="2"/>
      <c r="G1173" s="2"/>
      <c r="H1173" s="2"/>
      <c r="I1173" s="2"/>
    </row>
    <row r="1174" spans="3:9">
      <c r="C1174" s="2"/>
      <c r="D1174" s="2"/>
      <c r="E1174" s="2"/>
      <c r="F1174" s="2"/>
      <c r="G1174" s="2"/>
      <c r="H1174" s="2"/>
      <c r="I1174" s="2"/>
    </row>
    <row r="1175" spans="3:9">
      <c r="C1175" s="2"/>
      <c r="D1175" s="2"/>
      <c r="E1175" s="2"/>
      <c r="F1175" s="2"/>
      <c r="G1175" s="2"/>
      <c r="H1175" s="2"/>
      <c r="I1175" s="2"/>
    </row>
    <row r="1176" spans="3:9">
      <c r="C1176" s="2"/>
      <c r="D1176" s="2"/>
      <c r="E1176" s="2"/>
      <c r="F1176" s="2"/>
      <c r="G1176" s="2"/>
      <c r="H1176" s="2"/>
      <c r="I1176" s="2"/>
    </row>
    <row r="1177" spans="3:9">
      <c r="C1177" s="2"/>
      <c r="D1177" s="2"/>
      <c r="E1177" s="2"/>
      <c r="F1177" s="2"/>
      <c r="G1177" s="2"/>
      <c r="H1177" s="2"/>
      <c r="I1177" s="2"/>
    </row>
    <row r="1178" spans="3:9">
      <c r="C1178" s="2"/>
      <c r="D1178" s="2"/>
      <c r="E1178" s="2"/>
      <c r="F1178" s="2"/>
      <c r="G1178" s="2"/>
      <c r="H1178" s="2"/>
      <c r="I1178" s="2"/>
    </row>
    <row r="1179" spans="3:9">
      <c r="C1179" s="2"/>
      <c r="D1179" s="2"/>
      <c r="E1179" s="2"/>
      <c r="F1179" s="2"/>
      <c r="G1179" s="2"/>
      <c r="H1179" s="2"/>
      <c r="I1179" s="2"/>
    </row>
    <row r="1180" spans="3:9">
      <c r="C1180" s="2"/>
      <c r="D1180" s="2"/>
      <c r="E1180" s="2"/>
      <c r="F1180" s="2"/>
      <c r="G1180" s="2"/>
      <c r="H1180" s="2"/>
      <c r="I1180" s="2"/>
    </row>
    <row r="1181" spans="3:9">
      <c r="C1181" s="2"/>
      <c r="D1181" s="2"/>
      <c r="E1181" s="2"/>
      <c r="F1181" s="2"/>
      <c r="G1181" s="2"/>
      <c r="H1181" s="2"/>
      <c r="I1181" s="2"/>
    </row>
    <row r="1182" spans="3:9">
      <c r="C1182" s="2"/>
      <c r="D1182" s="2"/>
      <c r="E1182" s="2"/>
      <c r="F1182" s="2"/>
      <c r="G1182" s="2"/>
      <c r="H1182" s="2"/>
      <c r="I1182" s="2"/>
    </row>
    <row r="1183" spans="3:9">
      <c r="C1183" s="2"/>
      <c r="D1183" s="2"/>
      <c r="E1183" s="2"/>
      <c r="F1183" s="2"/>
      <c r="G1183" s="2"/>
      <c r="H1183" s="2"/>
      <c r="I1183" s="2"/>
    </row>
    <row r="1184" spans="3:9">
      <c r="C1184" s="2"/>
      <c r="D1184" s="2"/>
      <c r="E1184" s="2"/>
      <c r="F1184" s="2"/>
      <c r="G1184" s="2"/>
      <c r="H1184" s="2"/>
      <c r="I1184" s="2"/>
    </row>
    <row r="1185" spans="3:9">
      <c r="C1185" s="2"/>
      <c r="D1185" s="2"/>
      <c r="E1185" s="2"/>
      <c r="F1185" s="2"/>
      <c r="G1185" s="2"/>
      <c r="H1185" s="2"/>
      <c r="I1185" s="2"/>
    </row>
    <row r="1186" spans="3:9">
      <c r="C1186" s="2"/>
      <c r="D1186" s="2"/>
      <c r="E1186" s="2"/>
      <c r="F1186" s="2"/>
      <c r="G1186" s="2"/>
      <c r="H1186" s="2"/>
      <c r="I1186" s="2"/>
    </row>
    <row r="1187" spans="3:9">
      <c r="C1187" s="2"/>
      <c r="D1187" s="2"/>
      <c r="E1187" s="2"/>
      <c r="F1187" s="2"/>
      <c r="G1187" s="2"/>
      <c r="H1187" s="2"/>
      <c r="I1187" s="2"/>
    </row>
    <row r="1188" spans="3:9">
      <c r="C1188" s="2"/>
      <c r="D1188" s="2"/>
      <c r="E1188" s="2"/>
      <c r="F1188" s="2"/>
      <c r="G1188" s="2"/>
      <c r="H1188" s="2"/>
      <c r="I1188" s="2"/>
    </row>
    <row r="1189" spans="3:9">
      <c r="C1189" s="2"/>
      <c r="D1189" s="2"/>
      <c r="E1189" s="2"/>
      <c r="F1189" s="2"/>
      <c r="G1189" s="2"/>
      <c r="H1189" s="2"/>
      <c r="I1189" s="2"/>
    </row>
    <row r="1190" spans="3:9">
      <c r="C1190" s="2"/>
      <c r="D1190" s="2"/>
      <c r="E1190" s="2"/>
      <c r="F1190" s="2"/>
      <c r="G1190" s="2"/>
      <c r="H1190" s="2"/>
      <c r="I1190" s="2"/>
    </row>
    <row r="1191" spans="3:9">
      <c r="C1191" s="2"/>
      <c r="D1191" s="2"/>
      <c r="E1191" s="2"/>
      <c r="F1191" s="2"/>
      <c r="G1191" s="2"/>
      <c r="H1191" s="2"/>
      <c r="I1191" s="2"/>
    </row>
    <row r="1192" spans="3:9">
      <c r="C1192" s="2"/>
      <c r="D1192" s="2"/>
      <c r="E1192" s="2"/>
      <c r="F1192" s="2"/>
      <c r="G1192" s="2"/>
      <c r="H1192" s="2"/>
      <c r="I1192" s="2"/>
    </row>
    <row r="1193" spans="3:9">
      <c r="C1193" s="2"/>
      <c r="D1193" s="2"/>
      <c r="E1193" s="2"/>
      <c r="F1193" s="2"/>
      <c r="G1193" s="2"/>
      <c r="H1193" s="2"/>
      <c r="I1193" s="2"/>
    </row>
    <row r="1194" spans="3:9">
      <c r="C1194" s="2"/>
      <c r="D1194" s="2"/>
      <c r="E1194" s="2"/>
      <c r="F1194" s="2"/>
      <c r="G1194" s="2"/>
      <c r="H1194" s="2"/>
      <c r="I1194" s="2"/>
    </row>
    <row r="1195" spans="3:9">
      <c r="C1195" s="2"/>
      <c r="D1195" s="2"/>
      <c r="E1195" s="2"/>
      <c r="F1195" s="2"/>
      <c r="G1195" s="2"/>
      <c r="H1195" s="2"/>
      <c r="I1195" s="2"/>
    </row>
    <row r="1196" spans="3:9">
      <c r="C1196" s="2"/>
      <c r="D1196" s="2"/>
      <c r="E1196" s="2"/>
      <c r="F1196" s="2"/>
      <c r="G1196" s="2"/>
      <c r="H1196" s="2"/>
      <c r="I1196" s="2"/>
    </row>
    <row r="1197" spans="3:9">
      <c r="C1197" s="2"/>
      <c r="D1197" s="2"/>
      <c r="E1197" s="2"/>
      <c r="F1197" s="2"/>
      <c r="G1197" s="2"/>
      <c r="H1197" s="2"/>
      <c r="I1197" s="2"/>
    </row>
    <row r="1198" spans="3:9">
      <c r="C1198" s="2"/>
      <c r="D1198" s="2"/>
      <c r="E1198" s="2"/>
      <c r="F1198" s="2"/>
      <c r="G1198" s="2"/>
      <c r="H1198" s="2"/>
      <c r="I1198" s="2"/>
    </row>
    <row r="1199" spans="3:9">
      <c r="C1199" s="2"/>
      <c r="D1199" s="2"/>
      <c r="E1199" s="2"/>
      <c r="F1199" s="2"/>
      <c r="G1199" s="2"/>
      <c r="H1199" s="2"/>
      <c r="I1199" s="2"/>
    </row>
    <row r="1200" spans="3:9">
      <c r="C1200" s="2"/>
      <c r="D1200" s="2"/>
      <c r="E1200" s="2"/>
      <c r="F1200" s="2"/>
      <c r="G1200" s="2"/>
      <c r="H1200" s="2"/>
      <c r="I1200" s="2"/>
    </row>
    <row r="1201" spans="3:9">
      <c r="C1201" s="2"/>
      <c r="D1201" s="2"/>
      <c r="E1201" s="2"/>
      <c r="F1201" s="2"/>
      <c r="G1201" s="2"/>
      <c r="H1201" s="2"/>
      <c r="I1201" s="2"/>
    </row>
    <row r="1202" spans="3:9">
      <c r="C1202" s="2"/>
      <c r="D1202" s="2"/>
      <c r="E1202" s="2"/>
      <c r="F1202" s="2"/>
      <c r="G1202" s="2"/>
      <c r="H1202" s="2"/>
      <c r="I1202" s="2"/>
    </row>
    <row r="1203" spans="3:9">
      <c r="C1203" s="2"/>
      <c r="D1203" s="2"/>
      <c r="E1203" s="2"/>
      <c r="F1203" s="2"/>
      <c r="G1203" s="2"/>
      <c r="H1203" s="2"/>
      <c r="I1203" s="2"/>
    </row>
    <row r="1204" spans="3:9">
      <c r="C1204" s="2"/>
      <c r="D1204" s="2"/>
      <c r="E1204" s="2"/>
      <c r="F1204" s="2"/>
      <c r="G1204" s="2"/>
      <c r="H1204" s="2"/>
      <c r="I1204" s="2"/>
    </row>
    <row r="1205" spans="3:9">
      <c r="C1205" s="2"/>
      <c r="D1205" s="2"/>
      <c r="E1205" s="2"/>
      <c r="F1205" s="2"/>
      <c r="G1205" s="2"/>
      <c r="H1205" s="2"/>
      <c r="I1205" s="2"/>
    </row>
    <row r="1206" spans="3:9">
      <c r="C1206" s="2"/>
      <c r="D1206" s="2"/>
      <c r="E1206" s="2"/>
      <c r="F1206" s="2"/>
      <c r="G1206" s="2"/>
      <c r="H1206" s="2"/>
      <c r="I1206" s="2"/>
    </row>
    <row r="1207" spans="3:9">
      <c r="C1207" s="2"/>
      <c r="D1207" s="2"/>
      <c r="E1207" s="2"/>
      <c r="F1207" s="2"/>
      <c r="G1207" s="2"/>
      <c r="H1207" s="2"/>
      <c r="I1207" s="2"/>
    </row>
    <row r="1208" spans="3:9">
      <c r="C1208" s="2"/>
      <c r="D1208" s="2"/>
      <c r="E1208" s="2"/>
      <c r="F1208" s="2"/>
      <c r="G1208" s="2"/>
      <c r="H1208" s="2"/>
      <c r="I1208" s="2"/>
    </row>
    <row r="1209" spans="3:9">
      <c r="C1209" s="2"/>
      <c r="D1209" s="2"/>
      <c r="E1209" s="2"/>
      <c r="F1209" s="2"/>
      <c r="G1209" s="2"/>
      <c r="H1209" s="2"/>
      <c r="I1209" s="2"/>
    </row>
    <row r="1210" spans="3:9">
      <c r="C1210" s="2"/>
      <c r="D1210" s="2"/>
      <c r="E1210" s="2"/>
      <c r="F1210" s="2"/>
      <c r="G1210" s="2"/>
      <c r="H1210" s="2"/>
      <c r="I1210" s="2"/>
    </row>
    <row r="1211" spans="3:9">
      <c r="C1211" s="2"/>
      <c r="D1211" s="2"/>
      <c r="E1211" s="2"/>
      <c r="F1211" s="2"/>
      <c r="G1211" s="2"/>
      <c r="H1211" s="2"/>
      <c r="I1211" s="2"/>
    </row>
    <row r="1212" spans="3:9">
      <c r="C1212" s="2"/>
      <c r="D1212" s="2"/>
      <c r="E1212" s="2"/>
      <c r="F1212" s="2"/>
      <c r="G1212" s="2"/>
      <c r="H1212" s="2"/>
      <c r="I1212" s="2"/>
    </row>
    <row r="1213" spans="3:9">
      <c r="C1213" s="2"/>
      <c r="D1213" s="2"/>
      <c r="E1213" s="2"/>
      <c r="F1213" s="2"/>
      <c r="G1213" s="2"/>
      <c r="H1213" s="2"/>
      <c r="I1213" s="2"/>
    </row>
    <row r="1214" spans="3:9">
      <c r="C1214" s="2"/>
      <c r="D1214" s="2"/>
      <c r="E1214" s="2"/>
      <c r="F1214" s="2"/>
      <c r="G1214" s="2"/>
      <c r="H1214" s="2"/>
      <c r="I1214" s="2"/>
    </row>
    <row r="1215" spans="3:9">
      <c r="C1215" s="2"/>
      <c r="D1215" s="2"/>
      <c r="E1215" s="2"/>
      <c r="F1215" s="2"/>
      <c r="G1215" s="2"/>
      <c r="H1215" s="2"/>
      <c r="I1215" s="2"/>
    </row>
    <row r="1216" spans="3:9">
      <c r="C1216" s="2"/>
      <c r="D1216" s="2"/>
      <c r="E1216" s="2"/>
      <c r="F1216" s="2"/>
      <c r="G1216" s="2"/>
      <c r="H1216" s="2"/>
      <c r="I1216" s="2"/>
    </row>
    <row r="1217" spans="3:9">
      <c r="C1217" s="2"/>
      <c r="D1217" s="2"/>
      <c r="E1217" s="2"/>
      <c r="F1217" s="2"/>
      <c r="G1217" s="2"/>
      <c r="H1217" s="2"/>
      <c r="I1217" s="2"/>
    </row>
    <row r="1218" spans="3:9">
      <c r="C1218" s="2"/>
      <c r="D1218" s="2"/>
      <c r="E1218" s="2"/>
      <c r="F1218" s="2"/>
      <c r="G1218" s="2"/>
      <c r="H1218" s="2"/>
      <c r="I1218" s="2"/>
    </row>
    <row r="1219" spans="3:9">
      <c r="C1219" s="2"/>
      <c r="D1219" s="2"/>
      <c r="E1219" s="2"/>
      <c r="F1219" s="2"/>
      <c r="G1219" s="2"/>
      <c r="H1219" s="2"/>
      <c r="I1219" s="2"/>
    </row>
    <row r="1220" spans="3:9">
      <c r="C1220" s="2"/>
      <c r="D1220" s="2"/>
      <c r="E1220" s="2"/>
      <c r="F1220" s="2"/>
      <c r="G1220" s="2"/>
      <c r="H1220" s="2"/>
      <c r="I1220" s="2"/>
    </row>
    <row r="1221" spans="3:9">
      <c r="C1221" s="2"/>
      <c r="D1221" s="2"/>
      <c r="E1221" s="2"/>
      <c r="F1221" s="2"/>
      <c r="G1221" s="2"/>
      <c r="H1221" s="2"/>
      <c r="I1221" s="2"/>
    </row>
    <row r="1222" spans="3:9">
      <c r="C1222" s="2"/>
      <c r="D1222" s="2"/>
      <c r="E1222" s="2"/>
      <c r="F1222" s="2"/>
      <c r="G1222" s="2"/>
      <c r="H1222" s="2"/>
      <c r="I1222" s="2"/>
    </row>
    <row r="1223" spans="3:9">
      <c r="C1223" s="2"/>
      <c r="D1223" s="2"/>
      <c r="E1223" s="2"/>
      <c r="F1223" s="2"/>
      <c r="G1223" s="2"/>
      <c r="H1223" s="2"/>
      <c r="I1223" s="2"/>
    </row>
    <row r="1224" spans="3:9">
      <c r="C1224" s="2"/>
      <c r="D1224" s="2"/>
      <c r="E1224" s="2"/>
      <c r="F1224" s="2"/>
      <c r="G1224" s="2"/>
      <c r="H1224" s="2"/>
      <c r="I1224" s="2"/>
    </row>
    <row r="1225" spans="3:9">
      <c r="C1225" s="2"/>
      <c r="D1225" s="2"/>
      <c r="E1225" s="2"/>
      <c r="F1225" s="2"/>
      <c r="G1225" s="2"/>
      <c r="H1225" s="2"/>
      <c r="I1225" s="2"/>
    </row>
    <row r="1226" spans="3:9">
      <c r="C1226" s="2"/>
      <c r="D1226" s="2"/>
      <c r="E1226" s="2"/>
      <c r="F1226" s="2"/>
      <c r="G1226" s="2"/>
      <c r="H1226" s="2"/>
      <c r="I1226" s="2"/>
    </row>
    <row r="1227" spans="3:9">
      <c r="C1227" s="2"/>
      <c r="D1227" s="2"/>
      <c r="E1227" s="2"/>
      <c r="F1227" s="2"/>
      <c r="G1227" s="2"/>
      <c r="H1227" s="2"/>
      <c r="I1227" s="2"/>
    </row>
    <row r="1228" spans="3:9">
      <c r="C1228" s="2"/>
      <c r="D1228" s="2"/>
      <c r="E1228" s="2"/>
      <c r="F1228" s="2"/>
      <c r="G1228" s="2"/>
      <c r="H1228" s="2"/>
      <c r="I1228" s="2"/>
    </row>
    <row r="1229" spans="3:9">
      <c r="C1229" s="2"/>
      <c r="D1229" s="2"/>
      <c r="E1229" s="2"/>
      <c r="F1229" s="2"/>
      <c r="G1229" s="2"/>
      <c r="H1229" s="2"/>
      <c r="I1229" s="2"/>
    </row>
    <row r="1230" spans="3:9">
      <c r="C1230" s="2"/>
      <c r="D1230" s="2"/>
      <c r="E1230" s="2"/>
      <c r="F1230" s="2"/>
      <c r="G1230" s="2"/>
      <c r="H1230" s="2"/>
      <c r="I1230" s="2"/>
    </row>
    <row r="1231" spans="3:9">
      <c r="C1231" s="2"/>
      <c r="D1231" s="2"/>
      <c r="E1231" s="2"/>
      <c r="F1231" s="2"/>
      <c r="G1231" s="2"/>
      <c r="H1231" s="2"/>
      <c r="I1231" s="2"/>
    </row>
    <row r="1232" spans="3:9">
      <c r="C1232" s="2"/>
      <c r="D1232" s="2"/>
      <c r="E1232" s="2"/>
      <c r="F1232" s="2"/>
      <c r="G1232" s="2"/>
      <c r="H1232" s="2"/>
      <c r="I1232" s="2"/>
    </row>
    <row r="1233" spans="3:9">
      <c r="C1233" s="2"/>
      <c r="D1233" s="2"/>
      <c r="E1233" s="2"/>
      <c r="F1233" s="2"/>
      <c r="G1233" s="2"/>
      <c r="H1233" s="2"/>
      <c r="I1233" s="2"/>
    </row>
    <row r="1234" spans="3:9">
      <c r="C1234" s="2"/>
      <c r="D1234" s="2"/>
      <c r="E1234" s="2"/>
      <c r="F1234" s="2"/>
      <c r="G1234" s="2"/>
      <c r="H1234" s="2"/>
      <c r="I1234" s="2"/>
    </row>
    <row r="1235" spans="3:9">
      <c r="C1235" s="2"/>
      <c r="D1235" s="2"/>
      <c r="E1235" s="2"/>
      <c r="F1235" s="2"/>
      <c r="G1235" s="2"/>
      <c r="H1235" s="2"/>
      <c r="I1235" s="2"/>
    </row>
    <row r="1236" spans="3:9">
      <c r="C1236" s="2"/>
      <c r="D1236" s="2"/>
      <c r="E1236" s="2"/>
      <c r="F1236" s="2"/>
      <c r="G1236" s="2"/>
      <c r="H1236" s="2"/>
      <c r="I1236" s="2"/>
    </row>
    <row r="1237" spans="3:9">
      <c r="C1237" s="2"/>
      <c r="D1237" s="2"/>
      <c r="E1237" s="2"/>
      <c r="F1237" s="2"/>
      <c r="G1237" s="2"/>
      <c r="H1237" s="2"/>
      <c r="I1237" s="2"/>
    </row>
    <row r="1238" spans="3:9">
      <c r="C1238" s="2"/>
      <c r="D1238" s="2"/>
      <c r="E1238" s="2"/>
      <c r="F1238" s="2"/>
      <c r="G1238" s="2"/>
      <c r="H1238" s="2"/>
      <c r="I1238" s="2"/>
    </row>
    <row r="1239" spans="3:9">
      <c r="C1239" s="2"/>
      <c r="D1239" s="2"/>
      <c r="E1239" s="2"/>
      <c r="F1239" s="2"/>
      <c r="G1239" s="2"/>
      <c r="H1239" s="2"/>
      <c r="I1239" s="2"/>
    </row>
    <row r="1240" spans="3:9">
      <c r="C1240" s="2"/>
      <c r="D1240" s="2"/>
      <c r="E1240" s="2"/>
      <c r="F1240" s="2"/>
      <c r="G1240" s="2"/>
      <c r="H1240" s="2"/>
      <c r="I1240" s="2"/>
    </row>
    <row r="1241" spans="3:9">
      <c r="C1241" s="2"/>
      <c r="D1241" s="2"/>
      <c r="E1241" s="2"/>
      <c r="F1241" s="2"/>
      <c r="G1241" s="2"/>
      <c r="H1241" s="2"/>
      <c r="I1241" s="2"/>
    </row>
    <row r="1242" spans="3:9">
      <c r="C1242" s="2"/>
      <c r="D1242" s="2"/>
      <c r="E1242" s="2"/>
      <c r="F1242" s="2"/>
      <c r="G1242" s="2"/>
      <c r="H1242" s="2"/>
      <c r="I1242" s="2"/>
    </row>
    <row r="1243" spans="3:9">
      <c r="C1243" s="2"/>
      <c r="D1243" s="2"/>
      <c r="E1243" s="2"/>
      <c r="F1243" s="2"/>
      <c r="G1243" s="2"/>
      <c r="H1243" s="2"/>
      <c r="I1243" s="2"/>
    </row>
    <row r="1244" spans="3:9">
      <c r="C1244" s="2"/>
      <c r="D1244" s="2"/>
      <c r="E1244" s="2"/>
      <c r="F1244" s="2"/>
      <c r="G1244" s="2"/>
      <c r="H1244" s="2"/>
      <c r="I1244" s="2"/>
    </row>
    <row r="1245" spans="3:9">
      <c r="C1245" s="2"/>
      <c r="D1245" s="2"/>
      <c r="E1245" s="2"/>
      <c r="F1245" s="2"/>
      <c r="G1245" s="2"/>
      <c r="H1245" s="2"/>
      <c r="I1245" s="2"/>
    </row>
    <row r="1246" spans="3:9">
      <c r="C1246" s="2"/>
      <c r="D1246" s="2"/>
      <c r="E1246" s="2"/>
      <c r="F1246" s="2"/>
      <c r="G1246" s="2"/>
      <c r="H1246" s="2"/>
      <c r="I1246" s="2"/>
    </row>
    <row r="1247" spans="3:9">
      <c r="C1247" s="2"/>
      <c r="D1247" s="2"/>
      <c r="E1247" s="2"/>
      <c r="F1247" s="2"/>
      <c r="G1247" s="2"/>
      <c r="H1247" s="2"/>
      <c r="I1247" s="2"/>
    </row>
    <row r="1248" spans="3:9">
      <c r="C1248" s="2"/>
      <c r="D1248" s="2"/>
      <c r="E1248" s="2"/>
      <c r="F1248" s="2"/>
      <c r="G1248" s="2"/>
      <c r="H1248" s="2"/>
      <c r="I1248" s="2"/>
    </row>
    <row r="1249" spans="3:9">
      <c r="C1249" s="2"/>
      <c r="D1249" s="2"/>
      <c r="E1249" s="2"/>
      <c r="F1249" s="2"/>
      <c r="G1249" s="2"/>
      <c r="H1249" s="2"/>
      <c r="I1249" s="2"/>
    </row>
    <row r="1250" spans="3:9">
      <c r="C1250" s="2"/>
      <c r="D1250" s="2"/>
      <c r="E1250" s="2"/>
      <c r="F1250" s="2"/>
      <c r="G1250" s="2"/>
      <c r="H1250" s="2"/>
      <c r="I1250" s="2"/>
    </row>
    <row r="1251" spans="3:9">
      <c r="C1251" s="2"/>
      <c r="D1251" s="2"/>
      <c r="E1251" s="2"/>
      <c r="F1251" s="2"/>
      <c r="G1251" s="2"/>
      <c r="H1251" s="2"/>
      <c r="I1251" s="2"/>
    </row>
    <row r="1252" spans="3:9">
      <c r="C1252" s="2"/>
      <c r="D1252" s="2"/>
      <c r="E1252" s="2"/>
      <c r="F1252" s="2"/>
      <c r="G1252" s="2"/>
      <c r="H1252" s="2"/>
      <c r="I1252" s="2"/>
    </row>
    <row r="1253" spans="3:9">
      <c r="C1253" s="2"/>
      <c r="D1253" s="2"/>
      <c r="E1253" s="2"/>
      <c r="F1253" s="2"/>
      <c r="G1253" s="2"/>
      <c r="H1253" s="2"/>
      <c r="I1253" s="2"/>
    </row>
    <row r="1254" spans="3:9">
      <c r="C1254" s="2"/>
      <c r="D1254" s="2"/>
      <c r="E1254" s="2"/>
      <c r="F1254" s="2"/>
      <c r="G1254" s="2"/>
      <c r="H1254" s="2"/>
      <c r="I1254" s="2"/>
    </row>
    <row r="1255" spans="3:9">
      <c r="C1255" s="2"/>
      <c r="D1255" s="2"/>
      <c r="E1255" s="2"/>
      <c r="F1255" s="2"/>
      <c r="G1255" s="2"/>
      <c r="H1255" s="2"/>
      <c r="I1255" s="2"/>
    </row>
    <row r="1256" spans="3:9">
      <c r="C1256" s="2"/>
      <c r="D1256" s="2"/>
      <c r="E1256" s="2"/>
      <c r="F1256" s="2"/>
      <c r="G1256" s="2"/>
      <c r="H1256" s="2"/>
      <c r="I1256" s="2"/>
    </row>
    <row r="1257" spans="3:9">
      <c r="C1257" s="2"/>
      <c r="D1257" s="2"/>
      <c r="E1257" s="2"/>
      <c r="F1257" s="2"/>
      <c r="G1257" s="2"/>
      <c r="H1257" s="2"/>
      <c r="I1257" s="2"/>
    </row>
    <row r="1258" spans="3:9">
      <c r="C1258" s="2"/>
      <c r="D1258" s="2"/>
      <c r="E1258" s="2"/>
      <c r="F1258" s="2"/>
      <c r="G1258" s="2"/>
      <c r="H1258" s="2"/>
      <c r="I1258" s="2"/>
    </row>
    <row r="1259" spans="3:9">
      <c r="C1259" s="2"/>
      <c r="D1259" s="2"/>
      <c r="E1259" s="2"/>
      <c r="F1259" s="2"/>
      <c r="G1259" s="2"/>
      <c r="H1259" s="2"/>
      <c r="I1259" s="2"/>
    </row>
    <row r="1260" spans="3:9">
      <c r="C1260" s="2"/>
      <c r="D1260" s="2"/>
      <c r="E1260" s="2"/>
      <c r="F1260" s="2"/>
      <c r="G1260" s="2"/>
      <c r="H1260" s="2"/>
      <c r="I1260" s="2"/>
    </row>
    <row r="1261" spans="3:9">
      <c r="C1261" s="2"/>
      <c r="D1261" s="2"/>
      <c r="E1261" s="2"/>
      <c r="F1261" s="2"/>
      <c r="G1261" s="2"/>
      <c r="H1261" s="2"/>
      <c r="I1261" s="2"/>
    </row>
    <row r="1262" spans="3:9">
      <c r="C1262" s="2"/>
      <c r="D1262" s="2"/>
      <c r="E1262" s="2"/>
      <c r="F1262" s="2"/>
      <c r="G1262" s="2"/>
      <c r="H1262" s="2"/>
      <c r="I1262" s="2"/>
    </row>
    <row r="1263" spans="3:9">
      <c r="C1263" s="2"/>
      <c r="D1263" s="2"/>
      <c r="E1263" s="2"/>
      <c r="F1263" s="2"/>
      <c r="G1263" s="2"/>
      <c r="H1263" s="2"/>
      <c r="I1263" s="2"/>
    </row>
    <row r="1264" spans="3:9">
      <c r="C1264" s="2"/>
      <c r="D1264" s="2"/>
      <c r="E1264" s="2"/>
      <c r="F1264" s="2"/>
      <c r="G1264" s="2"/>
      <c r="H1264" s="2"/>
      <c r="I1264" s="2"/>
    </row>
    <row r="1265" spans="3:9">
      <c r="C1265" s="2"/>
      <c r="D1265" s="2"/>
      <c r="E1265" s="2"/>
      <c r="F1265" s="2"/>
      <c r="G1265" s="2"/>
      <c r="H1265" s="2"/>
      <c r="I1265" s="2"/>
    </row>
    <row r="1266" spans="3:9">
      <c r="C1266" s="2"/>
      <c r="D1266" s="2"/>
      <c r="E1266" s="2"/>
      <c r="F1266" s="2"/>
      <c r="G1266" s="2"/>
      <c r="H1266" s="2"/>
      <c r="I1266" s="2"/>
    </row>
    <row r="1267" spans="3:9">
      <c r="C1267" s="2"/>
      <c r="D1267" s="2"/>
      <c r="E1267" s="2"/>
      <c r="F1267" s="2"/>
      <c r="G1267" s="2"/>
      <c r="H1267" s="2"/>
      <c r="I1267" s="2"/>
    </row>
    <row r="1268" spans="3:9">
      <c r="C1268" s="2"/>
      <c r="D1268" s="2"/>
      <c r="E1268" s="2"/>
      <c r="F1268" s="2"/>
      <c r="G1268" s="2"/>
      <c r="H1268" s="2"/>
      <c r="I1268" s="2"/>
    </row>
    <row r="1269" spans="3:9">
      <c r="C1269" s="2"/>
      <c r="D1269" s="2"/>
      <c r="E1269" s="2"/>
      <c r="F1269" s="2"/>
      <c r="G1269" s="2"/>
      <c r="H1269" s="2"/>
      <c r="I1269" s="2"/>
    </row>
    <row r="1270" spans="3:9">
      <c r="C1270" s="2"/>
      <c r="D1270" s="2"/>
      <c r="E1270" s="2"/>
      <c r="F1270" s="2"/>
      <c r="G1270" s="2"/>
      <c r="H1270" s="2"/>
      <c r="I1270" s="2"/>
    </row>
    <row r="1271" spans="3:9">
      <c r="C1271" s="2"/>
      <c r="D1271" s="2"/>
      <c r="E1271" s="2"/>
      <c r="F1271" s="2"/>
      <c r="G1271" s="2"/>
      <c r="H1271" s="2"/>
      <c r="I1271" s="2"/>
    </row>
    <row r="1272" spans="3:9">
      <c r="C1272" s="2"/>
      <c r="D1272" s="2"/>
      <c r="E1272" s="2"/>
      <c r="F1272" s="2"/>
      <c r="G1272" s="2"/>
      <c r="H1272" s="2"/>
      <c r="I1272" s="2"/>
    </row>
    <row r="1273" spans="3:9">
      <c r="C1273" s="2"/>
      <c r="D1273" s="2"/>
      <c r="E1273" s="2"/>
      <c r="F1273" s="2"/>
      <c r="G1273" s="2"/>
      <c r="H1273" s="2"/>
      <c r="I1273" s="2"/>
    </row>
    <row r="1274" spans="3:9">
      <c r="C1274" s="2"/>
      <c r="D1274" s="2"/>
      <c r="E1274" s="2"/>
      <c r="F1274" s="2"/>
      <c r="G1274" s="2"/>
      <c r="H1274" s="2"/>
      <c r="I1274" s="2"/>
    </row>
    <row r="1275" spans="3:9">
      <c r="C1275" s="2"/>
      <c r="D1275" s="2"/>
      <c r="E1275" s="2"/>
      <c r="F1275" s="2"/>
      <c r="G1275" s="2"/>
      <c r="H1275" s="2"/>
      <c r="I1275" s="2"/>
    </row>
    <row r="1276" spans="3:9">
      <c r="C1276" s="2"/>
      <c r="D1276" s="2"/>
      <c r="E1276" s="2"/>
      <c r="F1276" s="2"/>
      <c r="G1276" s="2"/>
      <c r="H1276" s="2"/>
      <c r="I1276" s="2"/>
    </row>
    <row r="1277" spans="3:9">
      <c r="C1277" s="2"/>
      <c r="D1277" s="2"/>
      <c r="E1277" s="2"/>
      <c r="F1277" s="2"/>
      <c r="G1277" s="2"/>
      <c r="H1277" s="2"/>
      <c r="I1277" s="2"/>
    </row>
    <row r="1278" spans="3:9">
      <c r="C1278" s="2"/>
      <c r="D1278" s="2"/>
      <c r="E1278" s="2"/>
      <c r="F1278" s="2"/>
      <c r="G1278" s="2"/>
      <c r="H1278" s="2"/>
      <c r="I1278" s="2"/>
    </row>
    <row r="1279" spans="3:9">
      <c r="C1279" s="2"/>
      <c r="D1279" s="2"/>
      <c r="E1279" s="2"/>
      <c r="F1279" s="2"/>
      <c r="G1279" s="2"/>
      <c r="H1279" s="2"/>
      <c r="I1279" s="2"/>
    </row>
    <row r="1280" spans="3:9">
      <c r="C1280" s="2"/>
      <c r="D1280" s="2"/>
      <c r="E1280" s="2"/>
      <c r="F1280" s="2"/>
      <c r="G1280" s="2"/>
      <c r="H1280" s="2"/>
      <c r="I1280" s="2"/>
    </row>
    <row r="1281" spans="3:9">
      <c r="C1281" s="2"/>
      <c r="D1281" s="2"/>
      <c r="E1281" s="2"/>
      <c r="F1281" s="2"/>
      <c r="G1281" s="2"/>
      <c r="H1281" s="2"/>
      <c r="I1281" s="2"/>
    </row>
    <row r="1282" spans="3:9">
      <c r="C1282" s="2"/>
      <c r="D1282" s="2"/>
      <c r="E1282" s="2"/>
      <c r="F1282" s="2"/>
      <c r="G1282" s="2"/>
      <c r="H1282" s="2"/>
      <c r="I1282" s="2"/>
    </row>
    <row r="1283" spans="3:9">
      <c r="C1283" s="2"/>
      <c r="D1283" s="2"/>
      <c r="E1283" s="2"/>
      <c r="F1283" s="2"/>
      <c r="G1283" s="2"/>
      <c r="H1283" s="2"/>
      <c r="I1283" s="2"/>
    </row>
    <row r="1284" spans="3:9">
      <c r="C1284" s="2"/>
      <c r="D1284" s="2"/>
      <c r="E1284" s="2"/>
      <c r="F1284" s="2"/>
      <c r="G1284" s="2"/>
      <c r="H1284" s="2"/>
      <c r="I1284" s="2"/>
    </row>
    <row r="1285" spans="3:9">
      <c r="C1285" s="2"/>
      <c r="D1285" s="2"/>
      <c r="E1285" s="2"/>
      <c r="F1285" s="2"/>
      <c r="G1285" s="2"/>
      <c r="H1285" s="2"/>
      <c r="I1285" s="2"/>
    </row>
    <row r="1286" spans="3:9">
      <c r="C1286" s="2"/>
      <c r="D1286" s="2"/>
      <c r="E1286" s="2"/>
      <c r="F1286" s="2"/>
      <c r="G1286" s="2"/>
      <c r="H1286" s="2"/>
      <c r="I1286" s="2"/>
    </row>
    <row r="1287" spans="3:9">
      <c r="C1287" s="2"/>
      <c r="D1287" s="2"/>
      <c r="E1287" s="2"/>
      <c r="F1287" s="2"/>
      <c r="G1287" s="2"/>
      <c r="H1287" s="2"/>
      <c r="I1287" s="2"/>
    </row>
    <row r="1288" spans="3:9">
      <c r="C1288" s="2"/>
      <c r="D1288" s="2"/>
      <c r="E1288" s="2"/>
      <c r="F1288" s="2"/>
      <c r="G1288" s="2"/>
      <c r="H1288" s="2"/>
      <c r="I1288" s="2"/>
    </row>
    <row r="1289" spans="3:9">
      <c r="C1289" s="2"/>
      <c r="D1289" s="2"/>
      <c r="E1289" s="2"/>
      <c r="F1289" s="2"/>
      <c r="G1289" s="2"/>
      <c r="H1289" s="2"/>
      <c r="I1289" s="2"/>
    </row>
    <row r="1290" spans="3:9">
      <c r="C1290" s="2"/>
      <c r="D1290" s="2"/>
      <c r="E1290" s="2"/>
      <c r="F1290" s="2"/>
      <c r="G1290" s="2"/>
      <c r="H1290" s="2"/>
      <c r="I1290" s="2"/>
    </row>
    <row r="1291" spans="3:9">
      <c r="C1291" s="2"/>
      <c r="D1291" s="2"/>
      <c r="E1291" s="2"/>
      <c r="F1291" s="2"/>
      <c r="G1291" s="2"/>
      <c r="H1291" s="2"/>
      <c r="I1291" s="2"/>
    </row>
    <row r="1292" spans="3:9">
      <c r="C1292" s="2"/>
      <c r="D1292" s="2"/>
      <c r="E1292" s="2"/>
      <c r="F1292" s="2"/>
      <c r="G1292" s="2"/>
      <c r="H1292" s="2"/>
      <c r="I1292" s="2"/>
    </row>
    <row r="1293" spans="3:9">
      <c r="C1293" s="2"/>
      <c r="D1293" s="2"/>
      <c r="E1293" s="2"/>
      <c r="F1293" s="2"/>
      <c r="G1293" s="2"/>
      <c r="H1293" s="2"/>
      <c r="I1293" s="2"/>
    </row>
    <row r="1294" spans="3:9">
      <c r="C1294" s="2"/>
      <c r="D1294" s="2"/>
      <c r="E1294" s="2"/>
      <c r="F1294" s="2"/>
      <c r="G1294" s="2"/>
      <c r="H1294" s="2"/>
      <c r="I1294" s="2"/>
    </row>
    <row r="1295" spans="3:9">
      <c r="C1295" s="2"/>
      <c r="D1295" s="2"/>
      <c r="E1295" s="2"/>
      <c r="F1295" s="2"/>
      <c r="G1295" s="2"/>
      <c r="H1295" s="2"/>
      <c r="I1295" s="2"/>
    </row>
    <row r="1296" spans="3:9">
      <c r="C1296" s="2"/>
      <c r="D1296" s="2"/>
      <c r="E1296" s="2"/>
      <c r="F1296" s="2"/>
      <c r="G1296" s="2"/>
      <c r="H1296" s="2"/>
      <c r="I1296" s="2"/>
    </row>
    <row r="1297" spans="3:9">
      <c r="C1297" s="2"/>
      <c r="D1297" s="2"/>
      <c r="E1297" s="2"/>
      <c r="F1297" s="2"/>
      <c r="G1297" s="2"/>
      <c r="H1297" s="2"/>
      <c r="I1297" s="2"/>
    </row>
    <row r="1298" spans="3:9">
      <c r="C1298" s="2"/>
      <c r="D1298" s="2"/>
      <c r="E1298" s="2"/>
      <c r="F1298" s="2"/>
      <c r="G1298" s="2"/>
      <c r="H1298" s="2"/>
      <c r="I1298" s="2"/>
    </row>
    <row r="1299" spans="3:9">
      <c r="C1299" s="2"/>
      <c r="D1299" s="2"/>
      <c r="E1299" s="2"/>
      <c r="F1299" s="2"/>
      <c r="G1299" s="2"/>
      <c r="H1299" s="2"/>
      <c r="I1299" s="2"/>
    </row>
    <row r="1300" spans="3:9">
      <c r="C1300" s="2"/>
      <c r="D1300" s="2"/>
      <c r="E1300" s="2"/>
      <c r="F1300" s="2"/>
      <c r="G1300" s="2"/>
      <c r="H1300" s="2"/>
      <c r="I1300" s="2"/>
    </row>
    <row r="1301" spans="3:9">
      <c r="C1301" s="2"/>
      <c r="D1301" s="2"/>
      <c r="E1301" s="2"/>
      <c r="F1301" s="2"/>
      <c r="G1301" s="2"/>
      <c r="H1301" s="2"/>
      <c r="I1301" s="2"/>
    </row>
    <row r="1302" spans="3:9">
      <c r="C1302" s="2"/>
      <c r="D1302" s="2"/>
      <c r="E1302" s="2"/>
      <c r="F1302" s="2"/>
      <c r="G1302" s="2"/>
      <c r="H1302" s="2"/>
      <c r="I1302" s="2"/>
    </row>
    <row r="1303" spans="3:9">
      <c r="C1303" s="2"/>
      <c r="D1303" s="2"/>
      <c r="E1303" s="2"/>
      <c r="F1303" s="2"/>
      <c r="G1303" s="2"/>
      <c r="H1303" s="2"/>
      <c r="I1303" s="2"/>
    </row>
    <row r="1304" spans="3:9">
      <c r="C1304" s="2"/>
      <c r="D1304" s="2"/>
      <c r="E1304" s="2"/>
      <c r="F1304" s="2"/>
      <c r="G1304" s="2"/>
      <c r="H1304" s="2"/>
      <c r="I1304" s="2"/>
    </row>
    <row r="1305" spans="3:9">
      <c r="C1305" s="2"/>
      <c r="D1305" s="2"/>
      <c r="E1305" s="2"/>
      <c r="F1305" s="2"/>
      <c r="G1305" s="2"/>
      <c r="H1305" s="2"/>
      <c r="I1305" s="2"/>
    </row>
    <row r="1306" spans="3:9">
      <c r="C1306" s="2"/>
      <c r="D1306" s="2"/>
      <c r="E1306" s="2"/>
      <c r="F1306" s="2"/>
      <c r="G1306" s="2"/>
      <c r="H1306" s="2"/>
      <c r="I1306" s="2"/>
    </row>
    <row r="1307" spans="3:9">
      <c r="C1307" s="2"/>
      <c r="D1307" s="2"/>
      <c r="E1307" s="2"/>
      <c r="F1307" s="2"/>
      <c r="G1307" s="2"/>
      <c r="H1307" s="2"/>
      <c r="I1307" s="2"/>
    </row>
    <row r="1308" spans="3:9">
      <c r="C1308" s="2"/>
      <c r="D1308" s="2"/>
      <c r="E1308" s="2"/>
      <c r="F1308" s="2"/>
      <c r="G1308" s="2"/>
      <c r="H1308" s="2"/>
      <c r="I1308" s="2"/>
    </row>
    <row r="1309" spans="3:9">
      <c r="C1309" s="2"/>
      <c r="D1309" s="2"/>
      <c r="E1309" s="2"/>
      <c r="F1309" s="2"/>
      <c r="G1309" s="2"/>
      <c r="H1309" s="2"/>
      <c r="I1309" s="2"/>
    </row>
    <row r="1310" spans="3:9">
      <c r="C1310" s="2"/>
      <c r="D1310" s="2"/>
      <c r="E1310" s="2"/>
      <c r="F1310" s="2"/>
      <c r="G1310" s="2"/>
      <c r="H1310" s="2"/>
      <c r="I1310" s="2"/>
    </row>
    <row r="1311" spans="3:9">
      <c r="C1311" s="2"/>
      <c r="D1311" s="2"/>
      <c r="E1311" s="2"/>
      <c r="F1311" s="2"/>
      <c r="G1311" s="2"/>
      <c r="H1311" s="2"/>
      <c r="I1311" s="2"/>
    </row>
    <row r="1312" spans="3:9">
      <c r="C1312" s="2"/>
      <c r="D1312" s="2"/>
      <c r="E1312" s="2"/>
      <c r="F1312" s="2"/>
      <c r="G1312" s="2"/>
      <c r="H1312" s="2"/>
      <c r="I1312" s="2"/>
    </row>
    <row r="1313" spans="3:9">
      <c r="C1313" s="2"/>
      <c r="D1313" s="2"/>
      <c r="E1313" s="2"/>
      <c r="F1313" s="2"/>
      <c r="G1313" s="2"/>
      <c r="H1313" s="2"/>
      <c r="I1313" s="2"/>
    </row>
    <row r="1314" spans="3:9">
      <c r="C1314" s="2"/>
      <c r="D1314" s="2"/>
      <c r="E1314" s="2"/>
      <c r="F1314" s="2"/>
      <c r="G1314" s="2"/>
      <c r="H1314" s="2"/>
      <c r="I1314" s="2"/>
    </row>
    <row r="1315" spans="3:9">
      <c r="C1315" s="2"/>
      <c r="D1315" s="2"/>
      <c r="E1315" s="2"/>
      <c r="F1315" s="2"/>
      <c r="G1315" s="2"/>
      <c r="H1315" s="2"/>
      <c r="I1315" s="2"/>
    </row>
    <row r="1316" spans="3:9">
      <c r="C1316" s="2"/>
      <c r="D1316" s="2"/>
      <c r="E1316" s="2"/>
      <c r="F1316" s="2"/>
      <c r="G1316" s="2"/>
      <c r="H1316" s="2"/>
      <c r="I1316" s="2"/>
    </row>
    <row r="1317" spans="3:9">
      <c r="C1317" s="2"/>
      <c r="D1317" s="2"/>
      <c r="E1317" s="2"/>
      <c r="F1317" s="2"/>
      <c r="G1317" s="2"/>
      <c r="H1317" s="2"/>
      <c r="I1317" s="2"/>
    </row>
    <row r="1318" spans="3:9">
      <c r="C1318" s="2"/>
      <c r="D1318" s="2"/>
      <c r="E1318" s="2"/>
      <c r="F1318" s="2"/>
      <c r="G1318" s="2"/>
      <c r="H1318" s="2"/>
      <c r="I1318" s="2"/>
    </row>
    <row r="1319" spans="3:9">
      <c r="C1319" s="2"/>
      <c r="D1319" s="2"/>
      <c r="E1319" s="2"/>
      <c r="F1319" s="2"/>
      <c r="G1319" s="2"/>
      <c r="H1319" s="2"/>
      <c r="I1319" s="2"/>
    </row>
    <row r="1320" spans="3:9">
      <c r="C1320" s="2"/>
      <c r="D1320" s="2"/>
      <c r="E1320" s="2"/>
      <c r="F1320" s="2"/>
      <c r="G1320" s="2"/>
      <c r="H1320" s="2"/>
      <c r="I1320" s="2"/>
    </row>
    <row r="1321" spans="3:9">
      <c r="C1321" s="2"/>
      <c r="D1321" s="2"/>
      <c r="E1321" s="2"/>
      <c r="F1321" s="2"/>
      <c r="G1321" s="2"/>
      <c r="H1321" s="2"/>
      <c r="I1321" s="2"/>
    </row>
    <row r="1322" spans="3:9">
      <c r="C1322" s="2"/>
      <c r="D1322" s="2"/>
      <c r="E1322" s="2"/>
      <c r="F1322" s="2"/>
      <c r="G1322" s="2"/>
      <c r="H1322" s="2"/>
      <c r="I1322" s="2"/>
    </row>
    <row r="1323" spans="3:9">
      <c r="C1323" s="2"/>
      <c r="D1323" s="2"/>
      <c r="E1323" s="2"/>
      <c r="F1323" s="2"/>
      <c r="G1323" s="2"/>
      <c r="H1323" s="2"/>
      <c r="I1323" s="2"/>
    </row>
    <row r="1324" spans="3:9">
      <c r="C1324" s="2"/>
      <c r="D1324" s="2"/>
      <c r="E1324" s="2"/>
      <c r="F1324" s="2"/>
      <c r="G1324" s="2"/>
      <c r="H1324" s="2"/>
      <c r="I1324" s="2"/>
    </row>
    <row r="1325" spans="3:9">
      <c r="C1325" s="2"/>
      <c r="D1325" s="2"/>
      <c r="E1325" s="2"/>
      <c r="F1325" s="2"/>
      <c r="G1325" s="2"/>
      <c r="H1325" s="2"/>
      <c r="I1325" s="2"/>
    </row>
    <row r="1326" spans="3:9">
      <c r="C1326" s="2"/>
      <c r="D1326" s="2"/>
      <c r="E1326" s="2"/>
      <c r="F1326" s="2"/>
      <c r="G1326" s="2"/>
      <c r="H1326" s="2"/>
      <c r="I1326" s="2"/>
    </row>
    <row r="1327" spans="3:9">
      <c r="C1327" s="2"/>
      <c r="D1327" s="2"/>
      <c r="E1327" s="2"/>
      <c r="F1327" s="2"/>
      <c r="G1327" s="2"/>
      <c r="H1327" s="2"/>
      <c r="I1327" s="2"/>
    </row>
    <row r="1328" spans="3:9">
      <c r="C1328" s="2"/>
      <c r="D1328" s="2"/>
      <c r="E1328" s="2"/>
      <c r="F1328" s="2"/>
      <c r="G1328" s="2"/>
      <c r="H1328" s="2"/>
      <c r="I1328" s="2"/>
    </row>
    <row r="1329" spans="3:9">
      <c r="C1329" s="2"/>
      <c r="D1329" s="2"/>
      <c r="E1329" s="2"/>
      <c r="F1329" s="2"/>
      <c r="G1329" s="2"/>
      <c r="H1329" s="2"/>
      <c r="I1329" s="2"/>
    </row>
    <row r="1330" spans="3:9">
      <c r="C1330" s="2"/>
      <c r="D1330" s="2"/>
      <c r="E1330" s="2"/>
      <c r="F1330" s="2"/>
      <c r="G1330" s="2"/>
      <c r="H1330" s="2"/>
      <c r="I1330" s="2"/>
    </row>
    <row r="1331" spans="3:9">
      <c r="C1331" s="2"/>
      <c r="D1331" s="2"/>
      <c r="E1331" s="2"/>
      <c r="F1331" s="2"/>
      <c r="G1331" s="2"/>
      <c r="H1331" s="2"/>
      <c r="I1331" s="2"/>
    </row>
    <row r="1332" spans="3:9">
      <c r="C1332" s="2"/>
      <c r="D1332" s="2"/>
      <c r="E1332" s="2"/>
      <c r="F1332" s="2"/>
      <c r="G1332" s="2"/>
      <c r="H1332" s="2"/>
      <c r="I1332" s="2"/>
    </row>
    <row r="1333" spans="3:9">
      <c r="C1333" s="2"/>
      <c r="D1333" s="2"/>
      <c r="E1333" s="2"/>
      <c r="F1333" s="2"/>
      <c r="G1333" s="2"/>
      <c r="H1333" s="2"/>
      <c r="I1333" s="2"/>
    </row>
    <row r="1334" spans="3:9">
      <c r="C1334" s="2"/>
      <c r="D1334" s="2"/>
      <c r="E1334" s="2"/>
      <c r="F1334" s="2"/>
      <c r="G1334" s="2"/>
      <c r="H1334" s="2"/>
      <c r="I1334" s="2"/>
    </row>
    <row r="1335" spans="3:9">
      <c r="C1335" s="2"/>
      <c r="D1335" s="2"/>
      <c r="E1335" s="2"/>
      <c r="F1335" s="2"/>
      <c r="G1335" s="2"/>
      <c r="H1335" s="2"/>
      <c r="I1335" s="2"/>
    </row>
    <row r="1336" spans="3:9">
      <c r="C1336" s="2"/>
      <c r="D1336" s="2"/>
      <c r="E1336" s="2"/>
      <c r="F1336" s="2"/>
      <c r="G1336" s="2"/>
      <c r="H1336" s="2"/>
      <c r="I1336" s="2"/>
    </row>
    <row r="1337" spans="3:9">
      <c r="C1337" s="2"/>
      <c r="D1337" s="2"/>
      <c r="E1337" s="2"/>
      <c r="F1337" s="2"/>
      <c r="G1337" s="2"/>
      <c r="H1337" s="2"/>
      <c r="I1337" s="2"/>
    </row>
    <row r="1338" spans="3:9">
      <c r="C1338" s="2"/>
      <c r="D1338" s="2"/>
      <c r="E1338" s="2"/>
      <c r="F1338" s="2"/>
      <c r="G1338" s="2"/>
      <c r="H1338" s="2"/>
      <c r="I1338" s="2"/>
    </row>
    <row r="1339" spans="3:9">
      <c r="C1339" s="2"/>
      <c r="D1339" s="2"/>
      <c r="E1339" s="2"/>
      <c r="F1339" s="2"/>
      <c r="G1339" s="2"/>
      <c r="H1339" s="2"/>
      <c r="I1339" s="2"/>
    </row>
    <row r="1340" spans="3:9">
      <c r="C1340" s="2"/>
      <c r="D1340" s="2"/>
      <c r="E1340" s="2"/>
      <c r="F1340" s="2"/>
      <c r="G1340" s="2"/>
      <c r="H1340" s="2"/>
      <c r="I1340" s="2"/>
    </row>
    <row r="1341" spans="3:9">
      <c r="C1341" s="2"/>
      <c r="D1341" s="2"/>
      <c r="E1341" s="2"/>
      <c r="F1341" s="2"/>
      <c r="G1341" s="2"/>
      <c r="H1341" s="2"/>
      <c r="I1341" s="2"/>
    </row>
    <row r="1342" spans="3:9">
      <c r="C1342" s="2"/>
      <c r="D1342" s="2"/>
      <c r="E1342" s="2"/>
      <c r="F1342" s="2"/>
      <c r="G1342" s="2"/>
      <c r="H1342" s="2"/>
      <c r="I1342" s="2"/>
    </row>
    <row r="1343" spans="3:9">
      <c r="C1343" s="2"/>
      <c r="D1343" s="2"/>
      <c r="E1343" s="2"/>
      <c r="F1343" s="2"/>
      <c r="G1343" s="2"/>
      <c r="H1343" s="2"/>
      <c r="I1343" s="2"/>
    </row>
    <row r="1344" spans="3:9">
      <c r="C1344" s="2"/>
      <c r="D1344" s="2"/>
      <c r="E1344" s="2"/>
      <c r="F1344" s="2"/>
      <c r="G1344" s="2"/>
      <c r="H1344" s="2"/>
      <c r="I1344" s="2"/>
    </row>
    <row r="1345" spans="3:9">
      <c r="C1345" s="2"/>
      <c r="D1345" s="2"/>
      <c r="E1345" s="2"/>
      <c r="F1345" s="2"/>
      <c r="G1345" s="2"/>
      <c r="H1345" s="2"/>
      <c r="I1345" s="2"/>
    </row>
    <row r="1346" spans="3:9">
      <c r="C1346" s="2"/>
      <c r="D1346" s="2"/>
      <c r="E1346" s="2"/>
      <c r="F1346" s="2"/>
      <c r="G1346" s="2"/>
      <c r="H1346" s="2"/>
      <c r="I1346" s="2"/>
    </row>
    <row r="1347" spans="3:9">
      <c r="C1347" s="2"/>
      <c r="D1347" s="2"/>
      <c r="E1347" s="2"/>
      <c r="F1347" s="2"/>
      <c r="G1347" s="2"/>
      <c r="H1347" s="2"/>
      <c r="I1347" s="2"/>
    </row>
    <row r="1348" spans="3:9">
      <c r="C1348" s="2"/>
      <c r="D1348" s="2"/>
      <c r="E1348" s="2"/>
      <c r="F1348" s="2"/>
      <c r="G1348" s="2"/>
      <c r="H1348" s="2"/>
      <c r="I1348" s="2"/>
    </row>
    <row r="1349" spans="3:9">
      <c r="C1349" s="2"/>
      <c r="D1349" s="2"/>
      <c r="E1349" s="2"/>
      <c r="F1349" s="2"/>
      <c r="G1349" s="2"/>
      <c r="H1349" s="2"/>
      <c r="I1349" s="2"/>
    </row>
    <row r="1350" spans="3:9">
      <c r="C1350" s="2"/>
      <c r="D1350" s="2"/>
      <c r="E1350" s="2"/>
      <c r="F1350" s="2"/>
      <c r="G1350" s="2"/>
      <c r="H1350" s="2"/>
      <c r="I1350" s="2"/>
    </row>
    <row r="1351" spans="3:9">
      <c r="C1351" s="2"/>
      <c r="D1351" s="2"/>
      <c r="E1351" s="2"/>
      <c r="F1351" s="2"/>
      <c r="G1351" s="2"/>
      <c r="H1351" s="2"/>
      <c r="I1351" s="2"/>
    </row>
    <row r="1352" spans="3:9">
      <c r="C1352" s="2"/>
      <c r="D1352" s="2"/>
      <c r="E1352" s="2"/>
      <c r="F1352" s="2"/>
      <c r="G1352" s="2"/>
      <c r="H1352" s="2"/>
      <c r="I1352" s="2"/>
    </row>
    <row r="1353" spans="3:9">
      <c r="C1353" s="2"/>
      <c r="D1353" s="2"/>
      <c r="E1353" s="2"/>
      <c r="F1353" s="2"/>
      <c r="G1353" s="2"/>
      <c r="H1353" s="2"/>
      <c r="I1353" s="2"/>
    </row>
    <row r="1354" spans="3:9">
      <c r="C1354" s="2"/>
      <c r="D1354" s="2"/>
      <c r="E1354" s="2"/>
      <c r="F1354" s="2"/>
      <c r="G1354" s="2"/>
      <c r="H1354" s="2"/>
      <c r="I1354" s="2"/>
    </row>
    <row r="1355" spans="3:9">
      <c r="C1355" s="2"/>
      <c r="D1355" s="2"/>
      <c r="E1355" s="2"/>
      <c r="F1355" s="2"/>
      <c r="G1355" s="2"/>
      <c r="H1355" s="2"/>
      <c r="I1355" s="2"/>
    </row>
    <row r="1356" spans="3:9">
      <c r="C1356" s="2"/>
      <c r="D1356" s="2"/>
      <c r="E1356" s="2"/>
      <c r="F1356" s="2"/>
      <c r="G1356" s="2"/>
      <c r="H1356" s="2"/>
      <c r="I1356" s="2"/>
    </row>
    <row r="1357" spans="3:9">
      <c r="C1357" s="2"/>
      <c r="D1357" s="2"/>
      <c r="E1357" s="2"/>
      <c r="F1357" s="2"/>
      <c r="G1357" s="2"/>
      <c r="H1357" s="2"/>
      <c r="I1357" s="2"/>
    </row>
    <row r="1358" spans="3:9">
      <c r="C1358" s="2"/>
      <c r="D1358" s="2"/>
      <c r="E1358" s="2"/>
      <c r="F1358" s="2"/>
      <c r="G1358" s="2"/>
      <c r="H1358" s="2"/>
      <c r="I1358" s="2"/>
    </row>
    <row r="1359" spans="3:9">
      <c r="C1359" s="2"/>
      <c r="D1359" s="2"/>
      <c r="E1359" s="2"/>
      <c r="F1359" s="2"/>
      <c r="G1359" s="2"/>
      <c r="H1359" s="2"/>
      <c r="I1359" s="2"/>
    </row>
    <row r="1360" spans="3:9">
      <c r="C1360" s="2"/>
      <c r="D1360" s="2"/>
      <c r="E1360" s="2"/>
      <c r="F1360" s="2"/>
      <c r="G1360" s="2"/>
      <c r="H1360" s="2"/>
      <c r="I1360" s="2"/>
    </row>
    <row r="1361" spans="3:9">
      <c r="C1361" s="2"/>
      <c r="D1361" s="2"/>
      <c r="E1361" s="2"/>
      <c r="F1361" s="2"/>
      <c r="G1361" s="2"/>
      <c r="H1361" s="2"/>
      <c r="I1361" s="2"/>
    </row>
    <row r="1362" spans="3:9">
      <c r="C1362" s="2"/>
      <c r="D1362" s="2"/>
      <c r="E1362" s="2"/>
      <c r="F1362" s="2"/>
      <c r="G1362" s="2"/>
      <c r="H1362" s="2"/>
      <c r="I1362" s="2"/>
    </row>
    <row r="1363" spans="3:9">
      <c r="C1363" s="2"/>
      <c r="D1363" s="2"/>
      <c r="E1363" s="2"/>
      <c r="F1363" s="2"/>
      <c r="G1363" s="2"/>
      <c r="H1363" s="2"/>
      <c r="I1363" s="2"/>
    </row>
    <row r="1364" spans="3:9">
      <c r="C1364" s="2"/>
      <c r="D1364" s="2"/>
      <c r="E1364" s="2"/>
      <c r="F1364" s="2"/>
      <c r="G1364" s="2"/>
      <c r="H1364" s="2"/>
      <c r="I1364" s="2"/>
    </row>
    <row r="1365" spans="3:9">
      <c r="C1365" s="2"/>
      <c r="D1365" s="2"/>
      <c r="E1365" s="2"/>
      <c r="F1365" s="2"/>
      <c r="G1365" s="2"/>
      <c r="H1365" s="2"/>
      <c r="I1365" s="2"/>
    </row>
    <row r="1366" spans="3:9">
      <c r="C1366" s="2"/>
      <c r="D1366" s="2"/>
      <c r="E1366" s="2"/>
      <c r="F1366" s="2"/>
      <c r="G1366" s="2"/>
      <c r="H1366" s="2"/>
      <c r="I1366" s="2"/>
    </row>
    <row r="1367" spans="3:9">
      <c r="C1367" s="2"/>
      <c r="D1367" s="2"/>
      <c r="E1367" s="2"/>
      <c r="F1367" s="2"/>
      <c r="G1367" s="2"/>
      <c r="H1367" s="2"/>
      <c r="I1367" s="2"/>
    </row>
    <row r="1368" spans="3:9">
      <c r="C1368" s="2"/>
      <c r="D1368" s="2"/>
      <c r="E1368" s="2"/>
      <c r="F1368" s="2"/>
      <c r="G1368" s="2"/>
      <c r="H1368" s="2"/>
      <c r="I1368" s="2"/>
    </row>
    <row r="1369" spans="3:9">
      <c r="C1369" s="2"/>
      <c r="D1369" s="2"/>
      <c r="E1369" s="2"/>
      <c r="F1369" s="2"/>
      <c r="G1369" s="2"/>
      <c r="H1369" s="2"/>
      <c r="I1369" s="2"/>
    </row>
    <row r="1370" spans="3:9">
      <c r="C1370" s="2"/>
      <c r="D1370" s="2"/>
      <c r="E1370" s="2"/>
      <c r="F1370" s="2"/>
      <c r="G1370" s="2"/>
      <c r="H1370" s="2"/>
      <c r="I1370" s="2"/>
    </row>
    <row r="1371" spans="3:9">
      <c r="C1371" s="2"/>
      <c r="D1371" s="2"/>
      <c r="E1371" s="2"/>
      <c r="F1371" s="2"/>
      <c r="G1371" s="2"/>
      <c r="H1371" s="2"/>
      <c r="I1371" s="2"/>
    </row>
    <row r="1372" spans="3:9">
      <c r="C1372" s="2"/>
      <c r="D1372" s="2"/>
      <c r="E1372" s="2"/>
      <c r="F1372" s="2"/>
      <c r="G1372" s="2"/>
      <c r="H1372" s="2"/>
      <c r="I1372" s="2"/>
    </row>
    <row r="1373" spans="3:9">
      <c r="C1373" s="2"/>
      <c r="D1373" s="2"/>
      <c r="E1373" s="2"/>
      <c r="F1373" s="2"/>
      <c r="G1373" s="2"/>
      <c r="H1373" s="2"/>
      <c r="I1373" s="2"/>
    </row>
    <row r="1374" spans="3:9">
      <c r="C1374" s="2"/>
      <c r="D1374" s="2"/>
      <c r="E1374" s="2"/>
      <c r="F1374" s="2"/>
      <c r="G1374" s="2"/>
      <c r="H1374" s="2"/>
      <c r="I1374" s="2"/>
    </row>
    <row r="1375" spans="3:9">
      <c r="C1375" s="2"/>
      <c r="D1375" s="2"/>
      <c r="E1375" s="2"/>
      <c r="F1375" s="2"/>
      <c r="G1375" s="2"/>
      <c r="H1375" s="2"/>
      <c r="I1375" s="2"/>
    </row>
    <row r="1376" spans="3:9">
      <c r="C1376" s="2"/>
      <c r="D1376" s="2"/>
      <c r="E1376" s="2"/>
      <c r="F1376" s="2"/>
      <c r="G1376" s="2"/>
      <c r="H1376" s="2"/>
      <c r="I1376" s="2"/>
    </row>
    <row r="1377" spans="3:9">
      <c r="C1377" s="2"/>
      <c r="D1377" s="2"/>
      <c r="E1377" s="2"/>
      <c r="F1377" s="2"/>
      <c r="G1377" s="2"/>
      <c r="H1377" s="2"/>
      <c r="I1377" s="2"/>
    </row>
    <row r="1378" spans="3:9">
      <c r="C1378" s="2"/>
      <c r="D1378" s="2"/>
      <c r="E1378" s="2"/>
      <c r="F1378" s="2"/>
      <c r="G1378" s="2"/>
      <c r="H1378" s="2"/>
      <c r="I1378" s="2"/>
    </row>
    <row r="1379" spans="3:9">
      <c r="C1379" s="2"/>
      <c r="D1379" s="2"/>
      <c r="E1379" s="2"/>
      <c r="F1379" s="2"/>
      <c r="G1379" s="2"/>
      <c r="H1379" s="2"/>
      <c r="I1379" s="2"/>
    </row>
    <row r="1380" spans="3:9">
      <c r="C1380" s="2"/>
      <c r="D1380" s="2"/>
      <c r="E1380" s="2"/>
      <c r="F1380" s="2"/>
      <c r="G1380" s="2"/>
      <c r="H1380" s="2"/>
      <c r="I1380" s="2"/>
    </row>
    <row r="1381" spans="3:9">
      <c r="C1381" s="2"/>
      <c r="D1381" s="2"/>
      <c r="E1381" s="2"/>
      <c r="F1381" s="2"/>
      <c r="G1381" s="2"/>
      <c r="H1381" s="2"/>
      <c r="I1381" s="2"/>
    </row>
    <row r="1382" spans="3:9">
      <c r="C1382" s="2"/>
      <c r="D1382" s="2"/>
      <c r="E1382" s="2"/>
      <c r="F1382" s="2"/>
      <c r="G1382" s="2"/>
      <c r="H1382" s="2"/>
      <c r="I1382" s="2"/>
    </row>
    <row r="1383" spans="3:9">
      <c r="C1383" s="2"/>
      <c r="D1383" s="2"/>
      <c r="E1383" s="2"/>
      <c r="F1383" s="2"/>
      <c r="G1383" s="2"/>
      <c r="H1383" s="2"/>
      <c r="I1383" s="2"/>
    </row>
    <row r="1384" spans="3:9">
      <c r="C1384" s="2"/>
      <c r="D1384" s="2"/>
      <c r="E1384" s="2"/>
      <c r="F1384" s="2"/>
      <c r="G1384" s="2"/>
      <c r="H1384" s="2"/>
      <c r="I1384" s="2"/>
    </row>
    <row r="1385" spans="3:9">
      <c r="C1385" s="2"/>
      <c r="D1385" s="2"/>
      <c r="E1385" s="2"/>
      <c r="F1385" s="2"/>
      <c r="G1385" s="2"/>
      <c r="H1385" s="2"/>
      <c r="I1385" s="2"/>
    </row>
    <row r="1386" spans="3:9">
      <c r="C1386" s="2"/>
      <c r="D1386" s="2"/>
      <c r="E1386" s="2"/>
      <c r="F1386" s="2"/>
      <c r="G1386" s="2"/>
      <c r="H1386" s="2"/>
      <c r="I1386" s="2"/>
    </row>
    <row r="1387" spans="3:9">
      <c r="C1387" s="2"/>
      <c r="D1387" s="2"/>
      <c r="E1387" s="2"/>
      <c r="F1387" s="2"/>
      <c r="G1387" s="2"/>
      <c r="H1387" s="2"/>
      <c r="I1387" s="2"/>
    </row>
    <row r="1388" spans="3:9">
      <c r="C1388" s="2"/>
      <c r="D1388" s="2"/>
      <c r="E1388" s="2"/>
      <c r="F1388" s="2"/>
      <c r="G1388" s="2"/>
      <c r="H1388" s="2"/>
      <c r="I1388" s="2"/>
    </row>
    <row r="1389" spans="3:9">
      <c r="C1389" s="2"/>
      <c r="D1389" s="2"/>
      <c r="E1389" s="2"/>
      <c r="F1389" s="2"/>
      <c r="G1389" s="2"/>
      <c r="H1389" s="2"/>
      <c r="I1389" s="2"/>
    </row>
    <row r="1390" spans="3:9">
      <c r="C1390" s="2"/>
      <c r="D1390" s="2"/>
      <c r="E1390" s="2"/>
      <c r="F1390" s="2"/>
      <c r="G1390" s="2"/>
      <c r="H1390" s="2"/>
      <c r="I1390" s="2"/>
    </row>
    <row r="1391" spans="3:9">
      <c r="C1391" s="2"/>
      <c r="D1391" s="2"/>
      <c r="E1391" s="2"/>
      <c r="F1391" s="2"/>
      <c r="G1391" s="2"/>
      <c r="H1391" s="2"/>
      <c r="I1391" s="2"/>
    </row>
    <row r="1392" spans="3:9">
      <c r="C1392" s="2"/>
      <c r="D1392" s="2"/>
      <c r="E1392" s="2"/>
      <c r="F1392" s="2"/>
      <c r="G1392" s="2"/>
      <c r="H1392" s="2"/>
      <c r="I1392" s="2"/>
    </row>
    <row r="1393" spans="3:9">
      <c r="C1393" s="2"/>
      <c r="D1393" s="2"/>
      <c r="E1393" s="2"/>
      <c r="F1393" s="2"/>
      <c r="G1393" s="2"/>
      <c r="H1393" s="2"/>
      <c r="I1393" s="2"/>
    </row>
    <row r="1394" spans="3:9">
      <c r="C1394" s="2"/>
      <c r="D1394" s="2"/>
      <c r="E1394" s="2"/>
      <c r="F1394" s="2"/>
      <c r="G1394" s="2"/>
      <c r="H1394" s="2"/>
      <c r="I1394" s="2"/>
    </row>
    <row r="1395" spans="3:9">
      <c r="C1395" s="2"/>
      <c r="D1395" s="2"/>
      <c r="E1395" s="2"/>
      <c r="F1395" s="2"/>
      <c r="G1395" s="2"/>
      <c r="H1395" s="2"/>
      <c r="I1395" s="2"/>
    </row>
    <row r="1396" spans="3:9">
      <c r="C1396" s="2"/>
      <c r="D1396" s="2"/>
      <c r="E1396" s="2"/>
      <c r="F1396" s="2"/>
      <c r="G1396" s="2"/>
      <c r="H1396" s="2"/>
      <c r="I1396" s="2"/>
    </row>
    <row r="1397" spans="3:9">
      <c r="C1397" s="2"/>
      <c r="D1397" s="2"/>
      <c r="E1397" s="2"/>
      <c r="F1397" s="2"/>
      <c r="G1397" s="2"/>
      <c r="H1397" s="2"/>
      <c r="I1397" s="2"/>
    </row>
    <row r="1398" spans="3:9">
      <c r="C1398" s="2"/>
      <c r="D1398" s="2"/>
      <c r="E1398" s="2"/>
      <c r="F1398" s="2"/>
      <c r="G1398" s="2"/>
      <c r="H1398" s="2"/>
      <c r="I1398" s="2"/>
    </row>
    <row r="1399" spans="3:9">
      <c r="C1399" s="2"/>
      <c r="D1399" s="2"/>
      <c r="E1399" s="2"/>
      <c r="F1399" s="2"/>
      <c r="G1399" s="2"/>
      <c r="H1399" s="2"/>
      <c r="I1399" s="2"/>
    </row>
    <row r="1400" spans="3:9">
      <c r="C1400" s="2"/>
      <c r="D1400" s="2"/>
      <c r="E1400" s="2"/>
      <c r="F1400" s="2"/>
      <c r="G1400" s="2"/>
      <c r="H1400" s="2"/>
      <c r="I1400" s="2"/>
    </row>
    <row r="1401" spans="3:9">
      <c r="C1401" s="2"/>
      <c r="D1401" s="2"/>
      <c r="E1401" s="2"/>
      <c r="F1401" s="2"/>
      <c r="G1401" s="2"/>
      <c r="H1401" s="2"/>
      <c r="I1401" s="2"/>
    </row>
    <row r="1402" spans="3:9">
      <c r="C1402" s="2"/>
      <c r="D1402" s="2"/>
      <c r="E1402" s="2"/>
      <c r="F1402" s="2"/>
      <c r="G1402" s="2"/>
      <c r="H1402" s="2"/>
      <c r="I1402" s="2"/>
    </row>
    <row r="1403" spans="3:9">
      <c r="C1403" s="2"/>
      <c r="D1403" s="2"/>
      <c r="E1403" s="2"/>
      <c r="F1403" s="2"/>
      <c r="G1403" s="2"/>
      <c r="H1403" s="2"/>
      <c r="I1403" s="2"/>
    </row>
    <row r="1404" spans="3:9">
      <c r="C1404" s="2"/>
      <c r="D1404" s="2"/>
      <c r="E1404" s="2"/>
      <c r="F1404" s="2"/>
      <c r="G1404" s="2"/>
      <c r="H1404" s="2"/>
      <c r="I1404" s="2"/>
    </row>
    <row r="1405" spans="3:9">
      <c r="C1405" s="2"/>
      <c r="D1405" s="2"/>
      <c r="E1405" s="2"/>
      <c r="F1405" s="2"/>
      <c r="G1405" s="2"/>
      <c r="H1405" s="2"/>
      <c r="I1405" s="2"/>
    </row>
    <row r="1406" spans="3:9">
      <c r="C1406" s="2"/>
      <c r="D1406" s="2"/>
      <c r="E1406" s="2"/>
      <c r="F1406" s="2"/>
      <c r="G1406" s="2"/>
      <c r="H1406" s="2"/>
      <c r="I1406" s="2"/>
    </row>
    <row r="1407" spans="3:9">
      <c r="C1407" s="2"/>
      <c r="D1407" s="2"/>
      <c r="E1407" s="2"/>
      <c r="F1407" s="2"/>
      <c r="G1407" s="2"/>
      <c r="H1407" s="2"/>
      <c r="I1407" s="2"/>
    </row>
    <row r="1408" spans="3:9">
      <c r="C1408" s="2"/>
      <c r="D1408" s="2"/>
      <c r="E1408" s="2"/>
      <c r="F1408" s="2"/>
      <c r="G1408" s="2"/>
      <c r="H1408" s="2"/>
      <c r="I1408" s="2"/>
    </row>
    <row r="1409" spans="3:9">
      <c r="C1409" s="2"/>
      <c r="D1409" s="2"/>
      <c r="E1409" s="2"/>
      <c r="F1409" s="2"/>
      <c r="G1409" s="2"/>
      <c r="H1409" s="2"/>
      <c r="I1409" s="2"/>
    </row>
    <row r="1410" spans="3:9">
      <c r="C1410" s="2"/>
      <c r="D1410" s="2"/>
      <c r="E1410" s="2"/>
      <c r="F1410" s="2"/>
      <c r="G1410" s="2"/>
      <c r="H1410" s="2"/>
      <c r="I1410" s="2"/>
    </row>
    <row r="1411" spans="3:9">
      <c r="C1411" s="2"/>
      <c r="D1411" s="2"/>
      <c r="E1411" s="2"/>
      <c r="F1411" s="2"/>
      <c r="G1411" s="2"/>
      <c r="H1411" s="2"/>
      <c r="I1411" s="2"/>
    </row>
    <row r="1412" spans="3:9">
      <c r="C1412" s="2"/>
      <c r="D1412" s="2"/>
      <c r="E1412" s="2"/>
      <c r="F1412" s="2"/>
      <c r="G1412" s="2"/>
      <c r="H1412" s="2"/>
      <c r="I1412" s="2"/>
    </row>
    <row r="1413" spans="3:9">
      <c r="C1413" s="2"/>
      <c r="D1413" s="2"/>
      <c r="E1413" s="2"/>
      <c r="F1413" s="2"/>
      <c r="G1413" s="2"/>
      <c r="H1413" s="2"/>
      <c r="I1413" s="2"/>
    </row>
    <row r="1414" spans="3:9">
      <c r="C1414" s="2"/>
      <c r="D1414" s="2"/>
      <c r="E1414" s="2"/>
      <c r="F1414" s="2"/>
      <c r="G1414" s="2"/>
      <c r="H1414" s="2"/>
      <c r="I1414" s="2"/>
    </row>
    <row r="1415" spans="3:9">
      <c r="C1415" s="2"/>
      <c r="D1415" s="2"/>
      <c r="E1415" s="2"/>
      <c r="F1415" s="2"/>
      <c r="G1415" s="2"/>
      <c r="H1415" s="2"/>
      <c r="I1415" s="2"/>
    </row>
    <row r="1416" spans="3:9">
      <c r="C1416" s="2"/>
      <c r="D1416" s="2"/>
      <c r="E1416" s="2"/>
      <c r="F1416" s="2"/>
      <c r="G1416" s="2"/>
      <c r="H1416" s="2"/>
      <c r="I1416" s="2"/>
    </row>
    <row r="1417" spans="3:9">
      <c r="C1417" s="2"/>
      <c r="D1417" s="2"/>
      <c r="E1417" s="2"/>
      <c r="F1417" s="2"/>
      <c r="G1417" s="2"/>
      <c r="H1417" s="2"/>
      <c r="I1417" s="2"/>
    </row>
    <row r="1418" spans="3:9">
      <c r="C1418" s="2"/>
      <c r="D1418" s="2"/>
      <c r="E1418" s="2"/>
      <c r="F1418" s="2"/>
      <c r="G1418" s="2"/>
      <c r="H1418" s="2"/>
      <c r="I1418" s="2"/>
    </row>
    <row r="1419" spans="3:9">
      <c r="C1419" s="2"/>
      <c r="D1419" s="2"/>
      <c r="E1419" s="2"/>
      <c r="F1419" s="2"/>
      <c r="G1419" s="2"/>
      <c r="H1419" s="2"/>
      <c r="I1419" s="2"/>
    </row>
    <row r="1420" spans="3:9">
      <c r="C1420" s="2"/>
      <c r="D1420" s="2"/>
      <c r="E1420" s="2"/>
      <c r="F1420" s="2"/>
      <c r="G1420" s="2"/>
      <c r="H1420" s="2"/>
      <c r="I1420" s="2"/>
    </row>
    <row r="1421" spans="3:9">
      <c r="C1421" s="2"/>
      <c r="D1421" s="2"/>
      <c r="E1421" s="2"/>
      <c r="F1421" s="2"/>
      <c r="G1421" s="2"/>
      <c r="H1421" s="2"/>
      <c r="I1421" s="2"/>
    </row>
    <row r="1422" spans="3:9">
      <c r="C1422" s="2"/>
      <c r="D1422" s="2"/>
      <c r="E1422" s="2"/>
      <c r="F1422" s="2"/>
      <c r="G1422" s="2"/>
      <c r="H1422" s="2"/>
      <c r="I1422" s="2"/>
    </row>
    <row r="1423" spans="3:9">
      <c r="C1423" s="2"/>
      <c r="D1423" s="2"/>
      <c r="E1423" s="2"/>
      <c r="F1423" s="2"/>
      <c r="G1423" s="2"/>
      <c r="H1423" s="2"/>
      <c r="I1423" s="2"/>
    </row>
    <row r="1424" spans="3:9">
      <c r="C1424" s="2"/>
      <c r="D1424" s="2"/>
      <c r="E1424" s="2"/>
      <c r="F1424" s="2"/>
      <c r="G1424" s="2"/>
      <c r="H1424" s="2"/>
      <c r="I1424" s="2"/>
    </row>
    <row r="1425" spans="3:9">
      <c r="C1425" s="2"/>
      <c r="D1425" s="2"/>
      <c r="E1425" s="2"/>
      <c r="F1425" s="2"/>
      <c r="G1425" s="2"/>
      <c r="H1425" s="2"/>
      <c r="I1425" s="2"/>
    </row>
    <row r="1426" spans="3:9">
      <c r="C1426" s="2"/>
      <c r="D1426" s="2"/>
      <c r="E1426" s="2"/>
      <c r="F1426" s="2"/>
      <c r="G1426" s="2"/>
      <c r="H1426" s="2"/>
      <c r="I1426" s="2"/>
    </row>
    <row r="1427" spans="3:9">
      <c r="C1427" s="2"/>
      <c r="D1427" s="2"/>
      <c r="E1427" s="2"/>
      <c r="F1427" s="2"/>
      <c r="G1427" s="2"/>
      <c r="H1427" s="2"/>
      <c r="I1427" s="2"/>
    </row>
    <row r="1428" spans="3:9">
      <c r="C1428" s="2"/>
      <c r="D1428" s="2"/>
      <c r="E1428" s="2"/>
      <c r="F1428" s="2"/>
      <c r="G1428" s="2"/>
      <c r="H1428" s="2"/>
      <c r="I1428" s="2"/>
    </row>
    <row r="1429" spans="3:9">
      <c r="C1429" s="2"/>
      <c r="D1429" s="2"/>
      <c r="E1429" s="2"/>
      <c r="F1429" s="2"/>
      <c r="G1429" s="2"/>
      <c r="H1429" s="2"/>
      <c r="I1429" s="2"/>
    </row>
    <row r="1430" spans="3:9">
      <c r="C1430" s="2"/>
      <c r="D1430" s="2"/>
      <c r="E1430" s="2"/>
      <c r="F1430" s="2"/>
      <c r="G1430" s="2"/>
      <c r="H1430" s="2"/>
      <c r="I1430" s="2"/>
    </row>
    <row r="1431" spans="3:9">
      <c r="C1431" s="2"/>
      <c r="D1431" s="2"/>
      <c r="E1431" s="2"/>
      <c r="F1431" s="2"/>
      <c r="G1431" s="2"/>
      <c r="H1431" s="2"/>
      <c r="I1431" s="2"/>
    </row>
  </sheetData>
  <autoFilter ref="C1:O119" xr:uid="{00000000-0001-0000-0100-000000000000}"/>
  <conditionalFormatting sqref="J45 H2:H143">
    <cfRule type="expression" dxfId="1" priority="1">
      <formula>" =COUNTIF($E$2:$E$150,$E2)&gt;1"</formula>
    </cfRule>
  </conditionalFormatting>
  <conditionalFormatting sqref="G1:G1433">
    <cfRule type="expression" dxfId="0" priority="2">
      <formula>COUNTIF(G:G,G1)&gt;1</formula>
    </cfRule>
  </conditionalFormatting>
  <hyperlinks>
    <hyperlink ref="J2" r:id="rId1" xr:uid="{00000000-0004-0000-0100-000000000000}"/>
    <hyperlink ref="J3" r:id="rId2" xr:uid="{00000000-0004-0000-0100-000001000000}"/>
    <hyperlink ref="N3" r:id="rId3" xr:uid="{00000000-0004-0000-0100-000002000000}"/>
    <hyperlink ref="J4" r:id="rId4" xr:uid="{00000000-0004-0000-0100-000003000000}"/>
    <hyperlink ref="N4" r:id="rId5" xr:uid="{00000000-0004-0000-0100-000004000000}"/>
    <hyperlink ref="J5" r:id="rId6" xr:uid="{00000000-0004-0000-0100-000005000000}"/>
    <hyperlink ref="N6" r:id="rId7" xr:uid="{00000000-0004-0000-0100-000006000000}"/>
    <hyperlink ref="J8" r:id="rId8" xr:uid="{00000000-0004-0000-0100-000007000000}"/>
    <hyperlink ref="J9" r:id="rId9" xr:uid="{00000000-0004-0000-0100-000008000000}"/>
    <hyperlink ref="N9" r:id="rId10" xr:uid="{00000000-0004-0000-0100-000009000000}"/>
    <hyperlink ref="N10" r:id="rId11" xr:uid="{00000000-0004-0000-0100-00000A000000}"/>
    <hyperlink ref="J11" r:id="rId12" xr:uid="{00000000-0004-0000-0100-00000B000000}"/>
    <hyperlink ref="N11" r:id="rId13" xr:uid="{00000000-0004-0000-0100-00000C000000}"/>
    <hyperlink ref="J12" r:id="rId14" xr:uid="{00000000-0004-0000-0100-00000D000000}"/>
    <hyperlink ref="N12" r:id="rId15" xr:uid="{00000000-0004-0000-0100-00000E000000}"/>
    <hyperlink ref="N13" r:id="rId16" xr:uid="{00000000-0004-0000-0100-00000F000000}"/>
    <hyperlink ref="J14" r:id="rId17" xr:uid="{00000000-0004-0000-0100-000010000000}"/>
    <hyperlink ref="N14" r:id="rId18" xr:uid="{00000000-0004-0000-0100-000011000000}"/>
    <hyperlink ref="N15" r:id="rId19" xr:uid="{00000000-0004-0000-0100-000012000000}"/>
    <hyperlink ref="N17" r:id="rId20" xr:uid="{00000000-0004-0000-0100-000013000000}"/>
    <hyperlink ref="J18" r:id="rId21" xr:uid="{00000000-0004-0000-0100-000014000000}"/>
    <hyperlink ref="J21" r:id="rId22" xr:uid="{00000000-0004-0000-0100-000015000000}"/>
    <hyperlink ref="N21" r:id="rId23" xr:uid="{00000000-0004-0000-0100-000016000000}"/>
    <hyperlink ref="N22" r:id="rId24" xr:uid="{00000000-0004-0000-0100-000017000000}"/>
    <hyperlink ref="N23" r:id="rId25" xr:uid="{00000000-0004-0000-0100-000018000000}"/>
    <hyperlink ref="J24" r:id="rId26" xr:uid="{00000000-0004-0000-0100-000019000000}"/>
    <hyperlink ref="N25" r:id="rId27" xr:uid="{00000000-0004-0000-0100-00001A000000}"/>
    <hyperlink ref="J26" r:id="rId28" xr:uid="{00000000-0004-0000-0100-00001B000000}"/>
    <hyperlink ref="N26" r:id="rId29" xr:uid="{00000000-0004-0000-0100-00001C000000}"/>
    <hyperlink ref="J27" r:id="rId30" xr:uid="{00000000-0004-0000-0100-00001D000000}"/>
    <hyperlink ref="N27" r:id="rId31" xr:uid="{00000000-0004-0000-0100-00001E000000}"/>
    <hyperlink ref="J28" r:id="rId32" xr:uid="{00000000-0004-0000-0100-00001F000000}"/>
    <hyperlink ref="N28" r:id="rId33" xr:uid="{00000000-0004-0000-0100-000020000000}"/>
    <hyperlink ref="J30" r:id="rId34" xr:uid="{00000000-0004-0000-0100-000021000000}"/>
    <hyperlink ref="J31" r:id="rId35" xr:uid="{00000000-0004-0000-0100-000022000000}"/>
    <hyperlink ref="J33" r:id="rId36" xr:uid="{00000000-0004-0000-0100-000023000000}"/>
    <hyperlink ref="K33" r:id="rId37" xr:uid="{00000000-0004-0000-0100-000024000000}"/>
    <hyperlink ref="N33" r:id="rId38" xr:uid="{00000000-0004-0000-0100-000025000000}"/>
    <hyperlink ref="J34" r:id="rId39" xr:uid="{00000000-0004-0000-0100-000026000000}"/>
    <hyperlink ref="J35" r:id="rId40" xr:uid="{00000000-0004-0000-0100-000027000000}"/>
    <hyperlink ref="J38" r:id="rId41" xr:uid="{00000000-0004-0000-0100-000028000000}"/>
    <hyperlink ref="J39" r:id="rId42" xr:uid="{00000000-0004-0000-0100-000029000000}"/>
    <hyperlink ref="J41" r:id="rId43" xr:uid="{00000000-0004-0000-0100-00002A000000}"/>
    <hyperlink ref="J42" r:id="rId44" xr:uid="{00000000-0004-0000-0100-00002B000000}"/>
    <hyperlink ref="J44" r:id="rId45" xr:uid="{00000000-0004-0000-0100-00002C000000}"/>
    <hyperlink ref="N44" r:id="rId46" xr:uid="{00000000-0004-0000-0100-00002D000000}"/>
    <hyperlink ref="J45" r:id="rId47" xr:uid="{00000000-0004-0000-0100-00002E000000}"/>
    <hyperlink ref="N45" r:id="rId48" xr:uid="{00000000-0004-0000-0100-00002F000000}"/>
    <hyperlink ref="J46" r:id="rId49" xr:uid="{00000000-0004-0000-0100-000030000000}"/>
    <hyperlink ref="N46" r:id="rId50" xr:uid="{00000000-0004-0000-0100-000031000000}"/>
    <hyperlink ref="N47" r:id="rId51" xr:uid="{00000000-0004-0000-0100-000032000000}"/>
    <hyperlink ref="J48" r:id="rId52" xr:uid="{00000000-0004-0000-0100-000033000000}"/>
    <hyperlink ref="N48" r:id="rId53" xr:uid="{00000000-0004-0000-0100-000034000000}"/>
    <hyperlink ref="J49" r:id="rId54" xr:uid="{00000000-0004-0000-0100-000035000000}"/>
    <hyperlink ref="N49" r:id="rId55" xr:uid="{00000000-0004-0000-0100-000036000000}"/>
    <hyperlink ref="J50" r:id="rId56" xr:uid="{00000000-0004-0000-0100-000037000000}"/>
    <hyperlink ref="N50" r:id="rId57" xr:uid="{00000000-0004-0000-0100-000038000000}"/>
    <hyperlink ref="J51" r:id="rId58" xr:uid="{00000000-0004-0000-0100-000039000000}"/>
    <hyperlink ref="N51" r:id="rId59" xr:uid="{00000000-0004-0000-0100-00003A000000}"/>
    <hyperlink ref="J52" r:id="rId60" xr:uid="{00000000-0004-0000-0100-00003B000000}"/>
    <hyperlink ref="N52" r:id="rId61" xr:uid="{00000000-0004-0000-0100-00003C000000}"/>
    <hyperlink ref="J53" r:id="rId62" xr:uid="{00000000-0004-0000-0100-00003D000000}"/>
    <hyperlink ref="N53" r:id="rId63" xr:uid="{00000000-0004-0000-0100-00003E000000}"/>
    <hyperlink ref="J54" r:id="rId64" xr:uid="{00000000-0004-0000-0100-00003F000000}"/>
    <hyperlink ref="N54" r:id="rId65" xr:uid="{00000000-0004-0000-0100-000040000000}"/>
    <hyperlink ref="J55" r:id="rId66" xr:uid="{00000000-0004-0000-0100-000041000000}"/>
    <hyperlink ref="N55" r:id="rId67" xr:uid="{00000000-0004-0000-0100-000042000000}"/>
    <hyperlink ref="J56" r:id="rId68" xr:uid="{00000000-0004-0000-0100-000043000000}"/>
    <hyperlink ref="N56" r:id="rId69" xr:uid="{00000000-0004-0000-0100-000044000000}"/>
    <hyperlink ref="J57" r:id="rId70" xr:uid="{00000000-0004-0000-0100-000045000000}"/>
    <hyperlink ref="N57" r:id="rId71" xr:uid="{00000000-0004-0000-0100-000046000000}"/>
    <hyperlink ref="J58" r:id="rId72" xr:uid="{00000000-0004-0000-0100-000047000000}"/>
    <hyperlink ref="N58" r:id="rId73" xr:uid="{00000000-0004-0000-0100-000048000000}"/>
    <hyperlink ref="J59" r:id="rId74" xr:uid="{00000000-0004-0000-0100-000049000000}"/>
    <hyperlink ref="J60" r:id="rId75" xr:uid="{00000000-0004-0000-0100-00004A000000}"/>
    <hyperlink ref="N60" r:id="rId76" xr:uid="{00000000-0004-0000-0100-00004B000000}"/>
    <hyperlink ref="J61" r:id="rId77" xr:uid="{00000000-0004-0000-0100-00004C000000}"/>
    <hyperlink ref="N61" r:id="rId78" xr:uid="{00000000-0004-0000-0100-00004D000000}"/>
    <hyperlink ref="J62" r:id="rId79" xr:uid="{00000000-0004-0000-0100-00004E000000}"/>
    <hyperlink ref="N62" r:id="rId80" xr:uid="{00000000-0004-0000-0100-00004F000000}"/>
    <hyperlink ref="J64" r:id="rId81" xr:uid="{00000000-0004-0000-0100-000050000000}"/>
    <hyperlink ref="N64" r:id="rId82" xr:uid="{00000000-0004-0000-0100-000051000000}"/>
    <hyperlink ref="J67" r:id="rId83" xr:uid="{00000000-0004-0000-0100-000052000000}"/>
    <hyperlink ref="N67" r:id="rId84" xr:uid="{00000000-0004-0000-0100-000053000000}"/>
    <hyperlink ref="J68" r:id="rId85" xr:uid="{00000000-0004-0000-0100-000054000000}"/>
    <hyperlink ref="J70" r:id="rId86" xr:uid="{00000000-0004-0000-0100-000055000000}"/>
    <hyperlink ref="N70" r:id="rId87" xr:uid="{00000000-0004-0000-0100-000056000000}"/>
    <hyperlink ref="J71" r:id="rId88" xr:uid="{00000000-0004-0000-0100-000057000000}"/>
    <hyperlink ref="N71" r:id="rId89" xr:uid="{00000000-0004-0000-0100-000058000000}"/>
    <hyperlink ref="J72" r:id="rId90" xr:uid="{00000000-0004-0000-0100-000059000000}"/>
    <hyperlink ref="N72" r:id="rId91" xr:uid="{00000000-0004-0000-0100-00005A000000}"/>
    <hyperlink ref="J75" r:id="rId92" xr:uid="{00000000-0004-0000-0100-00005B000000}"/>
    <hyperlink ref="N75" r:id="rId93" xr:uid="{00000000-0004-0000-0100-00005C000000}"/>
    <hyperlink ref="J76" r:id="rId94" xr:uid="{00000000-0004-0000-0100-00005D000000}"/>
    <hyperlink ref="N76" r:id="rId95" xr:uid="{00000000-0004-0000-0100-00005E000000}"/>
    <hyperlink ref="J77" r:id="rId96" xr:uid="{00000000-0004-0000-0100-00005F000000}"/>
    <hyperlink ref="J79" r:id="rId97" xr:uid="{00000000-0004-0000-0100-000060000000}"/>
    <hyperlink ref="N79" r:id="rId98" xr:uid="{00000000-0004-0000-0100-000061000000}"/>
    <hyperlink ref="J81" r:id="rId99" xr:uid="{00000000-0004-0000-0100-000062000000}"/>
    <hyperlink ref="J82" r:id="rId100" xr:uid="{00000000-0004-0000-0100-000063000000}"/>
    <hyperlink ref="J83" r:id="rId101" xr:uid="{00000000-0004-0000-0100-000064000000}"/>
    <hyperlink ref="N83" r:id="rId102" xr:uid="{00000000-0004-0000-0100-000065000000}"/>
    <hyperlink ref="J84" r:id="rId103" xr:uid="{00000000-0004-0000-0100-000066000000}"/>
    <hyperlink ref="J85" r:id="rId104" xr:uid="{00000000-0004-0000-0100-000067000000}"/>
    <hyperlink ref="J86" r:id="rId105" xr:uid="{00000000-0004-0000-0100-000068000000}"/>
    <hyperlink ref="J87" r:id="rId106" xr:uid="{00000000-0004-0000-0100-000069000000}"/>
    <hyperlink ref="J88" r:id="rId107" xr:uid="{00000000-0004-0000-0100-00006A000000}"/>
    <hyperlink ref="N88" r:id="rId108" xr:uid="{00000000-0004-0000-0100-00006B000000}"/>
    <hyperlink ref="J89" r:id="rId109" xr:uid="{00000000-0004-0000-0100-00006C000000}"/>
    <hyperlink ref="N89" r:id="rId110" xr:uid="{00000000-0004-0000-0100-00006D000000}"/>
    <hyperlink ref="J90" r:id="rId111" xr:uid="{00000000-0004-0000-0100-00006E000000}"/>
    <hyperlink ref="N90" r:id="rId112" xr:uid="{00000000-0004-0000-0100-00006F000000}"/>
    <hyperlink ref="J91" r:id="rId113" xr:uid="{00000000-0004-0000-0100-000070000000}"/>
    <hyperlink ref="J92" r:id="rId114" xr:uid="{00000000-0004-0000-0100-000071000000}"/>
    <hyperlink ref="J93" r:id="rId115" xr:uid="{00000000-0004-0000-0100-000072000000}"/>
    <hyperlink ref="N93" r:id="rId116" xr:uid="{00000000-0004-0000-0100-000073000000}"/>
    <hyperlink ref="J94" r:id="rId117" xr:uid="{00000000-0004-0000-0100-000074000000}"/>
    <hyperlink ref="J95" r:id="rId118" xr:uid="{00000000-0004-0000-0100-000075000000}"/>
    <hyperlink ref="N95" r:id="rId119" xr:uid="{00000000-0004-0000-0100-000076000000}"/>
    <hyperlink ref="J96" r:id="rId120" xr:uid="{00000000-0004-0000-0100-000077000000}"/>
    <hyperlink ref="J97" r:id="rId121" xr:uid="{00000000-0004-0000-0100-000078000000}"/>
    <hyperlink ref="N97" r:id="rId122" xr:uid="{00000000-0004-0000-0100-000079000000}"/>
    <hyperlink ref="J98" r:id="rId123" xr:uid="{00000000-0004-0000-0100-00007A000000}"/>
    <hyperlink ref="J99" r:id="rId124" xr:uid="{00000000-0004-0000-0100-00007B000000}"/>
    <hyperlink ref="J100" r:id="rId125" xr:uid="{00000000-0004-0000-0100-00007C000000}"/>
    <hyperlink ref="N100" r:id="rId126" xr:uid="{00000000-0004-0000-0100-00007D000000}"/>
    <hyperlink ref="J101" r:id="rId127" xr:uid="{00000000-0004-0000-0100-00007E000000}"/>
    <hyperlink ref="J102" r:id="rId128" xr:uid="{00000000-0004-0000-0100-00007F000000}"/>
    <hyperlink ref="J103" r:id="rId129" xr:uid="{00000000-0004-0000-0100-000080000000}"/>
    <hyperlink ref="N103" r:id="rId130" xr:uid="{00000000-0004-0000-0100-000081000000}"/>
    <hyperlink ref="J104" r:id="rId131" xr:uid="{00000000-0004-0000-0100-000082000000}"/>
    <hyperlink ref="N104" r:id="rId132" xr:uid="{00000000-0004-0000-0100-000083000000}"/>
    <hyperlink ref="J105" r:id="rId133" xr:uid="{00000000-0004-0000-0100-000084000000}"/>
    <hyperlink ref="N105" r:id="rId134" xr:uid="{00000000-0004-0000-0100-000085000000}"/>
    <hyperlink ref="J106" r:id="rId135" xr:uid="{00000000-0004-0000-0100-000086000000}"/>
    <hyperlink ref="J107" r:id="rId136" xr:uid="{00000000-0004-0000-0100-000087000000}"/>
    <hyperlink ref="J108" r:id="rId137" xr:uid="{00000000-0004-0000-0100-000088000000}"/>
    <hyperlink ref="N108" r:id="rId138" xr:uid="{00000000-0004-0000-0100-000089000000}"/>
    <hyperlink ref="J109" r:id="rId139" xr:uid="{00000000-0004-0000-0100-00008A000000}"/>
    <hyperlink ref="J110" r:id="rId140" xr:uid="{00000000-0004-0000-0100-00008B000000}"/>
    <hyperlink ref="N110" r:id="rId141" xr:uid="{00000000-0004-0000-0100-00008C000000}"/>
    <hyperlink ref="J111" r:id="rId142" xr:uid="{00000000-0004-0000-0100-00008D000000}"/>
    <hyperlink ref="N111" r:id="rId143" xr:uid="{00000000-0004-0000-0100-00008E000000}"/>
    <hyperlink ref="J112" r:id="rId144" xr:uid="{00000000-0004-0000-0100-00008F000000}"/>
    <hyperlink ref="N112" r:id="rId145" xr:uid="{00000000-0004-0000-0100-000090000000}"/>
    <hyperlink ref="J113" r:id="rId146" xr:uid="{00000000-0004-0000-0100-000091000000}"/>
    <hyperlink ref="N113" r:id="rId147" xr:uid="{00000000-0004-0000-0100-000092000000}"/>
    <hyperlink ref="J114" r:id="rId148" xr:uid="{00000000-0004-0000-0100-000093000000}"/>
    <hyperlink ref="N114" r:id="rId149" xr:uid="{00000000-0004-0000-0100-000094000000}"/>
    <hyperlink ref="J115" r:id="rId150" xr:uid="{00000000-0004-0000-0100-000095000000}"/>
    <hyperlink ref="J116" r:id="rId151" xr:uid="{00000000-0004-0000-0100-000096000000}"/>
    <hyperlink ref="N116" r:id="rId152" xr:uid="{00000000-0004-0000-0100-000097000000}"/>
    <hyperlink ref="J117" r:id="rId153" xr:uid="{00000000-0004-0000-0100-000098000000}"/>
    <hyperlink ref="N117" r:id="rId154" xr:uid="{00000000-0004-0000-0100-000099000000}"/>
    <hyperlink ref="J118" r:id="rId155" xr:uid="{00000000-0004-0000-0100-00009A000000}"/>
    <hyperlink ref="N118" r:id="rId156" xr:uid="{00000000-0004-0000-0100-00009B000000}"/>
    <hyperlink ref="N119" r:id="rId157" xr:uid="{00000000-0004-0000-0100-00009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437"/>
  <sheetViews>
    <sheetView workbookViewId="0">
      <pane ySplit="1" topLeftCell="A314" activePane="bottomLeft" state="frozen"/>
      <selection pane="bottomLeft" activeCell="E316" sqref="E1:E1048576"/>
    </sheetView>
  </sheetViews>
  <sheetFormatPr defaultColWidth="12.6328125" defaultRowHeight="12.5"/>
  <cols>
    <col min="1" max="1" width="23.6328125" style="73" bestFit="1" customWidth="1"/>
    <col min="2" max="2" width="21.6328125" style="73" customWidth="1"/>
    <col min="3" max="3" width="15.90625" style="73" customWidth="1"/>
    <col min="4" max="4" width="17.6328125" style="73" customWidth="1"/>
    <col min="5" max="7" width="18.90625" style="73" customWidth="1"/>
    <col min="8" max="8" width="12.6328125" style="73"/>
    <col min="9" max="9" width="31.7265625" style="73" customWidth="1"/>
    <col min="10" max="10" width="13.7265625" style="73" customWidth="1"/>
    <col min="11" max="11" width="16" style="73" customWidth="1"/>
    <col min="12" max="12" width="14" style="73" customWidth="1"/>
    <col min="13" max="16384" width="12.6328125" style="73"/>
  </cols>
  <sheetData>
    <row r="1" spans="1:16" ht="25">
      <c r="A1" s="72" t="s">
        <v>3439</v>
      </c>
      <c r="B1" s="72" t="s">
        <v>3440</v>
      </c>
      <c r="C1" s="72" t="s">
        <v>7676</v>
      </c>
      <c r="D1" s="72" t="s">
        <v>7688</v>
      </c>
      <c r="E1" s="72" t="s">
        <v>7689</v>
      </c>
      <c r="F1" s="3" t="s">
        <v>7691</v>
      </c>
      <c r="G1" s="3" t="s">
        <v>7690</v>
      </c>
      <c r="H1" s="72" t="s">
        <v>7675</v>
      </c>
      <c r="I1" s="72" t="s">
        <v>7684</v>
      </c>
      <c r="J1" s="72" t="s">
        <v>7674</v>
      </c>
      <c r="K1" s="72" t="s">
        <v>7685</v>
      </c>
      <c r="L1" s="72" t="s">
        <v>3438</v>
      </c>
    </row>
    <row r="2" spans="1:16" ht="62.5">
      <c r="A2" s="74" t="s">
        <v>4099</v>
      </c>
      <c r="B2" s="74" t="s">
        <v>4099</v>
      </c>
      <c r="C2" s="74" t="s">
        <v>4099</v>
      </c>
      <c r="D2" s="74" t="s">
        <v>4099</v>
      </c>
      <c r="E2" s="74" t="s">
        <v>8054</v>
      </c>
      <c r="F2" s="74" t="s">
        <v>4099</v>
      </c>
      <c r="G2" s="74" t="s">
        <v>4099</v>
      </c>
      <c r="H2" s="74" t="s">
        <v>4099</v>
      </c>
      <c r="I2" s="74" t="s">
        <v>4100</v>
      </c>
      <c r="J2" s="75">
        <v>2018</v>
      </c>
      <c r="K2" s="76" t="s">
        <v>4101</v>
      </c>
      <c r="L2" s="77" t="s">
        <v>7679</v>
      </c>
      <c r="M2" s="78" t="s">
        <v>4102</v>
      </c>
      <c r="P2" s="73" t="s">
        <v>7692</v>
      </c>
    </row>
    <row r="3" spans="1:16" ht="25">
      <c r="A3" s="74" t="s">
        <v>4099</v>
      </c>
      <c r="B3" s="74" t="s">
        <v>4099</v>
      </c>
      <c r="C3" s="74" t="s">
        <v>4099</v>
      </c>
      <c r="D3" s="74" t="s">
        <v>4099</v>
      </c>
      <c r="E3" s="74" t="s">
        <v>8054</v>
      </c>
      <c r="F3" s="74" t="s">
        <v>4099</v>
      </c>
      <c r="G3" s="74" t="s">
        <v>4099</v>
      </c>
      <c r="H3" s="74" t="s">
        <v>4099</v>
      </c>
      <c r="I3" s="74" t="s">
        <v>4103</v>
      </c>
      <c r="J3" s="79" t="s">
        <v>4104</v>
      </c>
      <c r="K3" s="76" t="s">
        <v>4101</v>
      </c>
      <c r="L3" s="77" t="s">
        <v>4105</v>
      </c>
      <c r="M3" s="78" t="s">
        <v>4106</v>
      </c>
    </row>
    <row r="4" spans="1:16">
      <c r="A4" s="74" t="s">
        <v>4099</v>
      </c>
      <c r="B4" s="74" t="s">
        <v>4099</v>
      </c>
      <c r="C4" s="74" t="s">
        <v>4099</v>
      </c>
      <c r="D4" s="74" t="s">
        <v>4099</v>
      </c>
      <c r="E4" s="74" t="s">
        <v>8054</v>
      </c>
      <c r="F4" s="74" t="s">
        <v>4099</v>
      </c>
      <c r="G4" s="74" t="s">
        <v>4099</v>
      </c>
      <c r="H4" s="74" t="s">
        <v>4099</v>
      </c>
      <c r="I4" s="74" t="s">
        <v>4107</v>
      </c>
      <c r="J4" s="79" t="s">
        <v>3647</v>
      </c>
      <c r="K4" s="79" t="s">
        <v>4101</v>
      </c>
      <c r="L4" s="80" t="s">
        <v>4108</v>
      </c>
      <c r="M4" s="78" t="s">
        <v>4109</v>
      </c>
    </row>
    <row r="5" spans="1:16">
      <c r="A5" s="74" t="s">
        <v>4099</v>
      </c>
      <c r="B5" s="74" t="s">
        <v>4099</v>
      </c>
      <c r="C5" s="74" t="s">
        <v>4099</v>
      </c>
      <c r="D5" s="74" t="s">
        <v>4099</v>
      </c>
      <c r="E5" s="74" t="s">
        <v>8054</v>
      </c>
      <c r="F5" s="74" t="s">
        <v>4099</v>
      </c>
      <c r="G5" s="74" t="s">
        <v>4099</v>
      </c>
      <c r="H5" s="74" t="s">
        <v>4099</v>
      </c>
      <c r="I5" s="74" t="s">
        <v>4110</v>
      </c>
      <c r="J5" s="81" t="s">
        <v>4111</v>
      </c>
      <c r="K5" s="72" t="s">
        <v>4112</v>
      </c>
      <c r="L5" s="80" t="s">
        <v>4113</v>
      </c>
      <c r="M5" s="78" t="s">
        <v>4114</v>
      </c>
    </row>
    <row r="6" spans="1:16">
      <c r="A6" s="74" t="s">
        <v>4099</v>
      </c>
      <c r="B6" s="74" t="s">
        <v>4099</v>
      </c>
      <c r="C6" s="74" t="s">
        <v>4099</v>
      </c>
      <c r="D6" s="74" t="s">
        <v>4099</v>
      </c>
      <c r="E6" s="74" t="s">
        <v>8054</v>
      </c>
      <c r="F6" s="74" t="s">
        <v>4099</v>
      </c>
      <c r="G6" s="74" t="s">
        <v>4099</v>
      </c>
      <c r="H6" s="74" t="s">
        <v>4099</v>
      </c>
      <c r="I6" s="74" t="s">
        <v>4115</v>
      </c>
      <c r="J6" s="79" t="s">
        <v>3482</v>
      </c>
      <c r="K6" s="82" t="s">
        <v>4101</v>
      </c>
      <c r="L6" s="80" t="s">
        <v>4116</v>
      </c>
      <c r="M6" s="78" t="s">
        <v>4117</v>
      </c>
    </row>
    <row r="7" spans="1:16">
      <c r="A7" s="74" t="s">
        <v>4099</v>
      </c>
      <c r="B7" s="74" t="s">
        <v>4099</v>
      </c>
      <c r="C7" s="74" t="s">
        <v>4099</v>
      </c>
      <c r="D7" s="74" t="s">
        <v>4099</v>
      </c>
      <c r="E7" s="74" t="s">
        <v>8054</v>
      </c>
      <c r="F7" s="74" t="s">
        <v>4099</v>
      </c>
      <c r="G7" s="74" t="s">
        <v>4099</v>
      </c>
      <c r="H7" s="74" t="s">
        <v>4099</v>
      </c>
      <c r="I7" s="74" t="s">
        <v>4118</v>
      </c>
      <c r="J7" s="72" t="s">
        <v>4119</v>
      </c>
      <c r="K7" s="82" t="s">
        <v>4112</v>
      </c>
      <c r="L7" s="80" t="s">
        <v>4120</v>
      </c>
      <c r="M7" s="78" t="s">
        <v>4121</v>
      </c>
    </row>
    <row r="8" spans="1:16" ht="50">
      <c r="A8" s="74" t="s">
        <v>1220</v>
      </c>
      <c r="B8" s="2" t="s">
        <v>1306</v>
      </c>
      <c r="C8" s="83" t="s">
        <v>4122</v>
      </c>
      <c r="D8" s="72" t="s">
        <v>7875</v>
      </c>
      <c r="E8" s="72" t="s">
        <v>7820</v>
      </c>
      <c r="F8" s="8" t="s">
        <v>7876</v>
      </c>
      <c r="G8" s="8" t="s">
        <v>7732</v>
      </c>
      <c r="H8" s="74" t="s">
        <v>1308</v>
      </c>
      <c r="I8" s="74" t="s">
        <v>4123</v>
      </c>
      <c r="J8" s="72" t="s">
        <v>4124</v>
      </c>
      <c r="K8" s="72" t="s">
        <v>4101</v>
      </c>
      <c r="L8" s="80" t="s">
        <v>4125</v>
      </c>
      <c r="M8" s="78" t="s">
        <v>4126</v>
      </c>
    </row>
    <row r="9" spans="1:16" ht="37.5">
      <c r="A9" s="74" t="s">
        <v>1220</v>
      </c>
      <c r="B9" s="72" t="s">
        <v>1386</v>
      </c>
      <c r="C9" s="72" t="s">
        <v>4127</v>
      </c>
      <c r="D9" s="72" t="s">
        <v>4127</v>
      </c>
      <c r="E9" s="72" t="s">
        <v>7747</v>
      </c>
      <c r="F9" s="8" t="s">
        <v>7748</v>
      </c>
      <c r="G9" s="8" t="s">
        <v>7732</v>
      </c>
      <c r="H9" s="74" t="s">
        <v>4128</v>
      </c>
      <c r="I9" s="74" t="s">
        <v>4129</v>
      </c>
      <c r="J9" s="84" t="s">
        <v>4130</v>
      </c>
      <c r="K9" s="72" t="s">
        <v>4101</v>
      </c>
      <c r="L9" s="80" t="s">
        <v>4131</v>
      </c>
      <c r="M9" s="78" t="s">
        <v>4132</v>
      </c>
    </row>
    <row r="10" spans="1:16" ht="37.5">
      <c r="A10" s="74" t="s">
        <v>1220</v>
      </c>
      <c r="B10" s="82" t="s">
        <v>1270</v>
      </c>
      <c r="C10" s="2" t="s">
        <v>1279</v>
      </c>
      <c r="D10" s="72" t="s">
        <v>1279</v>
      </c>
      <c r="E10" s="72" t="s">
        <v>7739</v>
      </c>
      <c r="F10" s="8" t="s">
        <v>7740</v>
      </c>
      <c r="G10" s="8" t="s">
        <v>7732</v>
      </c>
      <c r="H10" s="74" t="s">
        <v>4133</v>
      </c>
      <c r="I10" s="74" t="s">
        <v>4134</v>
      </c>
      <c r="J10" s="79" t="s">
        <v>4130</v>
      </c>
      <c r="K10" s="72" t="s">
        <v>4101</v>
      </c>
      <c r="L10" s="80" t="s">
        <v>7680</v>
      </c>
      <c r="M10" s="78" t="s">
        <v>4135</v>
      </c>
    </row>
    <row r="11" spans="1:16" ht="25">
      <c r="A11" s="74" t="s">
        <v>1220</v>
      </c>
      <c r="B11" s="72" t="s">
        <v>1221</v>
      </c>
      <c r="C11" s="85" t="s">
        <v>7681</v>
      </c>
      <c r="D11" s="72" t="s">
        <v>7877</v>
      </c>
      <c r="E11" s="72" t="s">
        <v>7878</v>
      </c>
      <c r="F11" s="8" t="s">
        <v>8056</v>
      </c>
      <c r="G11" s="8" t="s">
        <v>7732</v>
      </c>
      <c r="H11" s="74" t="s">
        <v>4136</v>
      </c>
      <c r="I11" s="74" t="s">
        <v>7682</v>
      </c>
      <c r="J11" s="79" t="s">
        <v>4137</v>
      </c>
      <c r="K11" s="82" t="s">
        <v>4112</v>
      </c>
      <c r="L11" s="80" t="s">
        <v>4138</v>
      </c>
      <c r="M11" s="78" t="s">
        <v>4139</v>
      </c>
    </row>
    <row r="12" spans="1:16" ht="112.5">
      <c r="A12" s="74" t="s">
        <v>1220</v>
      </c>
      <c r="B12" s="72" t="s">
        <v>1221</v>
      </c>
      <c r="C12" s="85" t="s">
        <v>7681</v>
      </c>
      <c r="D12" s="72" t="s">
        <v>7877</v>
      </c>
      <c r="E12" s="72" t="s">
        <v>7878</v>
      </c>
      <c r="F12" s="8" t="s">
        <v>8056</v>
      </c>
      <c r="G12" s="8" t="s">
        <v>7732</v>
      </c>
      <c r="H12" s="74" t="s">
        <v>4136</v>
      </c>
      <c r="I12" s="74" t="s">
        <v>4140</v>
      </c>
      <c r="J12" s="72" t="s">
        <v>4141</v>
      </c>
      <c r="K12" s="82" t="s">
        <v>4101</v>
      </c>
      <c r="L12" s="80" t="s">
        <v>4142</v>
      </c>
      <c r="M12" s="78" t="s">
        <v>4143</v>
      </c>
    </row>
    <row r="13" spans="1:16" ht="25">
      <c r="A13" s="74" t="s">
        <v>1220</v>
      </c>
      <c r="B13" s="72" t="s">
        <v>1341</v>
      </c>
      <c r="C13" s="72" t="s">
        <v>4144</v>
      </c>
      <c r="D13" s="72" t="s">
        <v>4144</v>
      </c>
      <c r="E13" s="72" t="s">
        <v>7775</v>
      </c>
      <c r="F13" s="8" t="s">
        <v>7776</v>
      </c>
      <c r="G13" s="8" t="s">
        <v>7732</v>
      </c>
      <c r="H13" s="74" t="s">
        <v>4145</v>
      </c>
      <c r="I13" s="74" t="s">
        <v>4146</v>
      </c>
      <c r="J13" s="72"/>
      <c r="K13" s="72"/>
      <c r="L13" s="80" t="s">
        <v>4147</v>
      </c>
      <c r="M13" s="78" t="s">
        <v>4148</v>
      </c>
    </row>
    <row r="14" spans="1:16" ht="25">
      <c r="A14" s="74" t="s">
        <v>1220</v>
      </c>
      <c r="B14" s="72" t="s">
        <v>1306</v>
      </c>
      <c r="C14" s="72" t="s">
        <v>4149</v>
      </c>
      <c r="D14" s="72" t="s">
        <v>4149</v>
      </c>
      <c r="E14" s="72" t="s">
        <v>7879</v>
      </c>
      <c r="F14" s="8" t="s">
        <v>7876</v>
      </c>
      <c r="G14" s="8" t="s">
        <v>7732</v>
      </c>
      <c r="H14" s="74" t="s">
        <v>4150</v>
      </c>
      <c r="I14" s="74" t="s">
        <v>4151</v>
      </c>
      <c r="J14" s="72" t="s">
        <v>4152</v>
      </c>
      <c r="K14" s="82"/>
      <c r="L14" s="81"/>
      <c r="M14" s="78" t="s">
        <v>4153</v>
      </c>
    </row>
    <row r="15" spans="1:16" ht="37.5">
      <c r="A15" s="74" t="s">
        <v>1220</v>
      </c>
      <c r="B15" s="72" t="s">
        <v>1341</v>
      </c>
      <c r="C15" s="72" t="s">
        <v>4154</v>
      </c>
      <c r="D15" s="72" t="s">
        <v>4154</v>
      </c>
      <c r="E15" s="72" t="s">
        <v>7880</v>
      </c>
      <c r="F15" s="8" t="s">
        <v>7776</v>
      </c>
      <c r="G15" s="8" t="s">
        <v>7732</v>
      </c>
      <c r="H15" s="74" t="s">
        <v>4155</v>
      </c>
      <c r="I15" s="74" t="s">
        <v>4156</v>
      </c>
      <c r="J15" s="72" t="s">
        <v>4157</v>
      </c>
      <c r="K15" s="82" t="s">
        <v>4112</v>
      </c>
      <c r="L15" s="86" t="s">
        <v>4158</v>
      </c>
      <c r="M15" s="78" t="s">
        <v>4159</v>
      </c>
    </row>
    <row r="16" spans="1:16" ht="25">
      <c r="A16" s="74" t="s">
        <v>1220</v>
      </c>
      <c r="B16" s="87" t="s">
        <v>1386</v>
      </c>
      <c r="C16" s="72" t="s">
        <v>4160</v>
      </c>
      <c r="D16" s="72" t="s">
        <v>4160</v>
      </c>
      <c r="E16" s="72" t="s">
        <v>7881</v>
      </c>
      <c r="F16" s="8" t="s">
        <v>7748</v>
      </c>
      <c r="G16" s="8" t="s">
        <v>7732</v>
      </c>
      <c r="H16" s="74" t="s">
        <v>4161</v>
      </c>
      <c r="I16" s="74" t="s">
        <v>4162</v>
      </c>
      <c r="J16" s="72" t="s">
        <v>4163</v>
      </c>
      <c r="K16" s="82" t="s">
        <v>4112</v>
      </c>
      <c r="L16" s="80" t="s">
        <v>4164</v>
      </c>
      <c r="M16" s="78" t="s">
        <v>4165</v>
      </c>
    </row>
    <row r="17" spans="1:13" ht="25">
      <c r="A17" s="74" t="s">
        <v>17</v>
      </c>
      <c r="B17" s="72" t="s">
        <v>18</v>
      </c>
      <c r="C17" s="88" t="s">
        <v>3704</v>
      </c>
      <c r="D17" s="72" t="s">
        <v>3704</v>
      </c>
      <c r="E17" s="72" t="s">
        <v>7699</v>
      </c>
      <c r="F17" s="8" t="s">
        <v>7786</v>
      </c>
      <c r="G17" s="8" t="s">
        <v>7699</v>
      </c>
      <c r="H17" s="74" t="s">
        <v>4166</v>
      </c>
      <c r="I17" s="74" t="s">
        <v>4167</v>
      </c>
      <c r="J17" s="75" t="s">
        <v>4168</v>
      </c>
      <c r="K17" s="82" t="s">
        <v>4112</v>
      </c>
      <c r="L17" s="80" t="s">
        <v>4169</v>
      </c>
      <c r="M17" s="78" t="s">
        <v>4170</v>
      </c>
    </row>
    <row r="18" spans="1:13" ht="25">
      <c r="A18" s="74" t="s">
        <v>17</v>
      </c>
      <c r="B18" s="72" t="s">
        <v>18</v>
      </c>
      <c r="C18" s="88" t="s">
        <v>3704</v>
      </c>
      <c r="D18" s="72" t="s">
        <v>3704</v>
      </c>
      <c r="E18" s="72" t="s">
        <v>7699</v>
      </c>
      <c r="F18" s="8" t="s">
        <v>7786</v>
      </c>
      <c r="G18" s="8" t="s">
        <v>7699</v>
      </c>
      <c r="H18" s="74" t="s">
        <v>4166</v>
      </c>
      <c r="I18" s="74" t="s">
        <v>4171</v>
      </c>
      <c r="J18" s="72" t="s">
        <v>4172</v>
      </c>
      <c r="K18" s="82" t="s">
        <v>4101</v>
      </c>
      <c r="M18" s="78" t="s">
        <v>4173</v>
      </c>
    </row>
    <row r="19" spans="1:13" ht="25">
      <c r="A19" s="74" t="s">
        <v>17</v>
      </c>
      <c r="B19" s="72" t="s">
        <v>18</v>
      </c>
      <c r="C19" s="88" t="s">
        <v>3704</v>
      </c>
      <c r="D19" s="72" t="s">
        <v>3704</v>
      </c>
      <c r="E19" s="72" t="s">
        <v>7699</v>
      </c>
      <c r="F19" s="8" t="s">
        <v>7786</v>
      </c>
      <c r="G19" s="8" t="s">
        <v>7699</v>
      </c>
      <c r="H19" s="74" t="s">
        <v>4166</v>
      </c>
      <c r="I19" s="74" t="s">
        <v>4174</v>
      </c>
      <c r="J19" s="75" t="s">
        <v>4175</v>
      </c>
      <c r="K19" s="82" t="s">
        <v>4112</v>
      </c>
      <c r="L19" s="80" t="s">
        <v>4176</v>
      </c>
      <c r="M19" s="78" t="s">
        <v>4177</v>
      </c>
    </row>
    <row r="20" spans="1:13" ht="25">
      <c r="A20" s="74" t="s">
        <v>17</v>
      </c>
      <c r="B20" s="72" t="s">
        <v>18</v>
      </c>
      <c r="C20" s="88" t="s">
        <v>3704</v>
      </c>
      <c r="D20" s="72" t="s">
        <v>3704</v>
      </c>
      <c r="E20" s="72" t="s">
        <v>7699</v>
      </c>
      <c r="F20" s="8" t="s">
        <v>7786</v>
      </c>
      <c r="G20" s="8" t="s">
        <v>7699</v>
      </c>
      <c r="H20" s="74" t="s">
        <v>4166</v>
      </c>
      <c r="I20" s="74" t="s">
        <v>4178</v>
      </c>
      <c r="J20" s="72" t="s">
        <v>4179</v>
      </c>
      <c r="K20" s="82" t="s">
        <v>4112</v>
      </c>
      <c r="L20" s="80" t="s">
        <v>4180</v>
      </c>
      <c r="M20" s="78" t="s">
        <v>4181</v>
      </c>
    </row>
    <row r="21" spans="1:13" ht="25">
      <c r="A21" s="74" t="s">
        <v>17</v>
      </c>
      <c r="B21" s="72" t="s">
        <v>98</v>
      </c>
      <c r="C21" s="72" t="s">
        <v>3947</v>
      </c>
      <c r="D21" s="72" t="s">
        <v>3947</v>
      </c>
      <c r="E21" s="72" t="s">
        <v>7840</v>
      </c>
      <c r="F21" s="8" t="s">
        <v>7841</v>
      </c>
      <c r="G21" s="8" t="s">
        <v>7699</v>
      </c>
      <c r="H21" s="74" t="s">
        <v>4182</v>
      </c>
      <c r="I21" s="74" t="s">
        <v>4183</v>
      </c>
      <c r="J21" s="72"/>
      <c r="K21" s="82" t="s">
        <v>4112</v>
      </c>
      <c r="L21" s="80" t="s">
        <v>4184</v>
      </c>
      <c r="M21" s="78" t="s">
        <v>4185</v>
      </c>
    </row>
    <row r="22" spans="1:13" ht="37.5">
      <c r="A22" s="2" t="s">
        <v>17</v>
      </c>
      <c r="B22" s="2" t="s">
        <v>151</v>
      </c>
      <c r="C22" s="2" t="s">
        <v>154</v>
      </c>
      <c r="D22" s="72" t="s">
        <v>154</v>
      </c>
      <c r="E22" s="72" t="s">
        <v>7882</v>
      </c>
      <c r="F22" s="8" t="s">
        <v>7883</v>
      </c>
      <c r="G22" s="8" t="s">
        <v>7699</v>
      </c>
      <c r="H22" s="74" t="s">
        <v>4186</v>
      </c>
      <c r="I22" s="74" t="s">
        <v>4187</v>
      </c>
      <c r="J22" s="72" t="s">
        <v>4188</v>
      </c>
      <c r="K22" s="82" t="s">
        <v>4112</v>
      </c>
      <c r="L22" s="80" t="s">
        <v>4189</v>
      </c>
      <c r="M22" s="78" t="s">
        <v>4190</v>
      </c>
    </row>
    <row r="23" spans="1:13" ht="37.5">
      <c r="A23" s="74" t="s">
        <v>171</v>
      </c>
      <c r="B23" s="73" t="s">
        <v>256</v>
      </c>
      <c r="C23" s="72" t="s">
        <v>4191</v>
      </c>
      <c r="D23" s="72" t="s">
        <v>4191</v>
      </c>
      <c r="E23" s="72" t="s">
        <v>7712</v>
      </c>
      <c r="F23" s="8" t="s">
        <v>7713</v>
      </c>
      <c r="G23" s="8" t="s">
        <v>7714</v>
      </c>
      <c r="H23" s="74" t="s">
        <v>4192</v>
      </c>
      <c r="I23" s="74" t="s">
        <v>4193</v>
      </c>
      <c r="J23" s="72">
        <v>2018</v>
      </c>
      <c r="K23" s="82" t="s">
        <v>4101</v>
      </c>
      <c r="L23" s="80" t="s">
        <v>4194</v>
      </c>
      <c r="M23" s="78" t="s">
        <v>4195</v>
      </c>
    </row>
    <row r="24" spans="1:13" ht="37.5">
      <c r="A24" s="74" t="s">
        <v>171</v>
      </c>
      <c r="B24" s="73" t="s">
        <v>256</v>
      </c>
      <c r="C24" s="72" t="s">
        <v>4191</v>
      </c>
      <c r="D24" s="72" t="s">
        <v>4191</v>
      </c>
      <c r="E24" s="72" t="s">
        <v>7712</v>
      </c>
      <c r="F24" s="8" t="s">
        <v>7713</v>
      </c>
      <c r="G24" s="8" t="s">
        <v>7714</v>
      </c>
      <c r="H24" s="74" t="s">
        <v>4192</v>
      </c>
      <c r="I24" s="74" t="s">
        <v>4196</v>
      </c>
      <c r="J24" s="79" t="s">
        <v>4197</v>
      </c>
      <c r="K24" s="82" t="s">
        <v>4112</v>
      </c>
      <c r="L24" s="80" t="s">
        <v>4198</v>
      </c>
      <c r="M24" s="78" t="s">
        <v>4199</v>
      </c>
    </row>
    <row r="25" spans="1:13" ht="37.5">
      <c r="A25" s="74" t="s">
        <v>171</v>
      </c>
      <c r="B25" s="73" t="s">
        <v>256</v>
      </c>
      <c r="C25" s="72" t="s">
        <v>4191</v>
      </c>
      <c r="D25" s="72" t="s">
        <v>4191</v>
      </c>
      <c r="E25" s="72" t="s">
        <v>7712</v>
      </c>
      <c r="F25" s="8" t="s">
        <v>7713</v>
      </c>
      <c r="G25" s="8" t="s">
        <v>7714</v>
      </c>
      <c r="H25" s="74" t="s">
        <v>4192</v>
      </c>
      <c r="I25" s="74" t="s">
        <v>4200</v>
      </c>
      <c r="J25" s="79" t="s">
        <v>4201</v>
      </c>
      <c r="K25" s="72" t="s">
        <v>4101</v>
      </c>
      <c r="L25" s="80" t="s">
        <v>4202</v>
      </c>
      <c r="M25" s="78" t="s">
        <v>4203</v>
      </c>
    </row>
    <row r="26" spans="1:13" ht="37.5">
      <c r="A26" s="74" t="s">
        <v>171</v>
      </c>
      <c r="B26" s="73" t="s">
        <v>256</v>
      </c>
      <c r="C26" s="72" t="s">
        <v>4191</v>
      </c>
      <c r="D26" s="72" t="s">
        <v>4191</v>
      </c>
      <c r="E26" s="72" t="s">
        <v>7712</v>
      </c>
      <c r="F26" s="8" t="s">
        <v>7713</v>
      </c>
      <c r="G26" s="8" t="s">
        <v>7714</v>
      </c>
      <c r="H26" s="74" t="s">
        <v>4192</v>
      </c>
      <c r="I26" s="74" t="s">
        <v>4204</v>
      </c>
      <c r="J26" s="75" t="s">
        <v>4205</v>
      </c>
      <c r="K26" s="72"/>
      <c r="L26" s="80" t="s">
        <v>4206</v>
      </c>
      <c r="M26" s="78" t="s">
        <v>4207</v>
      </c>
    </row>
    <row r="27" spans="1:13" ht="25">
      <c r="A27" s="74" t="s">
        <v>171</v>
      </c>
      <c r="B27" s="72" t="s">
        <v>207</v>
      </c>
      <c r="C27" s="72" t="s">
        <v>4208</v>
      </c>
      <c r="D27" s="72" t="s">
        <v>4208</v>
      </c>
      <c r="E27" s="72" t="s">
        <v>7884</v>
      </c>
      <c r="F27" s="8" t="s">
        <v>7719</v>
      </c>
      <c r="G27" s="8" t="s">
        <v>7714</v>
      </c>
      <c r="H27" s="74" t="s">
        <v>4209</v>
      </c>
      <c r="I27" s="74" t="s">
        <v>4210</v>
      </c>
      <c r="J27" s="79" t="s">
        <v>4211</v>
      </c>
      <c r="K27" s="72" t="s">
        <v>4101</v>
      </c>
      <c r="L27" s="80" t="s">
        <v>4212</v>
      </c>
      <c r="M27" s="78" t="s">
        <v>4213</v>
      </c>
    </row>
    <row r="28" spans="1:13" ht="25">
      <c r="A28" s="74" t="s">
        <v>171</v>
      </c>
      <c r="B28" s="72" t="s">
        <v>207</v>
      </c>
      <c r="C28" s="72" t="s">
        <v>4208</v>
      </c>
      <c r="D28" s="72" t="s">
        <v>4208</v>
      </c>
      <c r="E28" s="72" t="s">
        <v>7884</v>
      </c>
      <c r="F28" s="8" t="s">
        <v>7719</v>
      </c>
      <c r="G28" s="8" t="s">
        <v>7714</v>
      </c>
      <c r="H28" s="74" t="s">
        <v>4209</v>
      </c>
      <c r="I28" s="74" t="s">
        <v>4214</v>
      </c>
      <c r="J28" s="81" t="s">
        <v>4215</v>
      </c>
      <c r="K28" s="75" t="s">
        <v>4112</v>
      </c>
      <c r="L28" s="80" t="s">
        <v>4216</v>
      </c>
      <c r="M28" s="78" t="s">
        <v>4217</v>
      </c>
    </row>
    <row r="29" spans="1:13" ht="25">
      <c r="A29" s="74" t="s">
        <v>171</v>
      </c>
      <c r="B29" s="72" t="s">
        <v>172</v>
      </c>
      <c r="C29" s="72" t="s">
        <v>4218</v>
      </c>
      <c r="D29" s="72" t="s">
        <v>4218</v>
      </c>
      <c r="E29" s="72" t="s">
        <v>7885</v>
      </c>
      <c r="F29" s="8" t="s">
        <v>6390</v>
      </c>
      <c r="G29" s="8" t="s">
        <v>7714</v>
      </c>
      <c r="H29" s="74" t="s">
        <v>4219</v>
      </c>
      <c r="I29" s="74" t="s">
        <v>4220</v>
      </c>
      <c r="J29" s="84" t="s">
        <v>4221</v>
      </c>
      <c r="K29" s="75" t="s">
        <v>4112</v>
      </c>
      <c r="L29" s="80" t="s">
        <v>4222</v>
      </c>
      <c r="M29" s="78" t="s">
        <v>4223</v>
      </c>
    </row>
    <row r="30" spans="1:13" ht="37.5">
      <c r="A30" s="74" t="s">
        <v>171</v>
      </c>
      <c r="B30" s="72" t="s">
        <v>172</v>
      </c>
      <c r="C30" s="72" t="s">
        <v>4224</v>
      </c>
      <c r="D30" s="72" t="s">
        <v>4224</v>
      </c>
      <c r="E30" s="72" t="s">
        <v>8055</v>
      </c>
      <c r="F30" s="8" t="s">
        <v>6390</v>
      </c>
      <c r="G30" s="8" t="s">
        <v>7714</v>
      </c>
      <c r="H30" s="74" t="s">
        <v>4225</v>
      </c>
      <c r="I30" s="74" t="s">
        <v>4226</v>
      </c>
      <c r="J30" s="89">
        <v>2017</v>
      </c>
      <c r="K30" s="72"/>
      <c r="L30" s="80" t="s">
        <v>4227</v>
      </c>
      <c r="M30" s="78" t="s">
        <v>4228</v>
      </c>
    </row>
    <row r="31" spans="1:13" ht="25">
      <c r="A31" s="74" t="s">
        <v>171</v>
      </c>
      <c r="B31" s="72" t="s">
        <v>256</v>
      </c>
      <c r="C31" s="72" t="s">
        <v>4229</v>
      </c>
      <c r="D31" s="72" t="s">
        <v>4229</v>
      </c>
      <c r="E31" s="72" t="s">
        <v>7853</v>
      </c>
      <c r="F31" s="8" t="s">
        <v>7713</v>
      </c>
      <c r="G31" s="8" t="s">
        <v>7714</v>
      </c>
      <c r="H31" s="74" t="s">
        <v>4230</v>
      </c>
      <c r="I31" s="74" t="s">
        <v>4231</v>
      </c>
      <c r="J31" s="72"/>
      <c r="K31" s="90" t="s">
        <v>4112</v>
      </c>
      <c r="L31" s="80" t="s">
        <v>4232</v>
      </c>
      <c r="M31" s="78" t="s">
        <v>4233</v>
      </c>
    </row>
    <row r="32" spans="1:13" ht="25">
      <c r="A32" s="74" t="s">
        <v>171</v>
      </c>
      <c r="B32" s="72" t="s">
        <v>256</v>
      </c>
      <c r="C32" s="72" t="s">
        <v>4020</v>
      </c>
      <c r="D32" s="72" t="s">
        <v>4020</v>
      </c>
      <c r="E32" s="72" t="s">
        <v>7856</v>
      </c>
      <c r="F32" s="8" t="s">
        <v>7713</v>
      </c>
      <c r="G32" s="8" t="s">
        <v>7714</v>
      </c>
      <c r="H32" s="74" t="s">
        <v>4234</v>
      </c>
      <c r="I32" s="74" t="s">
        <v>4235</v>
      </c>
      <c r="J32" s="79" t="s">
        <v>4236</v>
      </c>
      <c r="K32" s="90" t="s">
        <v>4112</v>
      </c>
      <c r="L32" s="80" t="s">
        <v>4237</v>
      </c>
      <c r="M32" s="78" t="s">
        <v>4238</v>
      </c>
    </row>
    <row r="33" spans="1:13" ht="25">
      <c r="A33" s="74" t="s">
        <v>171</v>
      </c>
      <c r="B33" s="72" t="s">
        <v>256</v>
      </c>
      <c r="C33" s="72" t="s">
        <v>4020</v>
      </c>
      <c r="D33" s="72" t="s">
        <v>4020</v>
      </c>
      <c r="E33" s="72" t="s">
        <v>7856</v>
      </c>
      <c r="F33" s="8" t="s">
        <v>7713</v>
      </c>
      <c r="G33" s="8" t="s">
        <v>7714</v>
      </c>
      <c r="H33" s="74" t="s">
        <v>4234</v>
      </c>
      <c r="I33" s="74" t="s">
        <v>4239</v>
      </c>
      <c r="J33" s="72"/>
      <c r="K33" s="72"/>
      <c r="L33" s="80" t="s">
        <v>4024</v>
      </c>
      <c r="M33" s="78" t="s">
        <v>4240</v>
      </c>
    </row>
    <row r="34" spans="1:13" ht="25">
      <c r="A34" s="74" t="s">
        <v>171</v>
      </c>
      <c r="B34" s="72" t="s">
        <v>256</v>
      </c>
      <c r="C34" s="72" t="s">
        <v>4241</v>
      </c>
      <c r="D34" s="72" t="s">
        <v>4241</v>
      </c>
      <c r="E34" s="72" t="s">
        <v>7886</v>
      </c>
      <c r="F34" s="8" t="s">
        <v>7713</v>
      </c>
      <c r="G34" s="8" t="s">
        <v>7714</v>
      </c>
      <c r="H34" s="74" t="s">
        <v>4242</v>
      </c>
      <c r="I34" s="74" t="s">
        <v>4243</v>
      </c>
      <c r="J34" s="72"/>
      <c r="K34" s="72"/>
      <c r="L34" s="80" t="s">
        <v>4244</v>
      </c>
      <c r="M34" s="78" t="s">
        <v>4245</v>
      </c>
    </row>
    <row r="35" spans="1:13" ht="25">
      <c r="A35" s="74" t="s">
        <v>171</v>
      </c>
      <c r="B35" s="72" t="s">
        <v>172</v>
      </c>
      <c r="C35" s="72" t="s">
        <v>4246</v>
      </c>
      <c r="D35" s="72" t="s">
        <v>4246</v>
      </c>
      <c r="E35" s="72" t="s">
        <v>7887</v>
      </c>
      <c r="F35" s="8" t="s">
        <v>6390</v>
      </c>
      <c r="G35" s="8" t="s">
        <v>7714</v>
      </c>
      <c r="H35" s="74" t="s">
        <v>4247</v>
      </c>
      <c r="I35" s="74" t="s">
        <v>4248</v>
      </c>
      <c r="J35" s="72" t="s">
        <v>4249</v>
      </c>
      <c r="K35" s="90" t="s">
        <v>4112</v>
      </c>
      <c r="L35" s="80" t="s">
        <v>4250</v>
      </c>
      <c r="M35" s="78" t="s">
        <v>4251</v>
      </c>
    </row>
    <row r="36" spans="1:13" ht="50">
      <c r="A36" s="74" t="s">
        <v>171</v>
      </c>
      <c r="B36" s="72" t="s">
        <v>172</v>
      </c>
      <c r="C36" s="82" t="s">
        <v>7687</v>
      </c>
      <c r="D36" s="72" t="s">
        <v>7687</v>
      </c>
      <c r="E36" s="72" t="s">
        <v>7715</v>
      </c>
      <c r="F36" s="8" t="s">
        <v>6390</v>
      </c>
      <c r="G36" s="8" t="s">
        <v>7714</v>
      </c>
      <c r="H36" s="74" t="s">
        <v>4252</v>
      </c>
      <c r="I36" s="74" t="s">
        <v>4253</v>
      </c>
      <c r="J36" s="91" t="s">
        <v>4254</v>
      </c>
      <c r="K36" s="72" t="s">
        <v>4101</v>
      </c>
      <c r="M36" s="78" t="s">
        <v>4255</v>
      </c>
    </row>
    <row r="37" spans="1:13" ht="25">
      <c r="A37" s="74" t="s">
        <v>171</v>
      </c>
      <c r="B37" s="72" t="s">
        <v>207</v>
      </c>
      <c r="C37" s="92" t="s">
        <v>4256</v>
      </c>
      <c r="D37" s="72" t="s">
        <v>4256</v>
      </c>
      <c r="E37" s="72" t="s">
        <v>7718</v>
      </c>
      <c r="F37" s="8" t="s">
        <v>7719</v>
      </c>
      <c r="G37" s="8" t="s">
        <v>7714</v>
      </c>
      <c r="H37" s="74" t="s">
        <v>4257</v>
      </c>
      <c r="I37" s="74" t="s">
        <v>4258</v>
      </c>
      <c r="J37" s="72"/>
      <c r="K37" s="72"/>
      <c r="L37" s="80" t="s">
        <v>4259</v>
      </c>
      <c r="M37" s="78" t="s">
        <v>4260</v>
      </c>
    </row>
    <row r="38" spans="1:13" ht="25">
      <c r="A38" s="74" t="s">
        <v>287</v>
      </c>
      <c r="B38" s="2" t="s">
        <v>288</v>
      </c>
      <c r="C38" s="72" t="s">
        <v>3496</v>
      </c>
      <c r="D38" s="72" t="s">
        <v>3496</v>
      </c>
      <c r="E38" s="72" t="s">
        <v>7726</v>
      </c>
      <c r="F38" s="8" t="s">
        <v>7787</v>
      </c>
      <c r="G38" s="8" t="s">
        <v>7700</v>
      </c>
      <c r="H38" s="74" t="s">
        <v>4261</v>
      </c>
      <c r="I38" s="74" t="s">
        <v>4262</v>
      </c>
      <c r="J38" s="84" t="s">
        <v>4263</v>
      </c>
      <c r="K38" s="82" t="s">
        <v>4101</v>
      </c>
      <c r="L38" s="80" t="s">
        <v>4264</v>
      </c>
      <c r="M38" s="86" t="s">
        <v>4265</v>
      </c>
    </row>
    <row r="39" spans="1:13" ht="37.5">
      <c r="A39" s="74" t="s">
        <v>287</v>
      </c>
      <c r="B39" s="2" t="s">
        <v>288</v>
      </c>
      <c r="C39" s="72" t="s">
        <v>3496</v>
      </c>
      <c r="D39" s="72" t="s">
        <v>3496</v>
      </c>
      <c r="E39" s="72" t="s">
        <v>7726</v>
      </c>
      <c r="F39" s="8" t="s">
        <v>7787</v>
      </c>
      <c r="G39" s="8" t="s">
        <v>7700</v>
      </c>
      <c r="H39" s="74" t="s">
        <v>4261</v>
      </c>
      <c r="I39" s="93" t="s">
        <v>4266</v>
      </c>
      <c r="J39" s="72"/>
      <c r="K39" s="82" t="s">
        <v>4101</v>
      </c>
      <c r="M39" s="78" t="s">
        <v>4267</v>
      </c>
    </row>
    <row r="40" spans="1:13" ht="25">
      <c r="A40" s="74" t="s">
        <v>287</v>
      </c>
      <c r="B40" s="2" t="s">
        <v>288</v>
      </c>
      <c r="C40" s="72" t="s">
        <v>3496</v>
      </c>
      <c r="D40" s="72" t="s">
        <v>3496</v>
      </c>
      <c r="E40" s="72" t="s">
        <v>7726</v>
      </c>
      <c r="F40" s="8" t="s">
        <v>7787</v>
      </c>
      <c r="G40" s="8" t="s">
        <v>7700</v>
      </c>
      <c r="H40" s="74" t="s">
        <v>4261</v>
      </c>
      <c r="I40" s="74" t="s">
        <v>4268</v>
      </c>
      <c r="J40" s="79" t="s">
        <v>4269</v>
      </c>
      <c r="K40" s="82" t="s">
        <v>4101</v>
      </c>
      <c r="L40" s="80" t="s">
        <v>4270</v>
      </c>
      <c r="M40" s="78" t="s">
        <v>4271</v>
      </c>
    </row>
    <row r="41" spans="1:13" ht="25">
      <c r="A41" s="74" t="s">
        <v>287</v>
      </c>
      <c r="B41" s="2" t="s">
        <v>288</v>
      </c>
      <c r="C41" s="72" t="s">
        <v>3496</v>
      </c>
      <c r="D41" s="72" t="s">
        <v>3496</v>
      </c>
      <c r="E41" s="72" t="s">
        <v>7726</v>
      </c>
      <c r="F41" s="8" t="s">
        <v>7787</v>
      </c>
      <c r="G41" s="8" t="s">
        <v>7700</v>
      </c>
      <c r="H41" s="74" t="s">
        <v>4261</v>
      </c>
      <c r="I41" s="74" t="s">
        <v>4272</v>
      </c>
      <c r="J41" s="72"/>
      <c r="K41" s="82" t="s">
        <v>4101</v>
      </c>
      <c r="L41" s="94" t="s">
        <v>4273</v>
      </c>
      <c r="M41" s="78" t="s">
        <v>4274</v>
      </c>
    </row>
    <row r="42" spans="1:13" ht="25">
      <c r="A42" s="74" t="s">
        <v>287</v>
      </c>
      <c r="B42" s="2" t="s">
        <v>288</v>
      </c>
      <c r="C42" s="72" t="s">
        <v>3496</v>
      </c>
      <c r="D42" s="72" t="s">
        <v>3496</v>
      </c>
      <c r="E42" s="72" t="s">
        <v>7726</v>
      </c>
      <c r="F42" s="8" t="s">
        <v>7787</v>
      </c>
      <c r="G42" s="8" t="s">
        <v>7700</v>
      </c>
      <c r="H42" s="74" t="s">
        <v>4261</v>
      </c>
      <c r="I42" s="74" t="s">
        <v>4275</v>
      </c>
      <c r="J42" s="79" t="s">
        <v>4276</v>
      </c>
      <c r="K42" s="90" t="s">
        <v>4112</v>
      </c>
      <c r="L42" s="80" t="s">
        <v>4277</v>
      </c>
      <c r="M42" s="78" t="s">
        <v>4278</v>
      </c>
    </row>
    <row r="43" spans="1:13" ht="25">
      <c r="A43" s="74" t="s">
        <v>287</v>
      </c>
      <c r="B43" s="2" t="s">
        <v>288</v>
      </c>
      <c r="C43" s="72" t="s">
        <v>3496</v>
      </c>
      <c r="D43" s="72" t="s">
        <v>3496</v>
      </c>
      <c r="E43" s="72" t="s">
        <v>7726</v>
      </c>
      <c r="F43" s="8" t="s">
        <v>7787</v>
      </c>
      <c r="G43" s="8" t="s">
        <v>7700</v>
      </c>
      <c r="H43" s="74" t="s">
        <v>4261</v>
      </c>
      <c r="I43" s="74" t="s">
        <v>4279</v>
      </c>
      <c r="J43" s="72" t="s">
        <v>4280</v>
      </c>
      <c r="K43" s="72"/>
      <c r="L43" s="80" t="s">
        <v>4281</v>
      </c>
      <c r="M43" s="78" t="s">
        <v>4282</v>
      </c>
    </row>
    <row r="44" spans="1:13" ht="25">
      <c r="A44" s="74" t="s">
        <v>287</v>
      </c>
      <c r="B44" s="2" t="s">
        <v>288</v>
      </c>
      <c r="C44" s="72" t="s">
        <v>3496</v>
      </c>
      <c r="D44" s="72" t="s">
        <v>3496</v>
      </c>
      <c r="E44" s="72" t="s">
        <v>7726</v>
      </c>
      <c r="F44" s="8" t="s">
        <v>7787</v>
      </c>
      <c r="G44" s="8" t="s">
        <v>7700</v>
      </c>
      <c r="H44" s="74" t="s">
        <v>4261</v>
      </c>
      <c r="I44" s="74" t="s">
        <v>4283</v>
      </c>
      <c r="J44" s="72" t="s">
        <v>4284</v>
      </c>
      <c r="K44" s="72"/>
      <c r="L44" s="80" t="s">
        <v>4285</v>
      </c>
      <c r="M44" s="78" t="s">
        <v>4286</v>
      </c>
    </row>
    <row r="45" spans="1:13" ht="25">
      <c r="A45" s="74" t="s">
        <v>287</v>
      </c>
      <c r="B45" s="2" t="s">
        <v>288</v>
      </c>
      <c r="C45" s="72" t="s">
        <v>3496</v>
      </c>
      <c r="D45" s="72" t="s">
        <v>3496</v>
      </c>
      <c r="E45" s="72" t="s">
        <v>7726</v>
      </c>
      <c r="F45" s="8" t="s">
        <v>7787</v>
      </c>
      <c r="G45" s="8" t="s">
        <v>7700</v>
      </c>
      <c r="H45" s="74" t="s">
        <v>4261</v>
      </c>
      <c r="I45" s="74" t="s">
        <v>4287</v>
      </c>
      <c r="J45" s="82" t="s">
        <v>4288</v>
      </c>
      <c r="K45" s="95" t="s">
        <v>4112</v>
      </c>
      <c r="L45" s="96" t="s">
        <v>4289</v>
      </c>
      <c r="M45" s="78" t="s">
        <v>4290</v>
      </c>
    </row>
    <row r="46" spans="1:13" ht="25">
      <c r="A46" s="74" t="s">
        <v>287</v>
      </c>
      <c r="B46" s="2" t="s">
        <v>288</v>
      </c>
      <c r="C46" s="72" t="s">
        <v>3496</v>
      </c>
      <c r="D46" s="72" t="s">
        <v>3496</v>
      </c>
      <c r="E46" s="72" t="s">
        <v>7726</v>
      </c>
      <c r="F46" s="8" t="s">
        <v>7787</v>
      </c>
      <c r="G46" s="8" t="s">
        <v>7700</v>
      </c>
      <c r="H46" s="74" t="s">
        <v>4261</v>
      </c>
      <c r="I46" s="74" t="s">
        <v>4291</v>
      </c>
      <c r="J46" s="72" t="s">
        <v>4292</v>
      </c>
      <c r="K46" s="79"/>
      <c r="L46" s="80" t="s">
        <v>4293</v>
      </c>
      <c r="M46" s="78" t="s">
        <v>4294</v>
      </c>
    </row>
    <row r="47" spans="1:13" ht="25">
      <c r="A47" s="74" t="s">
        <v>287</v>
      </c>
      <c r="B47" s="2" t="s">
        <v>288</v>
      </c>
      <c r="C47" s="72" t="s">
        <v>3496</v>
      </c>
      <c r="D47" s="72" t="s">
        <v>3496</v>
      </c>
      <c r="E47" s="72" t="s">
        <v>7726</v>
      </c>
      <c r="F47" s="8" t="s">
        <v>7787</v>
      </c>
      <c r="G47" s="8" t="s">
        <v>7700</v>
      </c>
      <c r="H47" s="74" t="s">
        <v>4261</v>
      </c>
      <c r="I47" s="74" t="s">
        <v>4295</v>
      </c>
      <c r="J47" s="97" t="s">
        <v>4296</v>
      </c>
      <c r="K47" s="72"/>
      <c r="L47" s="80" t="s">
        <v>4297</v>
      </c>
      <c r="M47" s="78" t="s">
        <v>4298</v>
      </c>
    </row>
    <row r="48" spans="1:13" ht="25">
      <c r="A48" s="74" t="s">
        <v>287</v>
      </c>
      <c r="B48" s="72" t="s">
        <v>348</v>
      </c>
      <c r="C48" s="72" t="s">
        <v>4302</v>
      </c>
      <c r="D48" s="72" t="s">
        <v>4302</v>
      </c>
      <c r="E48" s="72" t="s">
        <v>7888</v>
      </c>
      <c r="F48" s="8" t="s">
        <v>7770</v>
      </c>
      <c r="G48" s="8" t="s">
        <v>7700</v>
      </c>
      <c r="H48" s="74" t="s">
        <v>4299</v>
      </c>
      <c r="I48" s="74" t="s">
        <v>4300</v>
      </c>
      <c r="J48" s="72"/>
      <c r="K48" s="72"/>
      <c r="M48" s="78" t="s">
        <v>4301</v>
      </c>
    </row>
    <row r="49" spans="1:13" ht="25">
      <c r="A49" s="74" t="s">
        <v>287</v>
      </c>
      <c r="B49" s="72" t="s">
        <v>348</v>
      </c>
      <c r="C49" s="72" t="s">
        <v>4302</v>
      </c>
      <c r="D49" s="72" t="s">
        <v>4302</v>
      </c>
      <c r="E49" s="72" t="s">
        <v>7888</v>
      </c>
      <c r="F49" s="8" t="s">
        <v>7770</v>
      </c>
      <c r="G49" s="8" t="s">
        <v>7700</v>
      </c>
      <c r="H49" s="74" t="s">
        <v>4299</v>
      </c>
      <c r="I49" s="74" t="s">
        <v>4303</v>
      </c>
      <c r="J49" s="72">
        <v>2002</v>
      </c>
      <c r="K49" s="90" t="s">
        <v>4112</v>
      </c>
      <c r="L49" s="80" t="s">
        <v>4304</v>
      </c>
      <c r="M49" s="78" t="s">
        <v>4305</v>
      </c>
    </row>
    <row r="50" spans="1:13" ht="37.5">
      <c r="A50" s="2" t="s">
        <v>287</v>
      </c>
      <c r="B50" s="2" t="s">
        <v>348</v>
      </c>
      <c r="C50" s="2" t="s">
        <v>365</v>
      </c>
      <c r="D50" s="72" t="s">
        <v>365</v>
      </c>
      <c r="E50" s="72" t="s">
        <v>7888</v>
      </c>
      <c r="F50" s="8" t="s">
        <v>7770</v>
      </c>
      <c r="G50" s="8" t="s">
        <v>7700</v>
      </c>
      <c r="H50" s="74" t="s">
        <v>4299</v>
      </c>
      <c r="I50" s="74" t="s">
        <v>4306</v>
      </c>
      <c r="J50" s="72" t="s">
        <v>4307</v>
      </c>
      <c r="K50" s="90" t="s">
        <v>4112</v>
      </c>
      <c r="L50" s="80" t="s">
        <v>4308</v>
      </c>
      <c r="M50" s="78" t="s">
        <v>4309</v>
      </c>
    </row>
    <row r="51" spans="1:13" ht="37.5">
      <c r="A51" s="2" t="s">
        <v>287</v>
      </c>
      <c r="B51" s="2" t="s">
        <v>348</v>
      </c>
      <c r="C51" s="2" t="s">
        <v>365</v>
      </c>
      <c r="D51" s="72" t="s">
        <v>365</v>
      </c>
      <c r="E51" s="72" t="s">
        <v>7888</v>
      </c>
      <c r="F51" s="8" t="s">
        <v>7770</v>
      </c>
      <c r="G51" s="8" t="s">
        <v>7700</v>
      </c>
      <c r="H51" s="74" t="s">
        <v>4299</v>
      </c>
      <c r="I51" s="74" t="s">
        <v>4310</v>
      </c>
      <c r="J51" s="99">
        <v>2015</v>
      </c>
      <c r="K51" s="90" t="s">
        <v>4112</v>
      </c>
      <c r="L51" s="80" t="s">
        <v>4311</v>
      </c>
      <c r="M51" s="78" t="s">
        <v>4312</v>
      </c>
    </row>
    <row r="52" spans="1:13" ht="37.5">
      <c r="A52" s="74" t="s">
        <v>287</v>
      </c>
      <c r="B52" s="2" t="s">
        <v>324</v>
      </c>
      <c r="C52" s="2" t="s">
        <v>338</v>
      </c>
      <c r="D52" s="72" t="s">
        <v>338</v>
      </c>
      <c r="E52" s="72" t="s">
        <v>7889</v>
      </c>
      <c r="F52" s="8" t="s">
        <v>7874</v>
      </c>
      <c r="G52" s="8" t="s">
        <v>7700</v>
      </c>
      <c r="H52" s="74" t="s">
        <v>4313</v>
      </c>
      <c r="I52" s="74" t="s">
        <v>4314</v>
      </c>
      <c r="J52" s="72" t="s">
        <v>4315</v>
      </c>
      <c r="K52" s="72" t="s">
        <v>4101</v>
      </c>
      <c r="L52" s="80" t="s">
        <v>4316</v>
      </c>
      <c r="M52" s="78" t="s">
        <v>4317</v>
      </c>
    </row>
    <row r="53" spans="1:13" ht="37.5">
      <c r="A53" s="74" t="s">
        <v>287</v>
      </c>
      <c r="B53" s="2" t="s">
        <v>324</v>
      </c>
      <c r="C53" s="2" t="s">
        <v>338</v>
      </c>
      <c r="D53" s="72" t="s">
        <v>338</v>
      </c>
      <c r="E53" s="72" t="s">
        <v>7889</v>
      </c>
      <c r="F53" s="8" t="s">
        <v>7874</v>
      </c>
      <c r="G53" s="8" t="s">
        <v>7700</v>
      </c>
      <c r="H53" s="74" t="s">
        <v>4313</v>
      </c>
      <c r="I53" s="74" t="s">
        <v>4318</v>
      </c>
      <c r="J53" s="100" t="s">
        <v>4319</v>
      </c>
      <c r="K53" s="72" t="s">
        <v>4101</v>
      </c>
      <c r="L53" s="80" t="s">
        <v>4320</v>
      </c>
      <c r="M53" s="78" t="s">
        <v>4321</v>
      </c>
    </row>
    <row r="54" spans="1:13" ht="37.5">
      <c r="A54" s="2" t="s">
        <v>287</v>
      </c>
      <c r="B54" s="2" t="s">
        <v>413</v>
      </c>
      <c r="C54" s="2" t="s">
        <v>420</v>
      </c>
      <c r="D54" s="72" t="s">
        <v>420</v>
      </c>
      <c r="E54" s="72" t="s">
        <v>7890</v>
      </c>
      <c r="F54" s="8" t="s">
        <v>7891</v>
      </c>
      <c r="G54" s="8" t="s">
        <v>7700</v>
      </c>
      <c r="H54" s="74" t="s">
        <v>4322</v>
      </c>
      <c r="I54" s="74" t="s">
        <v>4323</v>
      </c>
      <c r="J54" s="79" t="s">
        <v>4324</v>
      </c>
      <c r="K54" s="90" t="s">
        <v>4112</v>
      </c>
      <c r="L54" s="80" t="s">
        <v>4325</v>
      </c>
      <c r="M54" s="78" t="s">
        <v>4326</v>
      </c>
    </row>
    <row r="55" spans="1:13" ht="37.5">
      <c r="A55" s="2" t="s">
        <v>287</v>
      </c>
      <c r="B55" s="2" t="s">
        <v>379</v>
      </c>
      <c r="C55" s="2" t="s">
        <v>386</v>
      </c>
      <c r="D55" s="72" t="s">
        <v>386</v>
      </c>
      <c r="E55" s="72" t="s">
        <v>7892</v>
      </c>
      <c r="F55" s="8" t="s">
        <v>7868</v>
      </c>
      <c r="G55" s="8" t="s">
        <v>7700</v>
      </c>
      <c r="H55" s="74" t="s">
        <v>4327</v>
      </c>
      <c r="I55" s="74" t="s">
        <v>4328</v>
      </c>
      <c r="J55" s="79" t="s">
        <v>4329</v>
      </c>
      <c r="K55" s="82" t="s">
        <v>4101</v>
      </c>
      <c r="L55" s="80" t="s">
        <v>4330</v>
      </c>
      <c r="M55" s="78" t="s">
        <v>4331</v>
      </c>
    </row>
    <row r="56" spans="1:13" ht="37.5">
      <c r="A56" s="2" t="s">
        <v>287</v>
      </c>
      <c r="B56" s="2" t="s">
        <v>413</v>
      </c>
      <c r="C56" s="2" t="s">
        <v>422</v>
      </c>
      <c r="D56" s="72" t="s">
        <v>422</v>
      </c>
      <c r="E56" s="72" t="s">
        <v>7893</v>
      </c>
      <c r="F56" s="8" t="s">
        <v>7891</v>
      </c>
      <c r="G56" s="8" t="s">
        <v>7700</v>
      </c>
      <c r="H56" s="74" t="s">
        <v>4332</v>
      </c>
      <c r="I56" s="74" t="s">
        <v>4333</v>
      </c>
      <c r="J56" s="99">
        <v>2019</v>
      </c>
      <c r="K56" s="82" t="s">
        <v>4101</v>
      </c>
      <c r="L56" s="80" t="s">
        <v>4334</v>
      </c>
      <c r="M56" s="78" t="s">
        <v>4335</v>
      </c>
    </row>
    <row r="57" spans="1:13" ht="37.5">
      <c r="A57" s="74" t="s">
        <v>287</v>
      </c>
      <c r="B57" s="79" t="s">
        <v>288</v>
      </c>
      <c r="C57" s="2" t="s">
        <v>314</v>
      </c>
      <c r="D57" s="2" t="s">
        <v>314</v>
      </c>
      <c r="E57" s="79" t="s">
        <v>7810</v>
      </c>
      <c r="F57" s="8" t="s">
        <v>7787</v>
      </c>
      <c r="G57" s="8" t="s">
        <v>7700</v>
      </c>
      <c r="H57" s="74" t="s">
        <v>4336</v>
      </c>
      <c r="I57" s="74" t="s">
        <v>4337</v>
      </c>
      <c r="J57" s="72" t="s">
        <v>4338</v>
      </c>
      <c r="K57" s="82" t="s">
        <v>4101</v>
      </c>
      <c r="L57" s="80" t="s">
        <v>4339</v>
      </c>
      <c r="M57" s="78" t="s">
        <v>4340</v>
      </c>
    </row>
    <row r="58" spans="1:13" ht="37.5">
      <c r="A58" s="74" t="s">
        <v>287</v>
      </c>
      <c r="B58" s="2" t="s">
        <v>396</v>
      </c>
      <c r="C58" s="72" t="s">
        <v>406</v>
      </c>
      <c r="D58" s="72" t="s">
        <v>406</v>
      </c>
      <c r="E58" s="72" t="s">
        <v>7894</v>
      </c>
      <c r="F58" s="8" t="s">
        <v>7756</v>
      </c>
      <c r="G58" s="8" t="s">
        <v>7700</v>
      </c>
      <c r="H58" s="74" t="s">
        <v>4341</v>
      </c>
      <c r="I58" s="74" t="s">
        <v>4342</v>
      </c>
      <c r="J58" s="101" t="s">
        <v>4343</v>
      </c>
      <c r="K58" s="90" t="s">
        <v>4112</v>
      </c>
      <c r="L58" s="80" t="s">
        <v>4344</v>
      </c>
      <c r="M58" s="78" t="s">
        <v>4345</v>
      </c>
    </row>
    <row r="59" spans="1:13" ht="50">
      <c r="A59" s="74" t="s">
        <v>287</v>
      </c>
      <c r="B59" s="79" t="s">
        <v>288</v>
      </c>
      <c r="C59" s="72" t="s">
        <v>7686</v>
      </c>
      <c r="D59" s="72" t="s">
        <v>7686</v>
      </c>
      <c r="E59" s="72" t="s">
        <v>7895</v>
      </c>
      <c r="F59" s="8" t="s">
        <v>7787</v>
      </c>
      <c r="G59" s="8" t="s">
        <v>7700</v>
      </c>
      <c r="H59" s="74" t="s">
        <v>4346</v>
      </c>
      <c r="I59" s="74" t="s">
        <v>4347</v>
      </c>
      <c r="J59" s="79" t="s">
        <v>4348</v>
      </c>
      <c r="K59" s="90" t="s">
        <v>4112</v>
      </c>
      <c r="L59" s="80" t="s">
        <v>4349</v>
      </c>
      <c r="M59" s="78" t="s">
        <v>4350</v>
      </c>
    </row>
    <row r="60" spans="1:13" ht="50">
      <c r="A60" s="74" t="s">
        <v>287</v>
      </c>
      <c r="B60" s="2" t="s">
        <v>348</v>
      </c>
      <c r="C60" s="72" t="s">
        <v>4351</v>
      </c>
      <c r="D60" s="72" t="s">
        <v>4351</v>
      </c>
      <c r="E60" s="72" t="s">
        <v>7896</v>
      </c>
      <c r="F60" s="8" t="s">
        <v>7770</v>
      </c>
      <c r="G60" s="8" t="s">
        <v>7700</v>
      </c>
      <c r="H60" s="74" t="s">
        <v>4352</v>
      </c>
      <c r="I60" s="74" t="s">
        <v>4353</v>
      </c>
      <c r="J60" s="102" t="s">
        <v>4354</v>
      </c>
      <c r="K60" s="72"/>
      <c r="L60" s="80" t="s">
        <v>4355</v>
      </c>
      <c r="M60" s="78" t="s">
        <v>4356</v>
      </c>
    </row>
    <row r="61" spans="1:13" ht="37.5">
      <c r="A61" s="2" t="s">
        <v>287</v>
      </c>
      <c r="B61" s="2" t="s">
        <v>288</v>
      </c>
      <c r="C61" s="2" t="s">
        <v>309</v>
      </c>
      <c r="D61" s="72" t="s">
        <v>309</v>
      </c>
      <c r="E61" s="72" t="s">
        <v>7897</v>
      </c>
      <c r="F61" s="8" t="s">
        <v>7787</v>
      </c>
      <c r="G61" s="8" t="s">
        <v>7700</v>
      </c>
      <c r="H61" s="74" t="s">
        <v>4357</v>
      </c>
      <c r="I61" s="74" t="s">
        <v>4358</v>
      </c>
      <c r="J61" s="82" t="s">
        <v>4359</v>
      </c>
      <c r="K61" s="90" t="s">
        <v>4112</v>
      </c>
      <c r="M61" s="78" t="s">
        <v>4360</v>
      </c>
    </row>
    <row r="62" spans="1:13" ht="37.5">
      <c r="A62" s="74" t="s">
        <v>287</v>
      </c>
      <c r="B62" s="2" t="s">
        <v>348</v>
      </c>
      <c r="C62" s="2" t="s">
        <v>355</v>
      </c>
      <c r="D62" s="72" t="s">
        <v>355</v>
      </c>
      <c r="E62" s="72" t="s">
        <v>7898</v>
      </c>
      <c r="F62" s="8" t="s">
        <v>7770</v>
      </c>
      <c r="G62" s="8" t="s">
        <v>7700</v>
      </c>
      <c r="H62" s="74" t="s">
        <v>4361</v>
      </c>
      <c r="I62" s="74" t="s">
        <v>4362</v>
      </c>
      <c r="J62" s="99" t="s">
        <v>4363</v>
      </c>
      <c r="K62" s="72"/>
      <c r="L62" s="80" t="s">
        <v>4364</v>
      </c>
      <c r="M62" s="78" t="s">
        <v>4365</v>
      </c>
    </row>
    <row r="63" spans="1:13" ht="37.5">
      <c r="A63" s="74" t="s">
        <v>287</v>
      </c>
      <c r="B63" s="2" t="s">
        <v>288</v>
      </c>
      <c r="C63" s="2" t="s">
        <v>297</v>
      </c>
      <c r="D63" s="72" t="s">
        <v>297</v>
      </c>
      <c r="E63" s="72" t="s">
        <v>7706</v>
      </c>
      <c r="F63" s="8" t="s">
        <v>7787</v>
      </c>
      <c r="G63" s="8" t="s">
        <v>7700</v>
      </c>
      <c r="H63" s="74" t="s">
        <v>4366</v>
      </c>
      <c r="I63" s="74" t="s">
        <v>4367</v>
      </c>
      <c r="J63" s="103" t="s">
        <v>4368</v>
      </c>
      <c r="K63" s="72"/>
      <c r="L63" s="80" t="s">
        <v>4369</v>
      </c>
      <c r="M63" s="78" t="s">
        <v>4370</v>
      </c>
    </row>
    <row r="64" spans="1:13" ht="37.5">
      <c r="A64" s="2" t="s">
        <v>287</v>
      </c>
      <c r="B64" s="2" t="s">
        <v>429</v>
      </c>
      <c r="C64" s="2" t="s">
        <v>450</v>
      </c>
      <c r="D64" s="72" t="s">
        <v>450</v>
      </c>
      <c r="E64" s="72" t="s">
        <v>7899</v>
      </c>
      <c r="F64" s="8" t="s">
        <v>7736</v>
      </c>
      <c r="G64" s="8" t="s">
        <v>7700</v>
      </c>
      <c r="H64" s="74" t="s">
        <v>4371</v>
      </c>
      <c r="I64" s="74" t="s">
        <v>4372</v>
      </c>
      <c r="J64" s="72"/>
      <c r="K64" s="72"/>
      <c r="M64" s="78" t="s">
        <v>4373</v>
      </c>
    </row>
    <row r="65" spans="1:13" ht="37.5">
      <c r="A65" s="2" t="s">
        <v>287</v>
      </c>
      <c r="B65" s="2" t="s">
        <v>288</v>
      </c>
      <c r="C65" s="2" t="s">
        <v>320</v>
      </c>
      <c r="D65" s="72" t="s">
        <v>320</v>
      </c>
      <c r="E65" s="72" t="s">
        <v>7900</v>
      </c>
      <c r="F65" s="8" t="s">
        <v>7787</v>
      </c>
      <c r="G65" s="8" t="s">
        <v>7700</v>
      </c>
      <c r="H65" s="74" t="s">
        <v>4374</v>
      </c>
      <c r="I65" s="74" t="s">
        <v>4375</v>
      </c>
      <c r="J65" s="104" t="s">
        <v>4376</v>
      </c>
      <c r="K65" s="72"/>
      <c r="L65" s="80" t="s">
        <v>4377</v>
      </c>
      <c r="M65" s="78" t="s">
        <v>4378</v>
      </c>
    </row>
    <row r="66" spans="1:13" ht="50">
      <c r="A66" s="2" t="s">
        <v>287</v>
      </c>
      <c r="B66" s="2" t="s">
        <v>288</v>
      </c>
      <c r="C66" s="2" t="s">
        <v>318</v>
      </c>
      <c r="D66" s="72" t="s">
        <v>318</v>
      </c>
      <c r="E66" s="72" t="s">
        <v>7901</v>
      </c>
      <c r="F66" s="8" t="s">
        <v>7787</v>
      </c>
      <c r="G66" s="8" t="s">
        <v>7700</v>
      </c>
      <c r="H66" s="74" t="s">
        <v>4379</v>
      </c>
      <c r="I66" s="74" t="s">
        <v>4380</v>
      </c>
      <c r="J66" s="105" t="s">
        <v>4381</v>
      </c>
      <c r="K66" s="90" t="s">
        <v>4112</v>
      </c>
      <c r="L66" s="80" t="s">
        <v>4382</v>
      </c>
      <c r="M66" s="78" t="s">
        <v>4383</v>
      </c>
    </row>
    <row r="67" spans="1:13" ht="37.5">
      <c r="A67" s="2" t="s">
        <v>464</v>
      </c>
      <c r="B67" s="2" t="s">
        <v>531</v>
      </c>
      <c r="C67" s="2" t="s">
        <v>538</v>
      </c>
      <c r="D67" s="72" t="s">
        <v>538</v>
      </c>
      <c r="E67" s="72" t="s">
        <v>7827</v>
      </c>
      <c r="F67" s="8" t="s">
        <v>7828</v>
      </c>
      <c r="G67" s="8" t="s">
        <v>7710</v>
      </c>
      <c r="H67" s="74" t="s">
        <v>539</v>
      </c>
      <c r="I67" s="74" t="s">
        <v>4384</v>
      </c>
      <c r="J67" s="99" t="s">
        <v>4385</v>
      </c>
      <c r="K67" s="72"/>
      <c r="L67" s="80" t="s">
        <v>4386</v>
      </c>
      <c r="M67" s="78" t="s">
        <v>4387</v>
      </c>
    </row>
    <row r="68" spans="1:13" ht="25">
      <c r="A68" s="74" t="s">
        <v>464</v>
      </c>
      <c r="B68" s="2" t="s">
        <v>531</v>
      </c>
      <c r="C68" s="72" t="s">
        <v>3892</v>
      </c>
      <c r="D68" s="72" t="s">
        <v>3892</v>
      </c>
      <c r="E68" s="72" t="s">
        <v>7827</v>
      </c>
      <c r="F68" s="8" t="s">
        <v>7828</v>
      </c>
      <c r="G68" s="8" t="s">
        <v>7710</v>
      </c>
      <c r="H68" s="74" t="s">
        <v>539</v>
      </c>
      <c r="I68" s="74" t="s">
        <v>4388</v>
      </c>
      <c r="J68" s="72" t="s">
        <v>4389</v>
      </c>
      <c r="K68" s="72"/>
      <c r="L68" s="80" t="s">
        <v>4390</v>
      </c>
      <c r="M68" s="78" t="s">
        <v>4391</v>
      </c>
    </row>
    <row r="69" spans="1:13" ht="37.5">
      <c r="A69" s="2" t="s">
        <v>464</v>
      </c>
      <c r="B69" s="2" t="s">
        <v>531</v>
      </c>
      <c r="C69" s="2" t="s">
        <v>538</v>
      </c>
      <c r="D69" s="72" t="s">
        <v>538</v>
      </c>
      <c r="E69" s="72" t="s">
        <v>7827</v>
      </c>
      <c r="F69" s="8" t="s">
        <v>7828</v>
      </c>
      <c r="G69" s="8" t="s">
        <v>7710</v>
      </c>
      <c r="H69" s="74" t="s">
        <v>539</v>
      </c>
      <c r="I69" s="74" t="s">
        <v>4392</v>
      </c>
      <c r="J69" s="99" t="s">
        <v>4393</v>
      </c>
      <c r="K69" s="90" t="s">
        <v>4112</v>
      </c>
      <c r="L69" s="80" t="s">
        <v>4394</v>
      </c>
      <c r="M69" s="78" t="s">
        <v>4395</v>
      </c>
    </row>
    <row r="70" spans="1:13" ht="37.5">
      <c r="A70" s="2" t="s">
        <v>464</v>
      </c>
      <c r="B70" s="2" t="s">
        <v>531</v>
      </c>
      <c r="C70" s="2" t="s">
        <v>538</v>
      </c>
      <c r="D70" s="72" t="s">
        <v>538</v>
      </c>
      <c r="E70" s="72" t="s">
        <v>7827</v>
      </c>
      <c r="F70" s="8" t="s">
        <v>7828</v>
      </c>
      <c r="G70" s="8" t="s">
        <v>7710</v>
      </c>
      <c r="H70" s="74" t="s">
        <v>539</v>
      </c>
      <c r="I70" s="74" t="s">
        <v>4396</v>
      </c>
      <c r="J70" s="99" t="s">
        <v>4397</v>
      </c>
      <c r="K70" s="90" t="s">
        <v>4112</v>
      </c>
      <c r="L70" s="80" t="s">
        <v>4398</v>
      </c>
      <c r="M70" s="78" t="s">
        <v>4399</v>
      </c>
    </row>
    <row r="71" spans="1:13" ht="37.5">
      <c r="A71" s="2" t="s">
        <v>464</v>
      </c>
      <c r="B71" s="2" t="s">
        <v>504</v>
      </c>
      <c r="C71" s="2" t="s">
        <v>515</v>
      </c>
      <c r="D71" s="72" t="s">
        <v>515</v>
      </c>
      <c r="E71" s="72" t="s">
        <v>7813</v>
      </c>
      <c r="F71" s="8" t="s">
        <v>7814</v>
      </c>
      <c r="G71" s="8" t="s">
        <v>7710</v>
      </c>
      <c r="H71" s="74" t="s">
        <v>516</v>
      </c>
      <c r="I71" s="74" t="s">
        <v>4400</v>
      </c>
      <c r="J71" s="79" t="s">
        <v>4401</v>
      </c>
      <c r="K71" s="90" t="s">
        <v>4112</v>
      </c>
      <c r="L71" s="80" t="s">
        <v>4402</v>
      </c>
      <c r="M71" s="78" t="s">
        <v>4403</v>
      </c>
    </row>
    <row r="72" spans="1:13" ht="37.5">
      <c r="A72" s="2" t="s">
        <v>464</v>
      </c>
      <c r="B72" s="2" t="s">
        <v>504</v>
      </c>
      <c r="C72" s="2" t="s">
        <v>515</v>
      </c>
      <c r="D72" s="72" t="s">
        <v>515</v>
      </c>
      <c r="E72" s="72" t="s">
        <v>7813</v>
      </c>
      <c r="F72" s="8" t="s">
        <v>7814</v>
      </c>
      <c r="G72" s="8" t="s">
        <v>7710</v>
      </c>
      <c r="H72" s="74" t="s">
        <v>516</v>
      </c>
      <c r="I72" s="74" t="s">
        <v>4404</v>
      </c>
      <c r="J72" s="99" t="s">
        <v>4405</v>
      </c>
      <c r="K72" s="84" t="s">
        <v>4101</v>
      </c>
      <c r="L72" s="80" t="s">
        <v>4406</v>
      </c>
      <c r="M72" s="78" t="s">
        <v>4407</v>
      </c>
    </row>
    <row r="73" spans="1:13" ht="37.5">
      <c r="A73" s="2" t="s">
        <v>464</v>
      </c>
      <c r="B73" s="2" t="s">
        <v>504</v>
      </c>
      <c r="C73" s="2" t="s">
        <v>515</v>
      </c>
      <c r="D73" s="72" t="s">
        <v>515</v>
      </c>
      <c r="E73" s="72" t="s">
        <v>7813</v>
      </c>
      <c r="F73" s="8" t="s">
        <v>7814</v>
      </c>
      <c r="G73" s="8" t="s">
        <v>7710</v>
      </c>
      <c r="H73" s="74" t="s">
        <v>516</v>
      </c>
      <c r="I73" s="74" t="s">
        <v>4408</v>
      </c>
      <c r="J73" s="72" t="s">
        <v>4409</v>
      </c>
      <c r="K73" s="72"/>
      <c r="L73" s="80" t="s">
        <v>4410</v>
      </c>
      <c r="M73" s="78" t="s">
        <v>4411</v>
      </c>
    </row>
    <row r="74" spans="1:13" ht="37.5">
      <c r="A74" s="2" t="s">
        <v>464</v>
      </c>
      <c r="B74" s="2" t="s">
        <v>504</v>
      </c>
      <c r="C74" s="2" t="s">
        <v>515</v>
      </c>
      <c r="D74" s="72" t="s">
        <v>515</v>
      </c>
      <c r="E74" s="72" t="s">
        <v>7813</v>
      </c>
      <c r="F74" s="8" t="s">
        <v>7814</v>
      </c>
      <c r="G74" s="8" t="s">
        <v>7710</v>
      </c>
      <c r="H74" s="74" t="s">
        <v>516</v>
      </c>
      <c r="I74" s="74" t="s">
        <v>4412</v>
      </c>
      <c r="J74" s="72"/>
      <c r="K74" s="72"/>
      <c r="M74" s="78" t="s">
        <v>4413</v>
      </c>
    </row>
    <row r="75" spans="1:13" ht="37.5">
      <c r="A75" s="2" t="s">
        <v>464</v>
      </c>
      <c r="B75" s="2" t="s">
        <v>504</v>
      </c>
      <c r="C75" s="2" t="s">
        <v>515</v>
      </c>
      <c r="D75" s="72" t="s">
        <v>515</v>
      </c>
      <c r="E75" s="72" t="s">
        <v>7813</v>
      </c>
      <c r="F75" s="8" t="s">
        <v>7814</v>
      </c>
      <c r="G75" s="8" t="s">
        <v>7710</v>
      </c>
      <c r="H75" s="74" t="s">
        <v>516</v>
      </c>
      <c r="I75" s="74" t="s">
        <v>4414</v>
      </c>
      <c r="J75" s="106" t="s">
        <v>4415</v>
      </c>
      <c r="K75" s="90" t="s">
        <v>4112</v>
      </c>
      <c r="L75" s="80" t="s">
        <v>4416</v>
      </c>
      <c r="M75" s="78" t="s">
        <v>4417</v>
      </c>
    </row>
    <row r="76" spans="1:13" ht="37.5">
      <c r="A76" s="2" t="s">
        <v>464</v>
      </c>
      <c r="B76" s="2" t="s">
        <v>504</v>
      </c>
      <c r="C76" s="2" t="s">
        <v>515</v>
      </c>
      <c r="D76" s="72" t="s">
        <v>515</v>
      </c>
      <c r="E76" s="72" t="s">
        <v>7813</v>
      </c>
      <c r="F76" s="8" t="s">
        <v>7814</v>
      </c>
      <c r="G76" s="8" t="s">
        <v>7710</v>
      </c>
      <c r="H76" s="74" t="s">
        <v>516</v>
      </c>
      <c r="I76" s="74" t="s">
        <v>4418</v>
      </c>
      <c r="J76" s="99" t="s">
        <v>4419</v>
      </c>
      <c r="K76" s="90" t="s">
        <v>4112</v>
      </c>
      <c r="L76" s="80" t="s">
        <v>4420</v>
      </c>
      <c r="M76" s="78" t="s">
        <v>4421</v>
      </c>
    </row>
    <row r="77" spans="1:13" ht="37.5">
      <c r="A77" s="74" t="s">
        <v>464</v>
      </c>
      <c r="B77" s="72" t="s">
        <v>465</v>
      </c>
      <c r="C77" s="72" t="s">
        <v>466</v>
      </c>
      <c r="D77" s="72" t="s">
        <v>466</v>
      </c>
      <c r="E77" s="72" t="s">
        <v>7902</v>
      </c>
      <c r="F77" s="8" t="s">
        <v>7903</v>
      </c>
      <c r="G77" s="8" t="s">
        <v>7710</v>
      </c>
      <c r="H77" s="74" t="s">
        <v>4422</v>
      </c>
      <c r="I77" s="74" t="s">
        <v>4423</v>
      </c>
      <c r="J77" s="79" t="s">
        <v>4424</v>
      </c>
      <c r="K77" s="90" t="s">
        <v>4112</v>
      </c>
      <c r="L77" s="80" t="s">
        <v>4425</v>
      </c>
      <c r="M77" s="78" t="s">
        <v>4426</v>
      </c>
    </row>
    <row r="78" spans="1:13" ht="25">
      <c r="A78" s="74" t="s">
        <v>464</v>
      </c>
      <c r="B78" s="2" t="s">
        <v>547</v>
      </c>
      <c r="C78" s="72" t="s">
        <v>4427</v>
      </c>
      <c r="D78" s="72" t="s">
        <v>4427</v>
      </c>
      <c r="E78" s="72" t="s">
        <v>7904</v>
      </c>
      <c r="F78" s="8" t="s">
        <v>7861</v>
      </c>
      <c r="G78" s="8" t="s">
        <v>7710</v>
      </c>
      <c r="H78" s="74" t="s">
        <v>4428</v>
      </c>
      <c r="I78" s="74" t="s">
        <v>4429</v>
      </c>
      <c r="J78" s="99" t="s">
        <v>4430</v>
      </c>
      <c r="K78" s="90" t="s">
        <v>4112</v>
      </c>
      <c r="L78" s="96" t="s">
        <v>4431</v>
      </c>
      <c r="M78" s="78" t="s">
        <v>4432</v>
      </c>
    </row>
    <row r="79" spans="1:13" ht="25">
      <c r="A79" s="74" t="s">
        <v>464</v>
      </c>
      <c r="B79" s="2" t="s">
        <v>504</v>
      </c>
      <c r="C79" s="72" t="s">
        <v>4433</v>
      </c>
      <c r="D79" s="72" t="s">
        <v>4433</v>
      </c>
      <c r="E79" s="72" t="s">
        <v>7905</v>
      </c>
      <c r="F79" s="2" t="s">
        <v>7814</v>
      </c>
      <c r="G79" s="8" t="s">
        <v>7710</v>
      </c>
      <c r="H79" s="74" t="s">
        <v>526</v>
      </c>
      <c r="I79" s="74" t="s">
        <v>4434</v>
      </c>
      <c r="J79" s="107" t="s">
        <v>4435</v>
      </c>
      <c r="K79" s="90" t="s">
        <v>4112</v>
      </c>
      <c r="L79" s="80" t="s">
        <v>4436</v>
      </c>
      <c r="M79" s="78" t="s">
        <v>4437</v>
      </c>
    </row>
    <row r="80" spans="1:13" ht="25">
      <c r="A80" s="74" t="s">
        <v>464</v>
      </c>
      <c r="B80" s="2" t="s">
        <v>504</v>
      </c>
      <c r="C80" s="72" t="s">
        <v>4438</v>
      </c>
      <c r="D80" s="72" t="s">
        <v>4438</v>
      </c>
      <c r="E80" s="72" t="s">
        <v>7906</v>
      </c>
      <c r="F80" s="2" t="s">
        <v>7814</v>
      </c>
      <c r="G80" s="8" t="s">
        <v>7710</v>
      </c>
      <c r="H80" s="74" t="s">
        <v>513</v>
      </c>
      <c r="I80" s="74" t="s">
        <v>4439</v>
      </c>
      <c r="J80" s="87" t="s">
        <v>4440</v>
      </c>
      <c r="K80" s="90" t="s">
        <v>4112</v>
      </c>
      <c r="L80" s="96" t="s">
        <v>4441</v>
      </c>
      <c r="M80" s="78" t="s">
        <v>4442</v>
      </c>
    </row>
    <row r="81" spans="1:13" ht="25">
      <c r="A81" s="74" t="s">
        <v>464</v>
      </c>
      <c r="B81" s="2" t="s">
        <v>504</v>
      </c>
      <c r="C81" s="72" t="s">
        <v>4438</v>
      </c>
      <c r="D81" s="72" t="s">
        <v>4438</v>
      </c>
      <c r="E81" s="72" t="s">
        <v>7906</v>
      </c>
      <c r="F81" s="2" t="s">
        <v>7814</v>
      </c>
      <c r="G81" s="8" t="s">
        <v>7710</v>
      </c>
      <c r="H81" s="74" t="s">
        <v>513</v>
      </c>
      <c r="I81" s="74" t="s">
        <v>4443</v>
      </c>
      <c r="J81" s="79" t="s">
        <v>4444</v>
      </c>
      <c r="K81" s="90" t="s">
        <v>4112</v>
      </c>
      <c r="L81" s="80" t="s">
        <v>4445</v>
      </c>
      <c r="M81" s="78" t="s">
        <v>4446</v>
      </c>
    </row>
    <row r="82" spans="1:13" ht="25">
      <c r="A82" s="74" t="s">
        <v>464</v>
      </c>
      <c r="B82" s="2" t="s">
        <v>504</v>
      </c>
      <c r="C82" s="72" t="s">
        <v>4438</v>
      </c>
      <c r="D82" s="72" t="s">
        <v>4438</v>
      </c>
      <c r="E82" s="72" t="s">
        <v>7906</v>
      </c>
      <c r="F82" s="2" t="s">
        <v>7814</v>
      </c>
      <c r="G82" s="8" t="s">
        <v>7710</v>
      </c>
      <c r="H82" s="74" t="s">
        <v>513</v>
      </c>
      <c r="I82" s="82" t="s">
        <v>4447</v>
      </c>
      <c r="J82" s="99" t="s">
        <v>4448</v>
      </c>
      <c r="K82" s="90" t="s">
        <v>4112</v>
      </c>
      <c r="L82" s="80" t="s">
        <v>4449</v>
      </c>
      <c r="M82" s="78" t="s">
        <v>4450</v>
      </c>
    </row>
    <row r="83" spans="1:13" ht="37.5">
      <c r="A83" s="2" t="s">
        <v>464</v>
      </c>
      <c r="B83" s="2" t="s">
        <v>547</v>
      </c>
      <c r="C83" s="2" t="s">
        <v>406</v>
      </c>
      <c r="D83" s="72" t="s">
        <v>406</v>
      </c>
      <c r="E83" s="72" t="s">
        <v>7894</v>
      </c>
      <c r="F83" s="8" t="s">
        <v>7861</v>
      </c>
      <c r="G83" s="8" t="s">
        <v>7710</v>
      </c>
      <c r="H83" s="74" t="s">
        <v>574</v>
      </c>
      <c r="I83" s="74" t="s">
        <v>4451</v>
      </c>
      <c r="J83" s="72" t="s">
        <v>4452</v>
      </c>
      <c r="K83" s="72"/>
      <c r="L83" s="81" t="s">
        <v>3482</v>
      </c>
      <c r="M83" s="78" t="s">
        <v>4453</v>
      </c>
    </row>
    <row r="84" spans="1:13" ht="37.5">
      <c r="A84" s="2" t="s">
        <v>464</v>
      </c>
      <c r="B84" s="2" t="s">
        <v>547</v>
      </c>
      <c r="C84" s="2" t="s">
        <v>406</v>
      </c>
      <c r="D84" s="72" t="s">
        <v>406</v>
      </c>
      <c r="E84" s="72" t="s">
        <v>7894</v>
      </c>
      <c r="F84" s="8" t="s">
        <v>7861</v>
      </c>
      <c r="G84" s="8" t="s">
        <v>7710</v>
      </c>
      <c r="H84" s="74" t="s">
        <v>574</v>
      </c>
      <c r="I84" s="74" t="s">
        <v>4454</v>
      </c>
      <c r="J84" s="99" t="s">
        <v>4455</v>
      </c>
      <c r="K84" s="90" t="s">
        <v>4112</v>
      </c>
      <c r="L84" s="80" t="s">
        <v>4456</v>
      </c>
      <c r="M84" s="78" t="s">
        <v>4457</v>
      </c>
    </row>
    <row r="85" spans="1:13" ht="25">
      <c r="A85" s="74" t="s">
        <v>464</v>
      </c>
      <c r="B85" s="2" t="s">
        <v>504</v>
      </c>
      <c r="C85" s="72" t="s">
        <v>4458</v>
      </c>
      <c r="D85" s="72" t="s">
        <v>4458</v>
      </c>
      <c r="E85" s="72" t="s">
        <v>7907</v>
      </c>
      <c r="F85" s="8" t="s">
        <v>7814</v>
      </c>
      <c r="G85" s="8" t="s">
        <v>7710</v>
      </c>
      <c r="H85" s="74" t="s">
        <v>4459</v>
      </c>
      <c r="I85" s="74" t="s">
        <v>4460</v>
      </c>
      <c r="J85" s="108" t="s">
        <v>4461</v>
      </c>
      <c r="K85" s="90" t="s">
        <v>4112</v>
      </c>
      <c r="L85" s="80" t="s">
        <v>4462</v>
      </c>
      <c r="M85" s="78" t="s">
        <v>4463</v>
      </c>
    </row>
    <row r="86" spans="1:13" ht="25">
      <c r="A86" s="74" t="s">
        <v>464</v>
      </c>
      <c r="B86" s="2" t="s">
        <v>504</v>
      </c>
      <c r="C86" s="72" t="s">
        <v>4458</v>
      </c>
      <c r="D86" s="72" t="s">
        <v>4458</v>
      </c>
      <c r="E86" s="72" t="s">
        <v>7907</v>
      </c>
      <c r="F86" s="8" t="s">
        <v>7814</v>
      </c>
      <c r="G86" s="8" t="s">
        <v>7710</v>
      </c>
      <c r="H86" s="74" t="s">
        <v>4459</v>
      </c>
      <c r="I86" s="74" t="s">
        <v>4464</v>
      </c>
      <c r="J86" s="72">
        <v>2016</v>
      </c>
      <c r="K86" s="90" t="s">
        <v>4112</v>
      </c>
      <c r="L86" s="80" t="s">
        <v>4465</v>
      </c>
      <c r="M86" s="78" t="s">
        <v>4466</v>
      </c>
    </row>
    <row r="87" spans="1:13" ht="37.5">
      <c r="A87" s="2" t="s">
        <v>464</v>
      </c>
      <c r="B87" s="2" t="s">
        <v>547</v>
      </c>
      <c r="C87" s="2" t="s">
        <v>548</v>
      </c>
      <c r="D87" s="72" t="s">
        <v>548</v>
      </c>
      <c r="E87" s="72" t="s">
        <v>7908</v>
      </c>
      <c r="F87" s="8" t="s">
        <v>7861</v>
      </c>
      <c r="G87" s="8" t="s">
        <v>7710</v>
      </c>
      <c r="H87" s="74" t="s">
        <v>549</v>
      </c>
      <c r="I87" s="74" t="s">
        <v>4467</v>
      </c>
      <c r="J87" s="105" t="s">
        <v>4468</v>
      </c>
      <c r="K87" s="90" t="s">
        <v>4112</v>
      </c>
      <c r="L87" s="80" t="s">
        <v>4469</v>
      </c>
      <c r="M87" s="78" t="s">
        <v>4470</v>
      </c>
    </row>
    <row r="88" spans="1:13" ht="37.5">
      <c r="A88" s="2" t="s">
        <v>464</v>
      </c>
      <c r="B88" s="2" t="s">
        <v>504</v>
      </c>
      <c r="C88" s="2" t="s">
        <v>523</v>
      </c>
      <c r="D88" s="72" t="s">
        <v>523</v>
      </c>
      <c r="E88" s="72" t="s">
        <v>7909</v>
      </c>
      <c r="F88" s="8" t="s">
        <v>7814</v>
      </c>
      <c r="G88" s="8" t="s">
        <v>7710</v>
      </c>
      <c r="H88" s="74" t="s">
        <v>4471</v>
      </c>
      <c r="I88" s="74" t="s">
        <v>4472</v>
      </c>
      <c r="J88" s="105" t="s">
        <v>4473</v>
      </c>
      <c r="K88" s="72"/>
      <c r="L88" s="80" t="s">
        <v>4474</v>
      </c>
      <c r="M88" s="78" t="s">
        <v>4475</v>
      </c>
    </row>
    <row r="89" spans="1:13" ht="37.5">
      <c r="A89" s="2" t="s">
        <v>464</v>
      </c>
      <c r="B89" s="2" t="s">
        <v>504</v>
      </c>
      <c r="C89" s="2" t="s">
        <v>523</v>
      </c>
      <c r="D89" s="72" t="s">
        <v>523</v>
      </c>
      <c r="E89" s="72" t="s">
        <v>7909</v>
      </c>
      <c r="F89" s="8" t="s">
        <v>7814</v>
      </c>
      <c r="G89" s="8" t="s">
        <v>7710</v>
      </c>
      <c r="H89" s="74" t="s">
        <v>4471</v>
      </c>
      <c r="I89" s="74" t="s">
        <v>4476</v>
      </c>
      <c r="J89" s="72"/>
      <c r="K89" s="72"/>
      <c r="L89" s="80" t="s">
        <v>4477</v>
      </c>
      <c r="M89" s="78" t="s">
        <v>4478</v>
      </c>
    </row>
    <row r="90" spans="1:13" ht="37.5">
      <c r="A90" s="74" t="s">
        <v>464</v>
      </c>
      <c r="B90" s="87" t="s">
        <v>483</v>
      </c>
      <c r="C90" s="98" t="s">
        <v>484</v>
      </c>
      <c r="D90" s="72" t="s">
        <v>484</v>
      </c>
      <c r="E90" s="72" t="s">
        <v>7910</v>
      </c>
      <c r="F90" s="8" t="s">
        <v>7911</v>
      </c>
      <c r="G90" s="8" t="s">
        <v>7710</v>
      </c>
      <c r="H90" s="74" t="s">
        <v>4479</v>
      </c>
      <c r="I90" s="74" t="s">
        <v>4480</v>
      </c>
      <c r="J90" s="99" t="s">
        <v>4481</v>
      </c>
      <c r="K90" s="72"/>
      <c r="L90" s="80" t="s">
        <v>4482</v>
      </c>
      <c r="M90" s="78" t="s">
        <v>4483</v>
      </c>
    </row>
    <row r="91" spans="1:13" ht="37.5">
      <c r="A91" s="2" t="s">
        <v>464</v>
      </c>
      <c r="B91" s="2" t="s">
        <v>483</v>
      </c>
      <c r="C91" s="2" t="s">
        <v>491</v>
      </c>
      <c r="D91" s="72" t="s">
        <v>491</v>
      </c>
      <c r="E91" s="72" t="s">
        <v>7912</v>
      </c>
      <c r="F91" s="8" t="s">
        <v>7911</v>
      </c>
      <c r="G91" s="8" t="s">
        <v>7710</v>
      </c>
      <c r="H91" s="74" t="s">
        <v>4484</v>
      </c>
      <c r="I91" s="74" t="s">
        <v>4485</v>
      </c>
      <c r="J91" s="72" t="s">
        <v>3482</v>
      </c>
      <c r="K91" s="72"/>
      <c r="L91" s="81" t="s">
        <v>3482</v>
      </c>
      <c r="M91" s="78" t="s">
        <v>4486</v>
      </c>
    </row>
    <row r="92" spans="1:13" ht="37.5">
      <c r="A92" s="74" t="s">
        <v>464</v>
      </c>
      <c r="B92" s="2" t="s">
        <v>483</v>
      </c>
      <c r="C92" s="72" t="s">
        <v>502</v>
      </c>
      <c r="D92" s="72" t="s">
        <v>502</v>
      </c>
      <c r="E92" s="72" t="s">
        <v>7913</v>
      </c>
      <c r="F92" s="8" t="s">
        <v>7911</v>
      </c>
      <c r="G92" s="8" t="s">
        <v>7710</v>
      </c>
      <c r="H92" s="74" t="s">
        <v>4487</v>
      </c>
      <c r="I92" s="74" t="s">
        <v>4488</v>
      </c>
      <c r="J92" s="72" t="s">
        <v>3482</v>
      </c>
      <c r="K92" s="72"/>
      <c r="L92" s="81" t="s">
        <v>3482</v>
      </c>
      <c r="M92" s="78" t="s">
        <v>4489</v>
      </c>
    </row>
    <row r="93" spans="1:13" ht="25">
      <c r="A93" s="74" t="s">
        <v>464</v>
      </c>
      <c r="B93" s="2" t="s">
        <v>483</v>
      </c>
      <c r="C93" s="72" t="s">
        <v>4490</v>
      </c>
      <c r="D93" s="72" t="s">
        <v>4490</v>
      </c>
      <c r="E93" s="72" t="s">
        <v>7914</v>
      </c>
      <c r="F93" s="8" t="s">
        <v>7911</v>
      </c>
      <c r="G93" s="8" t="s">
        <v>7710</v>
      </c>
      <c r="H93" s="74" t="s">
        <v>4491</v>
      </c>
      <c r="I93" s="74" t="s">
        <v>4492</v>
      </c>
      <c r="J93" s="99" t="s">
        <v>4493</v>
      </c>
      <c r="K93" s="99" t="s">
        <v>4494</v>
      </c>
      <c r="L93" s="80" t="s">
        <v>4495</v>
      </c>
      <c r="M93" s="78" t="s">
        <v>4496</v>
      </c>
    </row>
    <row r="94" spans="1:13" ht="37.5">
      <c r="A94" s="74" t="s">
        <v>464</v>
      </c>
      <c r="B94" s="2" t="s">
        <v>547</v>
      </c>
      <c r="C94" s="2" t="s">
        <v>556</v>
      </c>
      <c r="D94" s="72" t="s">
        <v>556</v>
      </c>
      <c r="E94" s="72" t="s">
        <v>7904</v>
      </c>
      <c r="F94" s="8" t="s">
        <v>7861</v>
      </c>
      <c r="G94" s="8" t="s">
        <v>7710</v>
      </c>
      <c r="H94" s="74" t="s">
        <v>4497</v>
      </c>
      <c r="I94" s="74" t="s">
        <v>4498</v>
      </c>
      <c r="J94" s="72"/>
      <c r="K94" s="72"/>
      <c r="L94" s="81"/>
      <c r="M94" s="78" t="s">
        <v>4499</v>
      </c>
    </row>
    <row r="95" spans="1:13" ht="37.5">
      <c r="A95" s="74" t="s">
        <v>464</v>
      </c>
      <c r="B95" s="2" t="s">
        <v>547</v>
      </c>
      <c r="C95" s="2" t="s">
        <v>556</v>
      </c>
      <c r="D95" s="72" t="s">
        <v>556</v>
      </c>
      <c r="E95" s="72" t="s">
        <v>7904</v>
      </c>
      <c r="F95" s="8" t="s">
        <v>7861</v>
      </c>
      <c r="G95" s="8" t="s">
        <v>7710</v>
      </c>
      <c r="H95" s="74" t="s">
        <v>4497</v>
      </c>
      <c r="I95" s="74" t="s">
        <v>4500</v>
      </c>
      <c r="J95" s="72" t="s">
        <v>4501</v>
      </c>
      <c r="K95" s="72"/>
      <c r="L95" s="80" t="s">
        <v>4502</v>
      </c>
      <c r="M95" s="78" t="s">
        <v>4503</v>
      </c>
    </row>
    <row r="96" spans="1:13" ht="37.5">
      <c r="A96" s="74" t="s">
        <v>464</v>
      </c>
      <c r="B96" s="2" t="s">
        <v>547</v>
      </c>
      <c r="C96" s="2" t="s">
        <v>556</v>
      </c>
      <c r="D96" s="72" t="s">
        <v>556</v>
      </c>
      <c r="E96" s="72" t="s">
        <v>7904</v>
      </c>
      <c r="F96" s="8" t="s">
        <v>7861</v>
      </c>
      <c r="G96" s="8" t="s">
        <v>7710</v>
      </c>
      <c r="H96" s="74" t="s">
        <v>4504</v>
      </c>
      <c r="I96" s="74" t="s">
        <v>4505</v>
      </c>
      <c r="J96" s="72"/>
      <c r="K96" s="72"/>
      <c r="M96" s="78" t="s">
        <v>4506</v>
      </c>
    </row>
    <row r="97" spans="1:13" ht="37.5">
      <c r="A97" s="74" t="s">
        <v>464</v>
      </c>
      <c r="B97" s="2" t="s">
        <v>547</v>
      </c>
      <c r="C97" s="2" t="s">
        <v>556</v>
      </c>
      <c r="D97" s="72" t="s">
        <v>556</v>
      </c>
      <c r="E97" s="72" t="s">
        <v>7904</v>
      </c>
      <c r="F97" s="8" t="s">
        <v>7861</v>
      </c>
      <c r="G97" s="8" t="s">
        <v>7710</v>
      </c>
      <c r="H97" s="74" t="s">
        <v>4504</v>
      </c>
      <c r="I97" s="74" t="s">
        <v>4507</v>
      </c>
      <c r="J97" s="72"/>
      <c r="K97" s="72"/>
      <c r="M97" s="78" t="s">
        <v>4508</v>
      </c>
    </row>
    <row r="98" spans="1:13" ht="37.5">
      <c r="A98" s="74" t="s">
        <v>464</v>
      </c>
      <c r="B98" s="2" t="s">
        <v>547</v>
      </c>
      <c r="C98" s="2" t="s">
        <v>365</v>
      </c>
      <c r="D98" s="72" t="s">
        <v>365</v>
      </c>
      <c r="E98" s="72" t="s">
        <v>7888</v>
      </c>
      <c r="F98" s="8" t="s">
        <v>7861</v>
      </c>
      <c r="G98" s="8" t="s">
        <v>7710</v>
      </c>
      <c r="H98" s="74" t="s">
        <v>4509</v>
      </c>
      <c r="I98" s="74" t="s">
        <v>4510</v>
      </c>
      <c r="J98" s="72"/>
      <c r="K98" s="72"/>
      <c r="M98" s="78" t="s">
        <v>4511</v>
      </c>
    </row>
    <row r="99" spans="1:13" ht="37.5">
      <c r="A99" s="2" t="s">
        <v>464</v>
      </c>
      <c r="B99" s="2" t="s">
        <v>504</v>
      </c>
      <c r="C99" s="2" t="s">
        <v>509</v>
      </c>
      <c r="D99" s="72" t="s">
        <v>509</v>
      </c>
      <c r="E99" s="72" t="s">
        <v>7915</v>
      </c>
      <c r="F99" s="8" t="s">
        <v>7814</v>
      </c>
      <c r="G99" s="8" t="s">
        <v>7710</v>
      </c>
      <c r="H99" s="74" t="s">
        <v>510</v>
      </c>
      <c r="I99" s="74" t="s">
        <v>4512</v>
      </c>
      <c r="J99" s="72"/>
      <c r="K99" s="72"/>
      <c r="M99" s="78" t="s">
        <v>4513</v>
      </c>
    </row>
    <row r="100" spans="1:13" ht="37.5">
      <c r="A100" s="2" t="s">
        <v>464</v>
      </c>
      <c r="B100" s="2" t="s">
        <v>504</v>
      </c>
      <c r="C100" s="2" t="s">
        <v>509</v>
      </c>
      <c r="D100" s="72" t="s">
        <v>509</v>
      </c>
      <c r="E100" s="72" t="s">
        <v>7915</v>
      </c>
      <c r="F100" s="8" t="s">
        <v>7814</v>
      </c>
      <c r="G100" s="8" t="s">
        <v>7710</v>
      </c>
      <c r="H100" s="74" t="s">
        <v>510</v>
      </c>
      <c r="I100" s="74" t="s">
        <v>4514</v>
      </c>
      <c r="J100" s="72"/>
      <c r="K100" s="72"/>
      <c r="M100" s="78" t="s">
        <v>4515</v>
      </c>
    </row>
    <row r="101" spans="1:13" ht="37.5">
      <c r="A101" s="2" t="s">
        <v>464</v>
      </c>
      <c r="B101" s="2" t="s">
        <v>504</v>
      </c>
      <c r="C101" s="2" t="s">
        <v>509</v>
      </c>
      <c r="D101" s="72" t="s">
        <v>509</v>
      </c>
      <c r="E101" s="72" t="s">
        <v>7915</v>
      </c>
      <c r="F101" s="8" t="s">
        <v>7814</v>
      </c>
      <c r="G101" s="8" t="s">
        <v>7710</v>
      </c>
      <c r="H101" s="74" t="s">
        <v>510</v>
      </c>
      <c r="I101" s="74" t="s">
        <v>4516</v>
      </c>
      <c r="J101" s="72"/>
      <c r="K101" s="72"/>
      <c r="M101" s="78" t="s">
        <v>4517</v>
      </c>
    </row>
    <row r="102" spans="1:13" ht="37.5">
      <c r="A102" s="2" t="s">
        <v>464</v>
      </c>
      <c r="B102" s="2" t="s">
        <v>504</v>
      </c>
      <c r="C102" s="2" t="s">
        <v>509</v>
      </c>
      <c r="D102" s="72" t="s">
        <v>509</v>
      </c>
      <c r="E102" s="72" t="s">
        <v>7915</v>
      </c>
      <c r="F102" s="8" t="s">
        <v>7814</v>
      </c>
      <c r="G102" s="8" t="s">
        <v>7710</v>
      </c>
      <c r="H102" s="74" t="s">
        <v>510</v>
      </c>
      <c r="I102" s="74" t="s">
        <v>4518</v>
      </c>
      <c r="J102" s="72"/>
      <c r="K102" s="72"/>
      <c r="M102" s="78" t="s">
        <v>4519</v>
      </c>
    </row>
    <row r="103" spans="1:13" ht="25">
      <c r="A103" s="74" t="s">
        <v>464</v>
      </c>
      <c r="B103" s="76" t="s">
        <v>547</v>
      </c>
      <c r="C103" s="72" t="s">
        <v>4520</v>
      </c>
      <c r="D103" s="72" t="s">
        <v>4520</v>
      </c>
      <c r="E103" s="72" t="s">
        <v>7916</v>
      </c>
      <c r="F103" s="8" t="s">
        <v>7861</v>
      </c>
      <c r="G103" s="8" t="s">
        <v>7710</v>
      </c>
      <c r="H103" s="74" t="s">
        <v>4521</v>
      </c>
      <c r="I103" s="74" t="s">
        <v>4522</v>
      </c>
      <c r="J103" s="105" t="s">
        <v>4523</v>
      </c>
      <c r="K103" s="90" t="s">
        <v>4112</v>
      </c>
      <c r="L103" s="80" t="s">
        <v>4524</v>
      </c>
      <c r="M103" s="78" t="s">
        <v>4525</v>
      </c>
    </row>
    <row r="104" spans="1:13" ht="37.5">
      <c r="A104" s="2" t="s">
        <v>464</v>
      </c>
      <c r="B104" s="2" t="s">
        <v>504</v>
      </c>
      <c r="C104" s="2" t="s">
        <v>518</v>
      </c>
      <c r="D104" s="72" t="s">
        <v>518</v>
      </c>
      <c r="E104" s="72" t="s">
        <v>7917</v>
      </c>
      <c r="F104" s="8" t="s">
        <v>7814</v>
      </c>
      <c r="G104" s="8" t="s">
        <v>7710</v>
      </c>
      <c r="H104" s="74" t="s">
        <v>4526</v>
      </c>
      <c r="I104" s="74" t="s">
        <v>4527</v>
      </c>
      <c r="J104" s="105" t="s">
        <v>4528</v>
      </c>
      <c r="K104" s="90" t="s">
        <v>4112</v>
      </c>
      <c r="L104" s="80" t="s">
        <v>4529</v>
      </c>
      <c r="M104" s="78" t="s">
        <v>4530</v>
      </c>
    </row>
    <row r="105" spans="1:13" ht="37.5">
      <c r="A105" s="74" t="s">
        <v>464</v>
      </c>
      <c r="B105" s="2" t="s">
        <v>531</v>
      </c>
      <c r="C105" s="72" t="s">
        <v>535</v>
      </c>
      <c r="D105" s="72" t="s">
        <v>535</v>
      </c>
      <c r="E105" s="72" t="s">
        <v>7918</v>
      </c>
      <c r="F105" s="8" t="s">
        <v>7828</v>
      </c>
      <c r="G105" s="8" t="s">
        <v>7710</v>
      </c>
      <c r="H105" s="74" t="s">
        <v>4531</v>
      </c>
      <c r="I105" s="74" t="s">
        <v>4532</v>
      </c>
      <c r="J105" s="72" t="s">
        <v>3482</v>
      </c>
      <c r="K105" s="72"/>
      <c r="L105" s="80" t="s">
        <v>4533</v>
      </c>
      <c r="M105" s="78" t="s">
        <v>4534</v>
      </c>
    </row>
    <row r="106" spans="1:13" ht="25">
      <c r="A106" s="74" t="s">
        <v>464</v>
      </c>
      <c r="B106" s="72" t="s">
        <v>531</v>
      </c>
      <c r="C106" s="72" t="s">
        <v>4535</v>
      </c>
      <c r="D106" s="72" t="s">
        <v>4535</v>
      </c>
      <c r="E106" s="72" t="s">
        <v>7919</v>
      </c>
      <c r="F106" s="8" t="s">
        <v>7828</v>
      </c>
      <c r="G106" s="8" t="s">
        <v>7710</v>
      </c>
      <c r="H106" s="74" t="s">
        <v>4536</v>
      </c>
      <c r="I106" s="74" t="s">
        <v>4537</v>
      </c>
      <c r="J106" s="109">
        <v>2017</v>
      </c>
      <c r="K106" s="90" t="s">
        <v>4112</v>
      </c>
      <c r="L106" s="81" t="s">
        <v>3482</v>
      </c>
      <c r="M106" s="78" t="s">
        <v>4538</v>
      </c>
    </row>
    <row r="107" spans="1:13" ht="37.5">
      <c r="A107" s="2" t="s">
        <v>464</v>
      </c>
      <c r="B107" s="2" t="s">
        <v>547</v>
      </c>
      <c r="C107" s="2" t="s">
        <v>565</v>
      </c>
      <c r="D107" s="72" t="s">
        <v>565</v>
      </c>
      <c r="E107" s="72" t="s">
        <v>7860</v>
      </c>
      <c r="F107" s="8" t="s">
        <v>7861</v>
      </c>
      <c r="G107" s="8" t="s">
        <v>7710</v>
      </c>
      <c r="H107" s="74" t="s">
        <v>566</v>
      </c>
      <c r="I107" s="74" t="s">
        <v>4539</v>
      </c>
      <c r="J107" s="99" t="s">
        <v>4540</v>
      </c>
      <c r="K107" s="72"/>
      <c r="L107" s="80" t="s">
        <v>4541</v>
      </c>
      <c r="M107" s="78" t="s">
        <v>4542</v>
      </c>
    </row>
    <row r="108" spans="1:13" ht="37.5">
      <c r="A108" s="2" t="s">
        <v>464</v>
      </c>
      <c r="B108" s="2" t="s">
        <v>531</v>
      </c>
      <c r="C108" s="2" t="s">
        <v>541</v>
      </c>
      <c r="D108" s="72" t="s">
        <v>541</v>
      </c>
      <c r="E108" s="72" t="s">
        <v>7920</v>
      </c>
      <c r="F108" s="8" t="s">
        <v>7828</v>
      </c>
      <c r="G108" s="8" t="s">
        <v>7710</v>
      </c>
      <c r="H108" s="74" t="s">
        <v>4543</v>
      </c>
      <c r="I108" s="74" t="s">
        <v>4544</v>
      </c>
      <c r="J108" s="72" t="s">
        <v>4545</v>
      </c>
      <c r="K108" s="72"/>
      <c r="L108" s="80" t="s">
        <v>4546</v>
      </c>
      <c r="M108" s="78" t="s">
        <v>4547</v>
      </c>
    </row>
    <row r="109" spans="1:13" ht="37.5">
      <c r="A109" s="2" t="s">
        <v>464</v>
      </c>
      <c r="B109" s="2" t="s">
        <v>547</v>
      </c>
      <c r="C109" s="2" t="s">
        <v>568</v>
      </c>
      <c r="D109" s="72" t="s">
        <v>568</v>
      </c>
      <c r="E109" s="72" t="s">
        <v>7921</v>
      </c>
      <c r="F109" s="8" t="s">
        <v>7861</v>
      </c>
      <c r="G109" s="8" t="s">
        <v>7710</v>
      </c>
      <c r="H109" s="74" t="s">
        <v>569</v>
      </c>
      <c r="I109" s="74" t="s">
        <v>4548</v>
      </c>
      <c r="J109" s="79" t="s">
        <v>4549</v>
      </c>
      <c r="K109" s="90" t="s">
        <v>4112</v>
      </c>
      <c r="L109" s="80" t="s">
        <v>7683</v>
      </c>
      <c r="M109" s="78" t="s">
        <v>4550</v>
      </c>
    </row>
    <row r="110" spans="1:13" ht="37.5">
      <c r="A110" s="2" t="s">
        <v>464</v>
      </c>
      <c r="B110" s="2" t="s">
        <v>547</v>
      </c>
      <c r="C110" s="2" t="s">
        <v>568</v>
      </c>
      <c r="D110" s="72" t="s">
        <v>568</v>
      </c>
      <c r="E110" s="72" t="s">
        <v>7921</v>
      </c>
      <c r="F110" s="8" t="s">
        <v>7861</v>
      </c>
      <c r="G110" s="8" t="s">
        <v>7710</v>
      </c>
      <c r="H110" s="74" t="s">
        <v>569</v>
      </c>
      <c r="I110" s="74" t="s">
        <v>4551</v>
      </c>
      <c r="J110" s="99" t="s">
        <v>4552</v>
      </c>
      <c r="K110" s="72"/>
      <c r="L110" s="80" t="s">
        <v>4553</v>
      </c>
      <c r="M110" s="78" t="s">
        <v>4554</v>
      </c>
    </row>
    <row r="111" spans="1:13" ht="37.5">
      <c r="A111" s="2" t="s">
        <v>464</v>
      </c>
      <c r="B111" s="2" t="s">
        <v>547</v>
      </c>
      <c r="C111" s="2" t="s">
        <v>576</v>
      </c>
      <c r="D111" s="72" t="s">
        <v>576</v>
      </c>
      <c r="E111" s="72" t="s">
        <v>7922</v>
      </c>
      <c r="F111" s="8" t="s">
        <v>7861</v>
      </c>
      <c r="G111" s="8" t="s">
        <v>7710</v>
      </c>
      <c r="H111" s="74" t="s">
        <v>4555</v>
      </c>
      <c r="I111" s="74" t="s">
        <v>4556</v>
      </c>
      <c r="J111" s="72" t="s">
        <v>4557</v>
      </c>
      <c r="K111" s="90" t="s">
        <v>4112</v>
      </c>
      <c r="L111" s="80" t="s">
        <v>4558</v>
      </c>
      <c r="M111" s="78" t="s">
        <v>4559</v>
      </c>
    </row>
    <row r="112" spans="1:13" ht="37.5">
      <c r="A112" s="2" t="s">
        <v>464</v>
      </c>
      <c r="B112" s="2" t="s">
        <v>547</v>
      </c>
      <c r="C112" s="2" t="s">
        <v>576</v>
      </c>
      <c r="D112" s="72" t="s">
        <v>576</v>
      </c>
      <c r="E112" s="72" t="s">
        <v>7922</v>
      </c>
      <c r="F112" s="8" t="s">
        <v>7861</v>
      </c>
      <c r="G112" s="8" t="s">
        <v>7710</v>
      </c>
      <c r="H112" s="74" t="s">
        <v>4555</v>
      </c>
      <c r="I112" s="74" t="s">
        <v>4560</v>
      </c>
      <c r="J112" s="72"/>
      <c r="K112" s="72"/>
      <c r="M112" s="78" t="s">
        <v>4561</v>
      </c>
    </row>
    <row r="113" spans="1:13" ht="37.5">
      <c r="A113" s="2" t="s">
        <v>464</v>
      </c>
      <c r="B113" s="2" t="s">
        <v>547</v>
      </c>
      <c r="C113" s="2" t="s">
        <v>576</v>
      </c>
      <c r="D113" s="72" t="s">
        <v>576</v>
      </c>
      <c r="E113" s="72" t="s">
        <v>7922</v>
      </c>
      <c r="F113" s="8" t="s">
        <v>7861</v>
      </c>
      <c r="G113" s="8" t="s">
        <v>7710</v>
      </c>
      <c r="H113" s="74" t="s">
        <v>4555</v>
      </c>
      <c r="I113" s="74" t="s">
        <v>4562</v>
      </c>
      <c r="J113" s="72"/>
      <c r="K113" s="72"/>
      <c r="M113" s="78" t="s">
        <v>4563</v>
      </c>
    </row>
    <row r="114" spans="1:13" ht="25">
      <c r="A114" s="74" t="s">
        <v>584</v>
      </c>
      <c r="B114" s="72" t="s">
        <v>585</v>
      </c>
      <c r="C114" s="72" t="s">
        <v>4564</v>
      </c>
      <c r="D114" s="72" t="s">
        <v>4564</v>
      </c>
      <c r="E114" s="72" t="s">
        <v>7923</v>
      </c>
      <c r="F114" s="8" t="s">
        <v>7939</v>
      </c>
      <c r="G114" s="8" t="s">
        <v>7780</v>
      </c>
      <c r="H114" s="74" t="s">
        <v>4565</v>
      </c>
      <c r="I114" s="74" t="s">
        <v>4566</v>
      </c>
      <c r="J114" s="72" t="s">
        <v>4567</v>
      </c>
      <c r="K114" s="72"/>
      <c r="L114" s="80" t="s">
        <v>4568</v>
      </c>
      <c r="M114" s="78" t="s">
        <v>4569</v>
      </c>
    </row>
    <row r="115" spans="1:13" ht="37.5">
      <c r="A115" s="2" t="s">
        <v>464</v>
      </c>
      <c r="B115" s="2" t="s">
        <v>547</v>
      </c>
      <c r="C115" s="2" t="s">
        <v>571</v>
      </c>
      <c r="D115" s="72" t="s">
        <v>571</v>
      </c>
      <c r="E115" s="72" t="s">
        <v>7924</v>
      </c>
      <c r="F115" s="8" t="s">
        <v>7861</v>
      </c>
      <c r="G115" s="8" t="s">
        <v>7710</v>
      </c>
      <c r="H115" s="74" t="s">
        <v>4570</v>
      </c>
      <c r="I115" s="74" t="s">
        <v>4571</v>
      </c>
      <c r="J115" s="72" t="s">
        <v>4572</v>
      </c>
      <c r="K115" s="72"/>
      <c r="L115" s="80" t="s">
        <v>4573</v>
      </c>
      <c r="M115" s="78" t="s">
        <v>4574</v>
      </c>
    </row>
    <row r="116" spans="1:13" ht="37.5">
      <c r="A116" s="2" t="s">
        <v>464</v>
      </c>
      <c r="B116" s="2" t="s">
        <v>504</v>
      </c>
      <c r="C116" s="2" t="s">
        <v>523</v>
      </c>
      <c r="D116" s="72" t="s">
        <v>523</v>
      </c>
      <c r="E116" s="72" t="s">
        <v>7909</v>
      </c>
      <c r="F116" s="8" t="s">
        <v>7814</v>
      </c>
      <c r="G116" s="8" t="s">
        <v>7710</v>
      </c>
      <c r="H116" s="74" t="s">
        <v>4575</v>
      </c>
      <c r="I116" s="74" t="s">
        <v>4576</v>
      </c>
      <c r="J116" s="72" t="s">
        <v>4577</v>
      </c>
      <c r="K116" s="90" t="s">
        <v>4112</v>
      </c>
      <c r="L116" s="81" t="s">
        <v>3482</v>
      </c>
      <c r="M116" s="78" t="s">
        <v>4578</v>
      </c>
    </row>
    <row r="117" spans="1:13" ht="37.5">
      <c r="A117" s="74" t="s">
        <v>464</v>
      </c>
      <c r="B117" s="2" t="s">
        <v>547</v>
      </c>
      <c r="C117" s="110" t="s">
        <v>4579</v>
      </c>
      <c r="D117" s="72" t="s">
        <v>4579</v>
      </c>
      <c r="E117" s="72" t="s">
        <v>7925</v>
      </c>
      <c r="F117" s="8" t="s">
        <v>7861</v>
      </c>
      <c r="G117" s="8" t="s">
        <v>7710</v>
      </c>
      <c r="H117" s="74" t="s">
        <v>4580</v>
      </c>
      <c r="I117" s="74" t="s">
        <v>4581</v>
      </c>
      <c r="J117" s="105" t="s">
        <v>4582</v>
      </c>
      <c r="K117" s="90" t="s">
        <v>4112</v>
      </c>
      <c r="L117" s="80" t="s">
        <v>4583</v>
      </c>
      <c r="M117" s="78" t="s">
        <v>4584</v>
      </c>
    </row>
    <row r="118" spans="1:13" ht="37.5">
      <c r="A118" s="74" t="s">
        <v>464</v>
      </c>
      <c r="B118" s="2" t="s">
        <v>547</v>
      </c>
      <c r="C118" s="2" t="s">
        <v>556</v>
      </c>
      <c r="D118" s="72" t="s">
        <v>556</v>
      </c>
      <c r="E118" s="72" t="s">
        <v>7904</v>
      </c>
      <c r="F118" s="8" t="s">
        <v>7861</v>
      </c>
      <c r="G118" s="8" t="s">
        <v>7710</v>
      </c>
      <c r="H118" s="74" t="s">
        <v>4585</v>
      </c>
      <c r="I118" s="74" t="s">
        <v>4586</v>
      </c>
      <c r="J118" s="72"/>
      <c r="K118" s="72"/>
      <c r="M118" s="78" t="s">
        <v>4587</v>
      </c>
    </row>
    <row r="119" spans="1:13" ht="25">
      <c r="A119" s="74" t="s">
        <v>464</v>
      </c>
      <c r="B119" s="79" t="s">
        <v>547</v>
      </c>
      <c r="C119" s="72" t="s">
        <v>4588</v>
      </c>
      <c r="D119" s="72" t="s">
        <v>4588</v>
      </c>
      <c r="E119" s="72" t="s">
        <v>7926</v>
      </c>
      <c r="F119" s="8" t="s">
        <v>7861</v>
      </c>
      <c r="G119" s="8" t="s">
        <v>7710</v>
      </c>
      <c r="H119" s="74" t="s">
        <v>4589</v>
      </c>
      <c r="I119" s="74" t="s">
        <v>4590</v>
      </c>
      <c r="J119" s="72" t="s">
        <v>4591</v>
      </c>
      <c r="K119" s="90" t="s">
        <v>4112</v>
      </c>
      <c r="L119" s="80" t="s">
        <v>4592</v>
      </c>
      <c r="M119" s="78" t="s">
        <v>4593</v>
      </c>
    </row>
    <row r="120" spans="1:13" ht="37.5">
      <c r="A120" s="2" t="s">
        <v>464</v>
      </c>
      <c r="B120" s="2" t="s">
        <v>547</v>
      </c>
      <c r="C120" s="2" t="s">
        <v>582</v>
      </c>
      <c r="D120" s="72" t="s">
        <v>582</v>
      </c>
      <c r="E120" s="72" t="s">
        <v>7927</v>
      </c>
      <c r="F120" s="8" t="s">
        <v>7861</v>
      </c>
      <c r="G120" s="8" t="s">
        <v>7710</v>
      </c>
      <c r="H120" s="74" t="s">
        <v>4594</v>
      </c>
      <c r="I120" s="74" t="s">
        <v>4595</v>
      </c>
      <c r="J120" s="72" t="s">
        <v>3482</v>
      </c>
      <c r="K120" s="72"/>
      <c r="L120" s="81" t="s">
        <v>3482</v>
      </c>
      <c r="M120" s="78" t="s">
        <v>4596</v>
      </c>
    </row>
    <row r="121" spans="1:13" ht="37.5">
      <c r="A121" s="2" t="s">
        <v>464</v>
      </c>
      <c r="B121" s="2" t="s">
        <v>547</v>
      </c>
      <c r="C121" s="2" t="s">
        <v>582</v>
      </c>
      <c r="D121" s="72" t="s">
        <v>582</v>
      </c>
      <c r="E121" s="72" t="s">
        <v>7927</v>
      </c>
      <c r="F121" s="8" t="s">
        <v>7861</v>
      </c>
      <c r="G121" s="8" t="s">
        <v>7710</v>
      </c>
      <c r="H121" s="74" t="s">
        <v>4594</v>
      </c>
      <c r="I121" s="74" t="s">
        <v>4597</v>
      </c>
      <c r="J121" s="72" t="s">
        <v>3482</v>
      </c>
      <c r="K121" s="72"/>
      <c r="L121" s="81" t="s">
        <v>3482</v>
      </c>
      <c r="M121" s="78" t="s">
        <v>4598</v>
      </c>
    </row>
    <row r="122" spans="1:13" ht="37.5">
      <c r="A122" s="2" t="s">
        <v>464</v>
      </c>
      <c r="B122" s="2" t="s">
        <v>465</v>
      </c>
      <c r="C122" s="2" t="s">
        <v>477</v>
      </c>
      <c r="D122" s="72" t="s">
        <v>477</v>
      </c>
      <c r="E122" s="72" t="s">
        <v>7928</v>
      </c>
      <c r="F122" s="8" t="s">
        <v>7903</v>
      </c>
      <c r="G122" s="8" t="s">
        <v>7710</v>
      </c>
      <c r="H122" s="74" t="s">
        <v>478</v>
      </c>
      <c r="I122" s="74" t="s">
        <v>4599</v>
      </c>
      <c r="J122" s="104" t="s">
        <v>4600</v>
      </c>
      <c r="K122" s="72"/>
      <c r="M122" s="78" t="s">
        <v>4601</v>
      </c>
    </row>
    <row r="123" spans="1:13" ht="37.5">
      <c r="A123" s="2" t="s">
        <v>464</v>
      </c>
      <c r="B123" s="2" t="s">
        <v>504</v>
      </c>
      <c r="C123" s="2" t="s">
        <v>509</v>
      </c>
      <c r="D123" s="72" t="s">
        <v>509</v>
      </c>
      <c r="E123" s="72" t="s">
        <v>7915</v>
      </c>
      <c r="F123" s="8" t="s">
        <v>7814</v>
      </c>
      <c r="G123" s="8" t="s">
        <v>7710</v>
      </c>
      <c r="H123" s="74" t="s">
        <v>4602</v>
      </c>
      <c r="I123" s="74" t="s">
        <v>4603</v>
      </c>
      <c r="J123" s="104" t="s">
        <v>4604</v>
      </c>
      <c r="K123" s="72"/>
      <c r="L123" s="80" t="s">
        <v>4605</v>
      </c>
      <c r="M123" s="78" t="s">
        <v>4606</v>
      </c>
    </row>
    <row r="124" spans="1:13" ht="37.5">
      <c r="A124" s="2" t="s">
        <v>464</v>
      </c>
      <c r="B124" s="2" t="s">
        <v>465</v>
      </c>
      <c r="C124" s="2" t="s">
        <v>470</v>
      </c>
      <c r="D124" s="72" t="s">
        <v>470</v>
      </c>
      <c r="E124" s="72" t="s">
        <v>7929</v>
      </c>
      <c r="F124" s="8" t="s">
        <v>7903</v>
      </c>
      <c r="G124" s="8" t="s">
        <v>7710</v>
      </c>
      <c r="H124" s="74" t="s">
        <v>4607</v>
      </c>
      <c r="I124" s="74" t="s">
        <v>4608</v>
      </c>
      <c r="J124" s="104"/>
      <c r="K124" s="72"/>
      <c r="M124" s="78" t="s">
        <v>4609</v>
      </c>
    </row>
    <row r="125" spans="1:13" ht="37.5">
      <c r="A125" s="2" t="s">
        <v>464</v>
      </c>
      <c r="B125" s="2" t="s">
        <v>465</v>
      </c>
      <c r="C125" s="2" t="s">
        <v>470</v>
      </c>
      <c r="D125" s="72" t="s">
        <v>470</v>
      </c>
      <c r="E125" s="72" t="s">
        <v>7929</v>
      </c>
      <c r="F125" s="8" t="s">
        <v>7903</v>
      </c>
      <c r="G125" s="8" t="s">
        <v>7710</v>
      </c>
      <c r="H125" s="74" t="s">
        <v>4610</v>
      </c>
      <c r="I125" s="74" t="s">
        <v>4611</v>
      </c>
      <c r="J125" s="104"/>
      <c r="K125" s="72"/>
      <c r="L125" s="80" t="s">
        <v>4612</v>
      </c>
      <c r="M125" s="78" t="s">
        <v>4613</v>
      </c>
    </row>
    <row r="126" spans="1:13" ht="37.5">
      <c r="A126" s="74" t="s">
        <v>464</v>
      </c>
      <c r="B126" s="87" t="s">
        <v>483</v>
      </c>
      <c r="C126" s="98" t="s">
        <v>484</v>
      </c>
      <c r="D126" s="72" t="s">
        <v>484</v>
      </c>
      <c r="E126" s="72" t="s">
        <v>7910</v>
      </c>
      <c r="F126" s="8" t="s">
        <v>7911</v>
      </c>
      <c r="G126" s="8" t="s">
        <v>7710</v>
      </c>
      <c r="H126" s="74" t="s">
        <v>4614</v>
      </c>
      <c r="I126" s="74" t="s">
        <v>4615</v>
      </c>
      <c r="J126" s="79" t="s">
        <v>4616</v>
      </c>
      <c r="K126" s="72"/>
      <c r="M126" s="78" t="s">
        <v>4617</v>
      </c>
    </row>
    <row r="127" spans="1:13" ht="37.5">
      <c r="A127" s="2" t="s">
        <v>464</v>
      </c>
      <c r="B127" s="2" t="s">
        <v>483</v>
      </c>
      <c r="C127" s="2" t="s">
        <v>499</v>
      </c>
      <c r="D127" s="72" t="s">
        <v>499</v>
      </c>
      <c r="E127" s="72" t="s">
        <v>7930</v>
      </c>
      <c r="F127" s="8" t="s">
        <v>7911</v>
      </c>
      <c r="G127" s="8" t="s">
        <v>7710</v>
      </c>
      <c r="H127" s="74" t="s">
        <v>4618</v>
      </c>
      <c r="I127" s="74" t="s">
        <v>4619</v>
      </c>
      <c r="J127" s="72"/>
      <c r="K127" s="72"/>
      <c r="M127" s="78" t="s">
        <v>4620</v>
      </c>
    </row>
    <row r="128" spans="1:13" ht="37.5">
      <c r="A128" s="2" t="s">
        <v>464</v>
      </c>
      <c r="B128" s="2" t="s">
        <v>504</v>
      </c>
      <c r="C128" s="2" t="s">
        <v>521</v>
      </c>
      <c r="D128" s="72" t="s">
        <v>521</v>
      </c>
      <c r="E128" s="72" t="s">
        <v>7931</v>
      </c>
      <c r="F128" s="8" t="s">
        <v>7814</v>
      </c>
      <c r="G128" s="8" t="s">
        <v>7710</v>
      </c>
      <c r="H128" s="74" t="s">
        <v>4621</v>
      </c>
      <c r="I128" s="74" t="s">
        <v>4622</v>
      </c>
      <c r="J128" s="72"/>
      <c r="K128" s="72"/>
      <c r="M128" s="78" t="s">
        <v>4623</v>
      </c>
    </row>
    <row r="129" spans="1:13" ht="25">
      <c r="A129" s="74" t="s">
        <v>464</v>
      </c>
      <c r="B129" s="2" t="s">
        <v>465</v>
      </c>
      <c r="C129" s="72" t="s">
        <v>4624</v>
      </c>
      <c r="D129" s="72" t="s">
        <v>4624</v>
      </c>
      <c r="E129" s="72" t="s">
        <v>7928</v>
      </c>
      <c r="F129" s="8" t="s">
        <v>7903</v>
      </c>
      <c r="G129" s="8" t="s">
        <v>7710</v>
      </c>
      <c r="H129" s="74" t="s">
        <v>4625</v>
      </c>
      <c r="I129" s="74" t="s">
        <v>4626</v>
      </c>
      <c r="J129" s="72"/>
      <c r="K129" s="72"/>
      <c r="M129" s="78" t="s">
        <v>4627</v>
      </c>
    </row>
    <row r="130" spans="1:13" ht="37.5">
      <c r="A130" s="2" t="s">
        <v>464</v>
      </c>
      <c r="B130" s="2" t="s">
        <v>465</v>
      </c>
      <c r="C130" s="2" t="s">
        <v>468</v>
      </c>
      <c r="D130" s="72" t="s">
        <v>468</v>
      </c>
      <c r="E130" s="72" t="s">
        <v>7932</v>
      </c>
      <c r="F130" s="8" t="s">
        <v>7903</v>
      </c>
      <c r="G130" s="8" t="s">
        <v>7710</v>
      </c>
      <c r="H130" s="74" t="s">
        <v>4628</v>
      </c>
      <c r="I130" s="74" t="s">
        <v>4629</v>
      </c>
      <c r="J130" s="72"/>
      <c r="K130" s="72"/>
      <c r="M130" s="78" t="s">
        <v>4630</v>
      </c>
    </row>
    <row r="131" spans="1:13" ht="37.5">
      <c r="A131" s="2" t="s">
        <v>464</v>
      </c>
      <c r="B131" s="2" t="s">
        <v>465</v>
      </c>
      <c r="C131" s="2" t="s">
        <v>468</v>
      </c>
      <c r="D131" s="72" t="s">
        <v>468</v>
      </c>
      <c r="E131" s="72" t="s">
        <v>7932</v>
      </c>
      <c r="F131" s="8" t="s">
        <v>7903</v>
      </c>
      <c r="G131" s="8" t="s">
        <v>7710</v>
      </c>
      <c r="H131" s="74" t="s">
        <v>4628</v>
      </c>
      <c r="I131" s="74" t="s">
        <v>4631</v>
      </c>
      <c r="J131" s="72"/>
      <c r="K131" s="72"/>
      <c r="M131" s="78" t="s">
        <v>4632</v>
      </c>
    </row>
    <row r="132" spans="1:13" ht="37.5">
      <c r="A132" s="74" t="s">
        <v>464</v>
      </c>
      <c r="B132" s="2" t="s">
        <v>504</v>
      </c>
      <c r="C132" s="2" t="s">
        <v>505</v>
      </c>
      <c r="D132" s="72" t="s">
        <v>505</v>
      </c>
      <c r="E132" s="72" t="s">
        <v>7933</v>
      </c>
      <c r="F132" s="8" t="s">
        <v>7814</v>
      </c>
      <c r="G132" s="8" t="s">
        <v>7710</v>
      </c>
      <c r="H132" s="74" t="s">
        <v>4633</v>
      </c>
      <c r="I132" s="74" t="s">
        <v>4634</v>
      </c>
      <c r="J132" s="72"/>
      <c r="K132" s="72"/>
      <c r="M132" s="78" t="s">
        <v>4635</v>
      </c>
    </row>
    <row r="133" spans="1:13" ht="37.5">
      <c r="A133" s="2" t="s">
        <v>464</v>
      </c>
      <c r="B133" s="2" t="s">
        <v>504</v>
      </c>
      <c r="C133" s="2" t="s">
        <v>512</v>
      </c>
      <c r="D133" s="72" t="s">
        <v>512</v>
      </c>
      <c r="E133" s="72" t="s">
        <v>7906</v>
      </c>
      <c r="F133" s="8" t="s">
        <v>7814</v>
      </c>
      <c r="G133" s="8" t="s">
        <v>7710</v>
      </c>
      <c r="H133" s="74" t="s">
        <v>4636</v>
      </c>
      <c r="I133" s="74" t="s">
        <v>4637</v>
      </c>
      <c r="J133" s="72"/>
      <c r="K133" s="72"/>
      <c r="M133" s="78" t="s">
        <v>4638</v>
      </c>
    </row>
    <row r="134" spans="1:13" ht="37.5">
      <c r="A134" s="2" t="s">
        <v>2527</v>
      </c>
      <c r="B134" s="2" t="s">
        <v>2601</v>
      </c>
      <c r="C134" s="2" t="s">
        <v>2619</v>
      </c>
      <c r="D134" s="72" t="s">
        <v>2619</v>
      </c>
      <c r="E134" s="72" t="s">
        <v>7934</v>
      </c>
      <c r="F134" s="8" t="s">
        <v>7859</v>
      </c>
      <c r="G134" s="8" t="s">
        <v>7727</v>
      </c>
      <c r="H134" s="74" t="s">
        <v>4639</v>
      </c>
      <c r="I134" s="74" t="s">
        <v>4640</v>
      </c>
      <c r="J134" s="72"/>
      <c r="K134" s="72"/>
      <c r="M134" s="78" t="s">
        <v>4641</v>
      </c>
    </row>
    <row r="135" spans="1:13" ht="37.5">
      <c r="A135" s="74" t="s">
        <v>464</v>
      </c>
      <c r="B135" s="72" t="s">
        <v>547</v>
      </c>
      <c r="C135" s="72" t="s">
        <v>562</v>
      </c>
      <c r="D135" s="72" t="s">
        <v>562</v>
      </c>
      <c r="E135" s="72" t="s">
        <v>7916</v>
      </c>
      <c r="F135" s="8" t="s">
        <v>7861</v>
      </c>
      <c r="G135" s="8" t="s">
        <v>7710</v>
      </c>
      <c r="H135" s="74" t="s">
        <v>4642</v>
      </c>
      <c r="I135" s="74" t="s">
        <v>4643</v>
      </c>
      <c r="J135" s="72"/>
      <c r="K135" s="72"/>
      <c r="M135" s="78" t="s">
        <v>4644</v>
      </c>
    </row>
    <row r="136" spans="1:13" ht="37.5">
      <c r="A136" s="74" t="s">
        <v>464</v>
      </c>
      <c r="B136" s="72" t="s">
        <v>547</v>
      </c>
      <c r="C136" s="72" t="s">
        <v>562</v>
      </c>
      <c r="D136" s="72" t="s">
        <v>562</v>
      </c>
      <c r="E136" s="72" t="s">
        <v>7916</v>
      </c>
      <c r="F136" s="8" t="s">
        <v>7861</v>
      </c>
      <c r="G136" s="8" t="s">
        <v>7710</v>
      </c>
      <c r="H136" s="74" t="s">
        <v>4645</v>
      </c>
      <c r="I136" s="74" t="s">
        <v>4646</v>
      </c>
      <c r="J136" s="72"/>
      <c r="K136" s="72"/>
      <c r="M136" s="78" t="s">
        <v>4647</v>
      </c>
    </row>
    <row r="137" spans="1:13" ht="37.5">
      <c r="A137" s="2" t="s">
        <v>464</v>
      </c>
      <c r="B137" s="2" t="s">
        <v>547</v>
      </c>
      <c r="C137" s="2" t="s">
        <v>562</v>
      </c>
      <c r="D137" s="72" t="s">
        <v>562</v>
      </c>
      <c r="E137" s="72" t="s">
        <v>7916</v>
      </c>
      <c r="F137" s="8" t="s">
        <v>7861</v>
      </c>
      <c r="G137" s="8" t="s">
        <v>7710</v>
      </c>
      <c r="H137" s="74" t="s">
        <v>4648</v>
      </c>
      <c r="I137" s="74" t="s">
        <v>4649</v>
      </c>
      <c r="J137" s="72"/>
      <c r="K137" s="72"/>
      <c r="M137" s="78" t="s">
        <v>4650</v>
      </c>
    </row>
    <row r="138" spans="1:13" ht="37.5">
      <c r="A138" s="74" t="s">
        <v>464</v>
      </c>
      <c r="B138" s="72" t="s">
        <v>531</v>
      </c>
      <c r="C138" s="72" t="s">
        <v>532</v>
      </c>
      <c r="D138" s="72" t="s">
        <v>532</v>
      </c>
      <c r="E138" s="72" t="s">
        <v>7935</v>
      </c>
      <c r="F138" s="8" t="s">
        <v>7828</v>
      </c>
      <c r="G138" s="8" t="s">
        <v>7710</v>
      </c>
      <c r="H138" s="74" t="s">
        <v>4651</v>
      </c>
      <c r="I138" s="74" t="s">
        <v>4652</v>
      </c>
      <c r="J138" s="72"/>
      <c r="K138" s="72"/>
      <c r="M138" s="78" t="s">
        <v>4653</v>
      </c>
    </row>
    <row r="139" spans="1:13" ht="37.5">
      <c r="A139" s="2" t="s">
        <v>464</v>
      </c>
      <c r="B139" s="2" t="s">
        <v>547</v>
      </c>
      <c r="C139" s="2" t="s">
        <v>571</v>
      </c>
      <c r="D139" s="72" t="s">
        <v>571</v>
      </c>
      <c r="E139" s="72" t="s">
        <v>7924</v>
      </c>
      <c r="F139" s="8" t="s">
        <v>7861</v>
      </c>
      <c r="G139" s="8" t="s">
        <v>7710</v>
      </c>
      <c r="H139" s="74" t="s">
        <v>4654</v>
      </c>
      <c r="I139" s="74" t="s">
        <v>4655</v>
      </c>
      <c r="J139" s="72"/>
      <c r="K139" s="72"/>
      <c r="M139" s="78" t="s">
        <v>4656</v>
      </c>
    </row>
    <row r="140" spans="1:13" ht="37.5">
      <c r="A140" s="2" t="s">
        <v>464</v>
      </c>
      <c r="B140" s="2" t="s">
        <v>547</v>
      </c>
      <c r="C140" s="2" t="s">
        <v>406</v>
      </c>
      <c r="D140" s="72" t="s">
        <v>406</v>
      </c>
      <c r="E140" s="72" t="s">
        <v>7894</v>
      </c>
      <c r="F140" s="8" t="s">
        <v>7861</v>
      </c>
      <c r="G140" s="8" t="s">
        <v>7710</v>
      </c>
      <c r="H140" s="74" t="s">
        <v>4657</v>
      </c>
      <c r="I140" s="74" t="s">
        <v>4658</v>
      </c>
      <c r="J140" s="72"/>
      <c r="K140" s="72"/>
      <c r="M140" s="78" t="s">
        <v>4659</v>
      </c>
    </row>
    <row r="141" spans="1:13" ht="37.5">
      <c r="A141" s="2" t="s">
        <v>464</v>
      </c>
      <c r="B141" s="2" t="s">
        <v>547</v>
      </c>
      <c r="C141" s="2" t="s">
        <v>571</v>
      </c>
      <c r="D141" s="72" t="s">
        <v>571</v>
      </c>
      <c r="E141" s="72" t="s">
        <v>7924</v>
      </c>
      <c r="F141" s="8" t="s">
        <v>7861</v>
      </c>
      <c r="G141" s="8" t="s">
        <v>7710</v>
      </c>
      <c r="H141" s="74" t="s">
        <v>4660</v>
      </c>
      <c r="I141" s="74" t="s">
        <v>4661</v>
      </c>
      <c r="J141" s="72"/>
      <c r="K141" s="72"/>
      <c r="M141" s="78" t="s">
        <v>4662</v>
      </c>
    </row>
    <row r="142" spans="1:13" ht="37.5">
      <c r="A142" s="2" t="s">
        <v>464</v>
      </c>
      <c r="B142" s="2" t="s">
        <v>547</v>
      </c>
      <c r="C142" s="2" t="s">
        <v>553</v>
      </c>
      <c r="D142" s="72" t="s">
        <v>553</v>
      </c>
      <c r="E142" s="72" t="s">
        <v>7926</v>
      </c>
      <c r="F142" s="8" t="s">
        <v>7861</v>
      </c>
      <c r="G142" s="8" t="s">
        <v>7710</v>
      </c>
      <c r="H142" s="74" t="s">
        <v>4663</v>
      </c>
      <c r="I142" s="74" t="s">
        <v>4664</v>
      </c>
      <c r="J142" s="72"/>
      <c r="K142" s="72"/>
      <c r="M142" s="78" t="s">
        <v>4665</v>
      </c>
    </row>
    <row r="143" spans="1:13" ht="37.5">
      <c r="A143" s="2" t="s">
        <v>464</v>
      </c>
      <c r="B143" s="2" t="s">
        <v>547</v>
      </c>
      <c r="C143" s="2" t="s">
        <v>559</v>
      </c>
      <c r="D143" s="72" t="s">
        <v>559</v>
      </c>
      <c r="E143" s="72" t="s">
        <v>7936</v>
      </c>
      <c r="F143" s="8" t="s">
        <v>7861</v>
      </c>
      <c r="G143" s="8" t="s">
        <v>7710</v>
      </c>
      <c r="H143" s="74" t="s">
        <v>560</v>
      </c>
      <c r="I143" s="74" t="s">
        <v>4666</v>
      </c>
      <c r="J143" s="72"/>
      <c r="K143" s="72"/>
      <c r="M143" s="78" t="s">
        <v>4667</v>
      </c>
    </row>
    <row r="144" spans="1:13" ht="25">
      <c r="A144" s="74" t="s">
        <v>464</v>
      </c>
      <c r="B144" s="87" t="s">
        <v>483</v>
      </c>
      <c r="C144" s="72" t="s">
        <v>4668</v>
      </c>
      <c r="D144" s="72" t="s">
        <v>4668</v>
      </c>
      <c r="E144" s="72" t="s">
        <v>7937</v>
      </c>
      <c r="F144" s="8" t="s">
        <v>7911</v>
      </c>
      <c r="G144" s="8" t="s">
        <v>7710</v>
      </c>
      <c r="H144" s="74" t="s">
        <v>4669</v>
      </c>
      <c r="I144" s="74" t="s">
        <v>4670</v>
      </c>
      <c r="J144" s="72"/>
      <c r="K144" s="72"/>
      <c r="M144" s="78" t="s">
        <v>4671</v>
      </c>
    </row>
    <row r="145" spans="1:13" ht="37.5">
      <c r="A145" s="74" t="s">
        <v>464</v>
      </c>
      <c r="B145" s="2" t="s">
        <v>504</v>
      </c>
      <c r="C145" s="2" t="s">
        <v>505</v>
      </c>
      <c r="D145" s="72" t="s">
        <v>505</v>
      </c>
      <c r="E145" s="72" t="s">
        <v>7933</v>
      </c>
      <c r="F145" s="8" t="s">
        <v>7814</v>
      </c>
      <c r="G145" s="8" t="s">
        <v>7710</v>
      </c>
      <c r="H145" s="74" t="s">
        <v>4672</v>
      </c>
      <c r="I145" s="74" t="s">
        <v>4673</v>
      </c>
      <c r="J145" s="72"/>
      <c r="K145" s="72"/>
      <c r="M145" s="78" t="s">
        <v>4674</v>
      </c>
    </row>
    <row r="146" spans="1:13" ht="37.5">
      <c r="A146" s="2" t="s">
        <v>584</v>
      </c>
      <c r="B146" s="2" t="s">
        <v>607</v>
      </c>
      <c r="C146" s="2" t="s">
        <v>629</v>
      </c>
      <c r="D146" s="72" t="s">
        <v>629</v>
      </c>
      <c r="E146" s="72" t="s">
        <v>7780</v>
      </c>
      <c r="F146" s="8" t="s">
        <v>7788</v>
      </c>
      <c r="G146" s="8" t="s">
        <v>7780</v>
      </c>
      <c r="H146" s="74" t="s">
        <v>4675</v>
      </c>
      <c r="I146" s="74" t="s">
        <v>4676</v>
      </c>
      <c r="J146" s="72"/>
      <c r="K146" s="72"/>
      <c r="M146" s="78" t="s">
        <v>4677</v>
      </c>
    </row>
    <row r="147" spans="1:13" ht="37.5">
      <c r="A147" s="2" t="s">
        <v>584</v>
      </c>
      <c r="B147" s="2" t="s">
        <v>585</v>
      </c>
      <c r="C147" s="2" t="s">
        <v>589</v>
      </c>
      <c r="D147" s="72" t="s">
        <v>589</v>
      </c>
      <c r="E147" s="72" t="s">
        <v>7938</v>
      </c>
      <c r="F147" s="8" t="s">
        <v>7939</v>
      </c>
      <c r="G147" s="8" t="s">
        <v>7780</v>
      </c>
      <c r="H147" s="74" t="s">
        <v>4678</v>
      </c>
      <c r="I147" s="74" t="s">
        <v>4679</v>
      </c>
      <c r="J147" s="72"/>
      <c r="K147" s="72"/>
      <c r="M147" s="78" t="s">
        <v>4680</v>
      </c>
    </row>
    <row r="148" spans="1:13" ht="37.5">
      <c r="A148" s="2" t="s">
        <v>584</v>
      </c>
      <c r="B148" s="2" t="s">
        <v>676</v>
      </c>
      <c r="C148" s="2" t="s">
        <v>686</v>
      </c>
      <c r="D148" s="72" t="s">
        <v>686</v>
      </c>
      <c r="E148" s="72" t="s">
        <v>7940</v>
      </c>
      <c r="F148" s="8" t="s">
        <v>7941</v>
      </c>
      <c r="G148" s="8" t="s">
        <v>7780</v>
      </c>
      <c r="H148" s="74" t="s">
        <v>4681</v>
      </c>
      <c r="I148" s="74" t="s">
        <v>4682</v>
      </c>
      <c r="J148" s="72"/>
      <c r="K148" s="72"/>
      <c r="M148" s="78" t="s">
        <v>4683</v>
      </c>
    </row>
    <row r="149" spans="1:13" ht="37.5">
      <c r="A149" s="74" t="s">
        <v>584</v>
      </c>
      <c r="B149" s="72" t="s">
        <v>4684</v>
      </c>
      <c r="C149" s="87" t="s">
        <v>4685</v>
      </c>
      <c r="D149" s="72" t="s">
        <v>4685</v>
      </c>
      <c r="E149" s="8" t="s">
        <v>7836</v>
      </c>
      <c r="F149" s="8" t="s">
        <v>722</v>
      </c>
      <c r="G149" s="8" t="s">
        <v>7780</v>
      </c>
      <c r="H149" s="74" t="s">
        <v>4686</v>
      </c>
      <c r="I149" s="74" t="s">
        <v>4687</v>
      </c>
      <c r="J149" s="72"/>
      <c r="K149" s="72"/>
      <c r="M149" s="78" t="s">
        <v>4688</v>
      </c>
    </row>
    <row r="150" spans="1:13" ht="37.5">
      <c r="A150" s="2" t="s">
        <v>584</v>
      </c>
      <c r="B150" s="2" t="s">
        <v>676</v>
      </c>
      <c r="C150" s="2" t="s">
        <v>691</v>
      </c>
      <c r="D150" s="72" t="s">
        <v>691</v>
      </c>
      <c r="E150" s="72" t="s">
        <v>7942</v>
      </c>
      <c r="F150" s="8" t="s">
        <v>7941</v>
      </c>
      <c r="G150" s="8" t="s">
        <v>7780</v>
      </c>
      <c r="H150" s="74" t="s">
        <v>4689</v>
      </c>
      <c r="I150" s="74" t="s">
        <v>4690</v>
      </c>
      <c r="J150" s="72"/>
      <c r="K150" s="72"/>
      <c r="M150" s="78" t="s">
        <v>4691</v>
      </c>
    </row>
    <row r="151" spans="1:13" ht="37.5">
      <c r="A151" s="2" t="s">
        <v>584</v>
      </c>
      <c r="B151" s="2" t="s">
        <v>607</v>
      </c>
      <c r="C151" s="2" t="s">
        <v>661</v>
      </c>
      <c r="D151" s="72" t="s">
        <v>661</v>
      </c>
      <c r="E151" s="72" t="s">
        <v>7943</v>
      </c>
      <c r="F151" s="8" t="s">
        <v>7788</v>
      </c>
      <c r="G151" s="8" t="s">
        <v>7780</v>
      </c>
      <c r="H151" s="74" t="s">
        <v>4692</v>
      </c>
      <c r="I151" s="74" t="s">
        <v>4693</v>
      </c>
      <c r="J151" s="72"/>
      <c r="K151" s="72"/>
      <c r="M151" s="78" t="s">
        <v>4694</v>
      </c>
    </row>
    <row r="152" spans="1:13" ht="37.5">
      <c r="A152" s="2" t="s">
        <v>733</v>
      </c>
      <c r="B152" s="2" t="s">
        <v>762</v>
      </c>
      <c r="C152" s="2" t="s">
        <v>783</v>
      </c>
      <c r="D152" s="72" t="s">
        <v>783</v>
      </c>
      <c r="E152" s="72" t="s">
        <v>7944</v>
      </c>
      <c r="F152" s="8" t="s">
        <v>7945</v>
      </c>
      <c r="G152" s="8" t="s">
        <v>7807</v>
      </c>
      <c r="H152" s="74" t="s">
        <v>4695</v>
      </c>
      <c r="I152" s="74" t="s">
        <v>4696</v>
      </c>
      <c r="J152" s="72"/>
      <c r="K152" s="72"/>
      <c r="M152" s="78" t="s">
        <v>4697</v>
      </c>
    </row>
    <row r="153" spans="1:13" ht="37.5">
      <c r="A153" s="2" t="s">
        <v>733</v>
      </c>
      <c r="B153" s="2" t="s">
        <v>734</v>
      </c>
      <c r="C153" s="2" t="s">
        <v>750</v>
      </c>
      <c r="D153" s="72" t="s">
        <v>750</v>
      </c>
      <c r="E153" s="72" t="s">
        <v>7946</v>
      </c>
      <c r="F153" s="8" t="s">
        <v>7947</v>
      </c>
      <c r="G153" s="8" t="s">
        <v>7807</v>
      </c>
      <c r="H153" s="74" t="s">
        <v>4698</v>
      </c>
      <c r="I153" s="74" t="s">
        <v>4699</v>
      </c>
      <c r="J153" s="72"/>
      <c r="K153" s="72"/>
      <c r="M153" s="78" t="s">
        <v>4700</v>
      </c>
    </row>
    <row r="154" spans="1:13" ht="37.5">
      <c r="A154" s="2" t="s">
        <v>733</v>
      </c>
      <c r="B154" s="2" t="s">
        <v>879</v>
      </c>
      <c r="C154" s="2" t="s">
        <v>880</v>
      </c>
      <c r="D154" s="72" t="s">
        <v>880</v>
      </c>
      <c r="E154" s="72" t="s">
        <v>7808</v>
      </c>
      <c r="F154" s="8" t="s">
        <v>7948</v>
      </c>
      <c r="G154" s="8" t="s">
        <v>7807</v>
      </c>
      <c r="H154" s="74" t="s">
        <v>4701</v>
      </c>
      <c r="I154" s="74" t="s">
        <v>4702</v>
      </c>
      <c r="J154" s="72"/>
      <c r="K154" s="72"/>
      <c r="M154" s="78" t="s">
        <v>4703</v>
      </c>
    </row>
    <row r="155" spans="1:13" ht="37.5">
      <c r="A155" s="2" t="s">
        <v>733</v>
      </c>
      <c r="B155" s="2" t="s">
        <v>813</v>
      </c>
      <c r="C155" s="2" t="s">
        <v>833</v>
      </c>
      <c r="D155" s="72" t="s">
        <v>833</v>
      </c>
      <c r="E155" s="72" t="s">
        <v>7812</v>
      </c>
      <c r="F155" s="8" t="s">
        <v>7806</v>
      </c>
      <c r="G155" s="8" t="s">
        <v>7807</v>
      </c>
      <c r="H155" s="74" t="s">
        <v>4704</v>
      </c>
      <c r="I155" s="74" t="s">
        <v>4705</v>
      </c>
      <c r="J155" s="72"/>
      <c r="K155" s="72"/>
      <c r="M155" s="78" t="s">
        <v>4706</v>
      </c>
    </row>
    <row r="156" spans="1:13" ht="37.5">
      <c r="A156" s="2" t="s">
        <v>733</v>
      </c>
      <c r="B156" s="2" t="s">
        <v>800</v>
      </c>
      <c r="C156" s="2" t="s">
        <v>810</v>
      </c>
      <c r="D156" s="72" t="s">
        <v>810</v>
      </c>
      <c r="E156" s="72" t="s">
        <v>7949</v>
      </c>
      <c r="F156" s="8" t="s">
        <v>7855</v>
      </c>
      <c r="G156" s="8" t="s">
        <v>7807</v>
      </c>
      <c r="H156" s="74" t="s">
        <v>4707</v>
      </c>
      <c r="I156" s="74" t="s">
        <v>4708</v>
      </c>
      <c r="J156" s="72"/>
      <c r="K156" s="72"/>
      <c r="M156" s="78" t="s">
        <v>4709</v>
      </c>
    </row>
    <row r="157" spans="1:13" ht="37.5">
      <c r="A157" s="2" t="s">
        <v>733</v>
      </c>
      <c r="B157" s="2" t="s">
        <v>841</v>
      </c>
      <c r="C157" s="2" t="s">
        <v>857</v>
      </c>
      <c r="D157" s="72" t="s">
        <v>857</v>
      </c>
      <c r="E157" s="72" t="s">
        <v>7811</v>
      </c>
      <c r="F157" s="8" t="s">
        <v>7809</v>
      </c>
      <c r="G157" s="8" t="s">
        <v>7807</v>
      </c>
      <c r="H157" s="74" t="s">
        <v>4710</v>
      </c>
      <c r="I157" s="74" t="s">
        <v>4711</v>
      </c>
      <c r="J157" s="72"/>
      <c r="K157" s="72"/>
      <c r="M157" s="78" t="s">
        <v>4712</v>
      </c>
    </row>
    <row r="158" spans="1:13" ht="37.5">
      <c r="A158" s="2" t="s">
        <v>733</v>
      </c>
      <c r="B158" s="2" t="s">
        <v>879</v>
      </c>
      <c r="C158" s="2" t="s">
        <v>891</v>
      </c>
      <c r="D158" s="72" t="s">
        <v>891</v>
      </c>
      <c r="E158" s="72" t="s">
        <v>7950</v>
      </c>
      <c r="F158" s="8" t="s">
        <v>7948</v>
      </c>
      <c r="G158" s="8" t="s">
        <v>7807</v>
      </c>
      <c r="H158" s="74" t="s">
        <v>4713</v>
      </c>
      <c r="I158" s="74" t="s">
        <v>4714</v>
      </c>
      <c r="J158" s="72"/>
      <c r="K158" s="72"/>
      <c r="M158" s="78" t="s">
        <v>4715</v>
      </c>
    </row>
    <row r="159" spans="1:13" ht="37.5">
      <c r="A159" s="2" t="s">
        <v>915</v>
      </c>
      <c r="B159" s="2" t="s">
        <v>963</v>
      </c>
      <c r="C159" s="2" t="s">
        <v>971</v>
      </c>
      <c r="D159" s="72" t="s">
        <v>971</v>
      </c>
      <c r="E159" s="72" t="s">
        <v>7701</v>
      </c>
      <c r="F159" s="8" t="s">
        <v>7773</v>
      </c>
      <c r="G159" s="8" t="s">
        <v>7701</v>
      </c>
      <c r="H159" s="74" t="s">
        <v>972</v>
      </c>
      <c r="I159" s="74" t="s">
        <v>4716</v>
      </c>
      <c r="J159" s="72"/>
      <c r="K159" s="72"/>
      <c r="M159" s="78" t="s">
        <v>4717</v>
      </c>
    </row>
    <row r="160" spans="1:13" ht="37.5">
      <c r="A160" s="2" t="s">
        <v>915</v>
      </c>
      <c r="B160" s="2" t="s">
        <v>963</v>
      </c>
      <c r="C160" s="2" t="s">
        <v>971</v>
      </c>
      <c r="D160" s="72" t="s">
        <v>971</v>
      </c>
      <c r="E160" s="72" t="s">
        <v>7701</v>
      </c>
      <c r="F160" s="8" t="s">
        <v>7773</v>
      </c>
      <c r="G160" s="8" t="s">
        <v>7701</v>
      </c>
      <c r="H160" s="74" t="s">
        <v>972</v>
      </c>
      <c r="I160" s="74" t="s">
        <v>4718</v>
      </c>
      <c r="J160" s="72"/>
      <c r="K160" s="72"/>
      <c r="M160" s="78" t="s">
        <v>4719</v>
      </c>
    </row>
    <row r="161" spans="1:13" ht="37.5">
      <c r="A161" s="2" t="s">
        <v>915</v>
      </c>
      <c r="B161" s="2" t="s">
        <v>963</v>
      </c>
      <c r="C161" s="2" t="s">
        <v>971</v>
      </c>
      <c r="D161" s="72" t="s">
        <v>971</v>
      </c>
      <c r="E161" s="72" t="s">
        <v>7701</v>
      </c>
      <c r="F161" s="8" t="s">
        <v>7773</v>
      </c>
      <c r="G161" s="8" t="s">
        <v>7701</v>
      </c>
      <c r="H161" s="74" t="s">
        <v>972</v>
      </c>
      <c r="I161" s="74" t="s">
        <v>4720</v>
      </c>
      <c r="J161" s="72"/>
      <c r="K161" s="72"/>
      <c r="M161" s="78" t="s">
        <v>4721</v>
      </c>
    </row>
    <row r="162" spans="1:13" ht="37.5">
      <c r="A162" s="2" t="s">
        <v>915</v>
      </c>
      <c r="B162" s="2" t="s">
        <v>935</v>
      </c>
      <c r="C162" s="2" t="s">
        <v>948</v>
      </c>
      <c r="D162" s="72" t="s">
        <v>948</v>
      </c>
      <c r="E162" s="72" t="s">
        <v>7951</v>
      </c>
      <c r="F162" s="8" t="s">
        <v>7952</v>
      </c>
      <c r="G162" s="8" t="s">
        <v>7701</v>
      </c>
      <c r="H162" s="74" t="s">
        <v>949</v>
      </c>
      <c r="I162" s="74" t="s">
        <v>4722</v>
      </c>
      <c r="J162" s="72"/>
      <c r="K162" s="72"/>
      <c r="M162" s="78" t="s">
        <v>4723</v>
      </c>
    </row>
    <row r="163" spans="1:13" ht="37.5">
      <c r="A163" s="2" t="s">
        <v>733</v>
      </c>
      <c r="B163" s="2" t="s">
        <v>734</v>
      </c>
      <c r="C163" s="2" t="s">
        <v>750</v>
      </c>
      <c r="D163" s="72" t="s">
        <v>750</v>
      </c>
      <c r="E163" s="72" t="s">
        <v>7946</v>
      </c>
      <c r="F163" s="8" t="s">
        <v>7947</v>
      </c>
      <c r="G163" s="8" t="s">
        <v>7807</v>
      </c>
      <c r="H163" s="74" t="s">
        <v>4724</v>
      </c>
      <c r="I163" s="74" t="s">
        <v>4725</v>
      </c>
      <c r="J163" s="93">
        <v>2017</v>
      </c>
      <c r="K163" s="93"/>
      <c r="L163" s="112" t="s">
        <v>4726</v>
      </c>
      <c r="M163" s="78" t="s">
        <v>4727</v>
      </c>
    </row>
    <row r="164" spans="1:13" ht="25">
      <c r="A164" s="74" t="s">
        <v>915</v>
      </c>
      <c r="B164" s="111" t="s">
        <v>916</v>
      </c>
      <c r="C164" s="111" t="s">
        <v>4728</v>
      </c>
      <c r="D164" s="72" t="s">
        <v>4728</v>
      </c>
      <c r="E164" s="72" t="s">
        <v>7953</v>
      </c>
      <c r="F164" s="8" t="s">
        <v>7783</v>
      </c>
      <c r="G164" s="8" t="s">
        <v>7701</v>
      </c>
      <c r="H164" s="74" t="s">
        <v>3839</v>
      </c>
      <c r="I164" s="74" t="s">
        <v>4729</v>
      </c>
      <c r="J164" s="93">
        <v>2017</v>
      </c>
      <c r="K164" s="93"/>
      <c r="L164" s="78" t="s">
        <v>4730</v>
      </c>
      <c r="M164" s="78" t="s">
        <v>4731</v>
      </c>
    </row>
    <row r="165" spans="1:13" ht="25">
      <c r="A165" s="74" t="s">
        <v>915</v>
      </c>
      <c r="B165" s="111" t="s">
        <v>916</v>
      </c>
      <c r="C165" s="111" t="s">
        <v>4732</v>
      </c>
      <c r="D165" s="72" t="s">
        <v>4732</v>
      </c>
      <c r="E165" s="72" t="s">
        <v>7954</v>
      </c>
      <c r="F165" s="8" t="s">
        <v>7783</v>
      </c>
      <c r="G165" s="8" t="s">
        <v>7701</v>
      </c>
      <c r="H165" s="74" t="s">
        <v>922</v>
      </c>
      <c r="I165" s="74" t="s">
        <v>4733</v>
      </c>
      <c r="J165" s="113">
        <v>2003</v>
      </c>
      <c r="K165" s="93"/>
      <c r="L165" s="74"/>
      <c r="M165" s="78" t="s">
        <v>4734</v>
      </c>
    </row>
    <row r="166" spans="1:13" ht="50">
      <c r="A166" s="2" t="s">
        <v>915</v>
      </c>
      <c r="B166" s="2" t="s">
        <v>1032</v>
      </c>
      <c r="C166" s="2" t="s">
        <v>1041</v>
      </c>
      <c r="D166" s="72" t="s">
        <v>1041</v>
      </c>
      <c r="E166" s="72" t="s">
        <v>7955</v>
      </c>
      <c r="F166" s="8" t="s">
        <v>7956</v>
      </c>
      <c r="G166" s="8" t="s">
        <v>7701</v>
      </c>
      <c r="H166" s="74" t="s">
        <v>4735</v>
      </c>
      <c r="I166" s="74" t="s">
        <v>4736</v>
      </c>
      <c r="J166" s="105">
        <v>2018</v>
      </c>
      <c r="K166" s="93"/>
      <c r="L166" s="78" t="s">
        <v>4737</v>
      </c>
      <c r="M166" s="78" t="s">
        <v>4738</v>
      </c>
    </row>
    <row r="167" spans="1:13" ht="25">
      <c r="A167" s="74" t="s">
        <v>915</v>
      </c>
      <c r="B167" s="111" t="s">
        <v>1000</v>
      </c>
      <c r="C167" s="111" t="s">
        <v>3739</v>
      </c>
      <c r="D167" s="72" t="s">
        <v>3739</v>
      </c>
      <c r="E167" s="72" t="s">
        <v>7791</v>
      </c>
      <c r="F167" s="8" t="s">
        <v>7792</v>
      </c>
      <c r="G167" s="8" t="s">
        <v>7701</v>
      </c>
      <c r="H167" s="74" t="s">
        <v>1007</v>
      </c>
      <c r="I167" s="74" t="s">
        <v>4739</v>
      </c>
      <c r="J167" s="105">
        <v>2019</v>
      </c>
      <c r="K167" s="93"/>
      <c r="L167" s="78" t="s">
        <v>4740</v>
      </c>
      <c r="M167" s="78" t="s">
        <v>4741</v>
      </c>
    </row>
    <row r="168" spans="1:13" ht="25">
      <c r="A168" s="74" t="s">
        <v>915</v>
      </c>
      <c r="B168" s="111" t="s">
        <v>1000</v>
      </c>
      <c r="C168" s="111" t="s">
        <v>3739</v>
      </c>
      <c r="D168" s="72" t="s">
        <v>3739</v>
      </c>
      <c r="E168" s="72" t="s">
        <v>7791</v>
      </c>
      <c r="F168" s="8" t="s">
        <v>7792</v>
      </c>
      <c r="G168" s="8" t="s">
        <v>7701</v>
      </c>
      <c r="H168" s="74" t="s">
        <v>1007</v>
      </c>
      <c r="I168" s="74" t="s">
        <v>4742</v>
      </c>
      <c r="J168" s="95">
        <v>2020</v>
      </c>
      <c r="K168" s="95" t="s">
        <v>4112</v>
      </c>
      <c r="L168" s="74"/>
      <c r="M168" s="78" t="s">
        <v>4743</v>
      </c>
    </row>
    <row r="169" spans="1:13">
      <c r="A169" s="74" t="s">
        <v>915</v>
      </c>
      <c r="B169" s="111" t="s">
        <v>1032</v>
      </c>
      <c r="C169" s="111" t="s">
        <v>4744</v>
      </c>
      <c r="D169" s="72" t="s">
        <v>8058</v>
      </c>
      <c r="E169" s="72" t="s">
        <v>8057</v>
      </c>
      <c r="F169" s="8" t="s">
        <v>7956</v>
      </c>
      <c r="G169" s="8" t="s">
        <v>7701</v>
      </c>
      <c r="H169" s="74" t="s">
        <v>4745</v>
      </c>
      <c r="I169" s="74" t="s">
        <v>4746</v>
      </c>
      <c r="J169" s="93">
        <v>2019</v>
      </c>
      <c r="K169" s="93"/>
      <c r="L169" s="74"/>
      <c r="M169" s="78" t="s">
        <v>4747</v>
      </c>
    </row>
    <row r="170" spans="1:13" ht="25">
      <c r="A170" s="74" t="s">
        <v>915</v>
      </c>
      <c r="B170" s="111" t="s">
        <v>1000</v>
      </c>
      <c r="C170" s="72" t="s">
        <v>4748</v>
      </c>
      <c r="D170" s="72" t="s">
        <v>4748</v>
      </c>
      <c r="E170" s="72" t="s">
        <v>7957</v>
      </c>
      <c r="F170" s="8" t="s">
        <v>7792</v>
      </c>
      <c r="G170" s="8" t="s">
        <v>7701</v>
      </c>
      <c r="H170" s="74" t="s">
        <v>4749</v>
      </c>
      <c r="I170" s="74" t="s">
        <v>4750</v>
      </c>
      <c r="J170" s="93"/>
      <c r="K170" s="93"/>
      <c r="L170" s="74"/>
      <c r="M170" s="78" t="s">
        <v>4751</v>
      </c>
    </row>
    <row r="171" spans="1:13" ht="25">
      <c r="A171" s="74" t="s">
        <v>915</v>
      </c>
      <c r="B171" s="111" t="s">
        <v>916</v>
      </c>
      <c r="C171" s="111" t="s">
        <v>4752</v>
      </c>
      <c r="D171" s="72" t="s">
        <v>4752</v>
      </c>
      <c r="E171" s="72" t="s">
        <v>7705</v>
      </c>
      <c r="F171" s="8" t="s">
        <v>7783</v>
      </c>
      <c r="G171" s="8" t="s">
        <v>7701</v>
      </c>
      <c r="H171" s="74" t="s">
        <v>4753</v>
      </c>
      <c r="I171" s="74" t="s">
        <v>4754</v>
      </c>
      <c r="J171" s="105">
        <v>2019</v>
      </c>
      <c r="K171" s="93"/>
      <c r="L171" s="74"/>
      <c r="M171" s="78" t="s">
        <v>4755</v>
      </c>
    </row>
    <row r="172" spans="1:13" ht="50">
      <c r="A172" s="2" t="s">
        <v>1065</v>
      </c>
      <c r="B172" s="2" t="s">
        <v>1066</v>
      </c>
      <c r="C172" s="2" t="s">
        <v>1069</v>
      </c>
      <c r="D172" s="72" t="s">
        <v>1069</v>
      </c>
      <c r="E172" s="72" t="s">
        <v>7702</v>
      </c>
      <c r="F172" s="8" t="s">
        <v>7734</v>
      </c>
      <c r="G172" s="8" t="s">
        <v>7702</v>
      </c>
      <c r="H172" s="74" t="s">
        <v>1070</v>
      </c>
      <c r="I172" s="74" t="s">
        <v>4756</v>
      </c>
      <c r="J172" s="95">
        <v>2017</v>
      </c>
      <c r="K172" s="93" t="s">
        <v>4112</v>
      </c>
      <c r="L172" s="74"/>
      <c r="M172" s="78" t="s">
        <v>4757</v>
      </c>
    </row>
    <row r="173" spans="1:13" ht="50">
      <c r="A173" s="2" t="s">
        <v>1065</v>
      </c>
      <c r="B173" s="2" t="s">
        <v>1066</v>
      </c>
      <c r="C173" s="2" t="s">
        <v>1069</v>
      </c>
      <c r="D173" s="72" t="s">
        <v>1069</v>
      </c>
      <c r="E173" s="72" t="s">
        <v>7702</v>
      </c>
      <c r="F173" s="8" t="s">
        <v>7734</v>
      </c>
      <c r="G173" s="8" t="s">
        <v>7702</v>
      </c>
      <c r="H173" s="74" t="s">
        <v>1070</v>
      </c>
      <c r="I173" s="74" t="s">
        <v>4758</v>
      </c>
      <c r="J173" s="95">
        <v>2014</v>
      </c>
      <c r="K173" s="93" t="s">
        <v>4101</v>
      </c>
      <c r="L173" s="74"/>
      <c r="M173" s="78" t="s">
        <v>4759</v>
      </c>
    </row>
    <row r="174" spans="1:13" ht="25">
      <c r="A174" s="74" t="s">
        <v>1065</v>
      </c>
      <c r="B174" s="111" t="s">
        <v>1066</v>
      </c>
      <c r="C174" s="111" t="s">
        <v>4760</v>
      </c>
      <c r="D174" s="72" t="s">
        <v>4760</v>
      </c>
      <c r="E174" s="72" t="s">
        <v>7958</v>
      </c>
      <c r="F174" s="8" t="s">
        <v>7734</v>
      </c>
      <c r="G174" s="8" t="s">
        <v>7702</v>
      </c>
      <c r="H174" s="74" t="s">
        <v>1101</v>
      </c>
      <c r="I174" s="74" t="s">
        <v>4761</v>
      </c>
      <c r="J174" s="93">
        <v>2020</v>
      </c>
      <c r="K174" s="93" t="s">
        <v>4112</v>
      </c>
      <c r="L174" s="74"/>
      <c r="M174" s="78" t="s">
        <v>4762</v>
      </c>
    </row>
    <row r="175" spans="1:13" ht="37.5">
      <c r="A175" s="2" t="s">
        <v>1065</v>
      </c>
      <c r="B175" s="2" t="s">
        <v>1125</v>
      </c>
      <c r="C175" s="2" t="s">
        <v>1141</v>
      </c>
      <c r="D175" s="72" t="s">
        <v>1141</v>
      </c>
      <c r="E175" s="72" t="s">
        <v>7959</v>
      </c>
      <c r="F175" s="8" t="s">
        <v>7960</v>
      </c>
      <c r="G175" s="8" t="s">
        <v>7702</v>
      </c>
      <c r="H175" s="74" t="s">
        <v>1158</v>
      </c>
      <c r="I175" s="74" t="s">
        <v>4763</v>
      </c>
      <c r="J175" s="93">
        <v>2015</v>
      </c>
      <c r="K175" s="93" t="s">
        <v>4112</v>
      </c>
      <c r="L175" s="74"/>
      <c r="M175" s="78" t="s">
        <v>4764</v>
      </c>
    </row>
    <row r="176" spans="1:13" ht="37.5">
      <c r="A176" s="2" t="s">
        <v>1065</v>
      </c>
      <c r="B176" s="2" t="s">
        <v>1125</v>
      </c>
      <c r="C176" s="2" t="s">
        <v>1141</v>
      </c>
      <c r="D176" s="72" t="s">
        <v>1141</v>
      </c>
      <c r="E176" s="72" t="s">
        <v>7959</v>
      </c>
      <c r="F176" s="8" t="s">
        <v>7960</v>
      </c>
      <c r="G176" s="8" t="s">
        <v>7702</v>
      </c>
      <c r="H176" s="74" t="s">
        <v>1142</v>
      </c>
      <c r="I176" s="74" t="s">
        <v>4765</v>
      </c>
      <c r="J176" s="95">
        <v>2018</v>
      </c>
      <c r="K176" s="93" t="s">
        <v>4112</v>
      </c>
      <c r="L176" s="74"/>
      <c r="M176" s="78" t="s">
        <v>4766</v>
      </c>
    </row>
    <row r="177" spans="1:13" ht="37.5">
      <c r="A177" s="74" t="s">
        <v>1065</v>
      </c>
      <c r="B177" s="111" t="s">
        <v>1116</v>
      </c>
      <c r="C177" s="2" t="s">
        <v>1119</v>
      </c>
      <c r="D177" s="72" t="s">
        <v>1119</v>
      </c>
      <c r="E177" s="72" t="s">
        <v>7961</v>
      </c>
      <c r="F177" s="8" t="s">
        <v>7962</v>
      </c>
      <c r="G177" s="8" t="s">
        <v>7702</v>
      </c>
      <c r="H177" s="74" t="s">
        <v>1120</v>
      </c>
      <c r="I177" s="74" t="s">
        <v>4767</v>
      </c>
      <c r="J177" s="93">
        <v>2018</v>
      </c>
      <c r="K177" s="93" t="s">
        <v>4112</v>
      </c>
      <c r="L177" s="74"/>
      <c r="M177" s="78" t="s">
        <v>4768</v>
      </c>
    </row>
    <row r="178" spans="1:13" ht="37.5">
      <c r="A178" s="2" t="s">
        <v>1065</v>
      </c>
      <c r="B178" s="2" t="s">
        <v>1125</v>
      </c>
      <c r="C178" s="2" t="s">
        <v>1135</v>
      </c>
      <c r="D178" s="72" t="s">
        <v>1135</v>
      </c>
      <c r="E178" s="72" t="s">
        <v>7963</v>
      </c>
      <c r="F178" s="8" t="s">
        <v>7960</v>
      </c>
      <c r="G178" s="8" t="s">
        <v>7702</v>
      </c>
      <c r="H178" s="74" t="s">
        <v>4769</v>
      </c>
      <c r="I178" s="74" t="s">
        <v>4770</v>
      </c>
      <c r="J178" s="95">
        <v>2015</v>
      </c>
      <c r="K178" s="93" t="s">
        <v>4112</v>
      </c>
      <c r="L178" s="74"/>
      <c r="M178" s="78" t="s">
        <v>4771</v>
      </c>
    </row>
    <row r="179" spans="1:13" ht="25">
      <c r="A179" s="74" t="s">
        <v>1065</v>
      </c>
      <c r="B179" s="111" t="s">
        <v>1066</v>
      </c>
      <c r="C179" s="111" t="s">
        <v>4772</v>
      </c>
      <c r="D179" s="72" t="s">
        <v>4772</v>
      </c>
      <c r="E179" s="72" t="s">
        <v>7964</v>
      </c>
      <c r="F179" s="8" t="s">
        <v>7734</v>
      </c>
      <c r="G179" s="8" t="s">
        <v>7702</v>
      </c>
      <c r="H179" s="74" t="s">
        <v>4773</v>
      </c>
      <c r="I179" s="74" t="s">
        <v>4774</v>
      </c>
      <c r="J179" s="93">
        <v>2016</v>
      </c>
      <c r="K179" s="93" t="s">
        <v>4112</v>
      </c>
      <c r="L179" s="74"/>
      <c r="M179" s="78" t="s">
        <v>4775</v>
      </c>
    </row>
    <row r="180" spans="1:13" ht="25">
      <c r="A180" s="74" t="s">
        <v>1065</v>
      </c>
      <c r="B180" s="111" t="s">
        <v>1154</v>
      </c>
      <c r="C180" s="111" t="s">
        <v>4776</v>
      </c>
      <c r="D180" s="72" t="s">
        <v>4776</v>
      </c>
      <c r="E180" s="72" t="s">
        <v>7725</v>
      </c>
      <c r="F180" s="8" t="s">
        <v>7723</v>
      </c>
      <c r="G180" s="8" t="s">
        <v>7702</v>
      </c>
      <c r="H180" s="74" t="s">
        <v>4777</v>
      </c>
      <c r="I180" s="74" t="s">
        <v>4778</v>
      </c>
      <c r="J180" s="95">
        <v>2018</v>
      </c>
      <c r="K180" s="93" t="s">
        <v>4101</v>
      </c>
      <c r="L180" s="74"/>
      <c r="M180" s="78" t="s">
        <v>4779</v>
      </c>
    </row>
    <row r="181" spans="1:13" ht="37.5">
      <c r="A181" s="74" t="s">
        <v>1065</v>
      </c>
      <c r="B181" s="93" t="s">
        <v>1066</v>
      </c>
      <c r="C181" s="111" t="s">
        <v>4780</v>
      </c>
      <c r="D181" s="72" t="s">
        <v>4780</v>
      </c>
      <c r="E181" s="72" t="s">
        <v>7965</v>
      </c>
      <c r="F181" s="8" t="s">
        <v>7734</v>
      </c>
      <c r="G181" s="8" t="s">
        <v>7702</v>
      </c>
      <c r="H181" s="74" t="s">
        <v>4781</v>
      </c>
      <c r="I181" s="74" t="s">
        <v>4782</v>
      </c>
      <c r="J181" s="105">
        <v>2017</v>
      </c>
      <c r="K181" s="93" t="s">
        <v>4101</v>
      </c>
      <c r="L181" s="74"/>
      <c r="M181" s="78" t="s">
        <v>4783</v>
      </c>
    </row>
    <row r="182" spans="1:13" ht="25">
      <c r="A182" s="74" t="s">
        <v>1065</v>
      </c>
      <c r="B182" s="93" t="s">
        <v>1066</v>
      </c>
      <c r="C182" s="111" t="s">
        <v>4784</v>
      </c>
      <c r="D182" s="72" t="s">
        <v>4784</v>
      </c>
      <c r="E182" s="72" t="s">
        <v>7966</v>
      </c>
      <c r="F182" s="8" t="s">
        <v>7734</v>
      </c>
      <c r="G182" s="8" t="s">
        <v>7702</v>
      </c>
      <c r="H182" s="74" t="s">
        <v>4785</v>
      </c>
      <c r="I182" s="74" t="s">
        <v>4786</v>
      </c>
      <c r="J182" s="93">
        <v>2020</v>
      </c>
      <c r="K182" s="93" t="s">
        <v>4101</v>
      </c>
      <c r="L182" s="74"/>
      <c r="M182" s="78" t="s">
        <v>4787</v>
      </c>
    </row>
    <row r="183" spans="1:13" ht="50">
      <c r="A183" s="74" t="s">
        <v>1065</v>
      </c>
      <c r="B183" s="111" t="s">
        <v>1154</v>
      </c>
      <c r="C183" s="111" t="s">
        <v>4788</v>
      </c>
      <c r="D183" s="72" t="s">
        <v>4788</v>
      </c>
      <c r="E183" s="72" t="s">
        <v>7967</v>
      </c>
      <c r="F183" s="8" t="s">
        <v>7723</v>
      </c>
      <c r="G183" s="8" t="s">
        <v>7702</v>
      </c>
      <c r="H183" s="74" t="s">
        <v>4789</v>
      </c>
      <c r="I183" s="74" t="s">
        <v>4790</v>
      </c>
      <c r="J183" s="93">
        <v>2018</v>
      </c>
      <c r="K183" s="93" t="s">
        <v>4112</v>
      </c>
      <c r="L183" s="74"/>
      <c r="M183" s="78" t="s">
        <v>4791</v>
      </c>
    </row>
    <row r="184" spans="1:13" ht="37.5">
      <c r="A184" s="2" t="s">
        <v>1065</v>
      </c>
      <c r="B184" s="2" t="s">
        <v>1199</v>
      </c>
      <c r="C184" s="2" t="s">
        <v>1207</v>
      </c>
      <c r="D184" s="72" t="s">
        <v>1207</v>
      </c>
      <c r="E184" s="72" t="s">
        <v>7968</v>
      </c>
      <c r="F184" s="8" t="s">
        <v>7969</v>
      </c>
      <c r="G184" s="8" t="s">
        <v>7702</v>
      </c>
      <c r="H184" s="74" t="s">
        <v>1208</v>
      </c>
      <c r="I184" s="74" t="s">
        <v>4792</v>
      </c>
      <c r="J184" s="93"/>
      <c r="K184" s="93"/>
      <c r="L184" s="74"/>
      <c r="M184" s="78" t="s">
        <v>4793</v>
      </c>
    </row>
    <row r="185" spans="1:13" ht="25">
      <c r="A185" s="74" t="s">
        <v>1409</v>
      </c>
      <c r="B185" s="111" t="s">
        <v>1439</v>
      </c>
      <c r="C185" s="111" t="s">
        <v>3991</v>
      </c>
      <c r="D185" s="72" t="s">
        <v>3991</v>
      </c>
      <c r="E185" s="72" t="s">
        <v>7851</v>
      </c>
      <c r="F185" s="8" t="s">
        <v>1463</v>
      </c>
      <c r="G185" s="8" t="s">
        <v>7761</v>
      </c>
      <c r="H185" s="74" t="s">
        <v>1463</v>
      </c>
      <c r="I185" s="74" t="s">
        <v>4794</v>
      </c>
      <c r="J185" s="93">
        <v>2015</v>
      </c>
      <c r="K185" s="93" t="s">
        <v>4112</v>
      </c>
      <c r="L185" s="74"/>
      <c r="M185" s="78" t="s">
        <v>4795</v>
      </c>
    </row>
    <row r="186" spans="1:13" ht="25">
      <c r="A186" s="74" t="s">
        <v>1409</v>
      </c>
      <c r="B186" s="111" t="s">
        <v>1439</v>
      </c>
      <c r="C186" s="111" t="s">
        <v>3991</v>
      </c>
      <c r="D186" s="72" t="s">
        <v>3991</v>
      </c>
      <c r="E186" s="72" t="s">
        <v>7851</v>
      </c>
      <c r="F186" s="8" t="s">
        <v>1463</v>
      </c>
      <c r="G186" s="8" t="s">
        <v>7761</v>
      </c>
      <c r="H186" s="74" t="s">
        <v>1463</v>
      </c>
      <c r="I186" s="74" t="s">
        <v>4796</v>
      </c>
      <c r="J186" s="93">
        <v>2020</v>
      </c>
      <c r="K186" s="93" t="s">
        <v>4101</v>
      </c>
      <c r="L186" s="74"/>
      <c r="M186" s="78" t="s">
        <v>4797</v>
      </c>
    </row>
    <row r="187" spans="1:13" ht="25">
      <c r="A187" s="74" t="s">
        <v>1409</v>
      </c>
      <c r="B187" s="111" t="s">
        <v>1439</v>
      </c>
      <c r="C187" s="111" t="s">
        <v>3991</v>
      </c>
      <c r="D187" s="72" t="s">
        <v>3991</v>
      </c>
      <c r="E187" s="72" t="s">
        <v>7851</v>
      </c>
      <c r="F187" s="8" t="s">
        <v>1463</v>
      </c>
      <c r="G187" s="8" t="s">
        <v>7761</v>
      </c>
      <c r="H187" s="74" t="s">
        <v>1463</v>
      </c>
      <c r="I187" s="74" t="s">
        <v>4798</v>
      </c>
      <c r="J187" s="93"/>
      <c r="K187" s="93"/>
      <c r="L187" s="74"/>
      <c r="M187" s="78" t="s">
        <v>4799</v>
      </c>
    </row>
    <row r="188" spans="1:13" ht="25">
      <c r="A188" s="74" t="s">
        <v>1409</v>
      </c>
      <c r="B188" s="111" t="s">
        <v>1439</v>
      </c>
      <c r="C188" s="111" t="s">
        <v>3991</v>
      </c>
      <c r="D188" s="72" t="s">
        <v>3991</v>
      </c>
      <c r="E188" s="72" t="s">
        <v>7851</v>
      </c>
      <c r="F188" s="8" t="s">
        <v>1463</v>
      </c>
      <c r="G188" s="8" t="s">
        <v>7761</v>
      </c>
      <c r="H188" s="74" t="s">
        <v>1463</v>
      </c>
      <c r="I188" s="74" t="s">
        <v>4800</v>
      </c>
      <c r="J188" s="95">
        <v>2018</v>
      </c>
      <c r="K188" s="93" t="s">
        <v>4112</v>
      </c>
      <c r="L188" s="74"/>
      <c r="M188" s="78" t="s">
        <v>4801</v>
      </c>
    </row>
    <row r="189" spans="1:13" ht="50">
      <c r="A189" s="74" t="s">
        <v>1409</v>
      </c>
      <c r="B189" s="93" t="s">
        <v>1439</v>
      </c>
      <c r="C189" s="111" t="s">
        <v>4802</v>
      </c>
      <c r="D189" s="72" t="s">
        <v>4802</v>
      </c>
      <c r="E189" s="72" t="s">
        <v>7970</v>
      </c>
      <c r="F189" s="8" t="s">
        <v>1463</v>
      </c>
      <c r="G189" s="8" t="s">
        <v>7761</v>
      </c>
      <c r="H189" s="74" t="s">
        <v>4803</v>
      </c>
      <c r="I189" s="74" t="s">
        <v>4804</v>
      </c>
      <c r="J189" s="95"/>
      <c r="K189" s="93"/>
      <c r="L189" s="74"/>
      <c r="M189" s="78" t="s">
        <v>4805</v>
      </c>
    </row>
    <row r="190" spans="1:13" ht="25">
      <c r="A190" s="74" t="s">
        <v>1409</v>
      </c>
      <c r="B190" s="93" t="s">
        <v>1510</v>
      </c>
      <c r="C190" s="111" t="s">
        <v>4806</v>
      </c>
      <c r="D190" s="72" t="s">
        <v>4806</v>
      </c>
      <c r="E190" s="72" t="s">
        <v>7971</v>
      </c>
      <c r="F190" s="8" t="s">
        <v>7972</v>
      </c>
      <c r="G190" s="8" t="s">
        <v>7761</v>
      </c>
      <c r="H190" s="74" t="s">
        <v>4807</v>
      </c>
      <c r="I190" s="74" t="s">
        <v>4808</v>
      </c>
      <c r="J190" s="93"/>
      <c r="K190" s="93"/>
      <c r="L190" s="74"/>
      <c r="M190" s="78" t="s">
        <v>4809</v>
      </c>
    </row>
    <row r="191" spans="1:13" ht="50">
      <c r="A191" s="74" t="s">
        <v>1532</v>
      </c>
      <c r="B191" s="111" t="s">
        <v>1569</v>
      </c>
      <c r="C191" s="111" t="s">
        <v>4810</v>
      </c>
      <c r="D191" s="72" t="s">
        <v>4810</v>
      </c>
      <c r="E191" s="72" t="s">
        <v>7973</v>
      </c>
      <c r="F191" s="8" t="s">
        <v>7974</v>
      </c>
      <c r="G191" s="8" t="s">
        <v>7754</v>
      </c>
      <c r="H191" s="74" t="s">
        <v>4811</v>
      </c>
      <c r="I191" s="74" t="s">
        <v>4812</v>
      </c>
      <c r="J191" s="93">
        <v>2017</v>
      </c>
      <c r="K191" s="93" t="s">
        <v>4112</v>
      </c>
      <c r="L191" s="74"/>
      <c r="M191" s="78" t="s">
        <v>4813</v>
      </c>
    </row>
    <row r="192" spans="1:13" ht="50">
      <c r="A192" s="74" t="s">
        <v>1532</v>
      </c>
      <c r="B192" s="111" t="s">
        <v>1569</v>
      </c>
      <c r="C192" s="111" t="s">
        <v>4810</v>
      </c>
      <c r="D192" s="72" t="s">
        <v>4810</v>
      </c>
      <c r="E192" s="72" t="s">
        <v>7973</v>
      </c>
      <c r="F192" s="8" t="s">
        <v>7974</v>
      </c>
      <c r="G192" s="8" t="s">
        <v>7754</v>
      </c>
      <c r="H192" s="74" t="s">
        <v>4811</v>
      </c>
      <c r="I192" s="93" t="s">
        <v>4814</v>
      </c>
      <c r="J192" s="93">
        <v>2003</v>
      </c>
      <c r="K192" s="93" t="s">
        <v>4101</v>
      </c>
      <c r="L192" s="74"/>
      <c r="M192" s="78" t="s">
        <v>4815</v>
      </c>
    </row>
    <row r="193" spans="1:13" ht="50">
      <c r="A193" s="74" t="s">
        <v>1532</v>
      </c>
      <c r="B193" s="111" t="s">
        <v>1569</v>
      </c>
      <c r="C193" s="111" t="s">
        <v>4810</v>
      </c>
      <c r="D193" s="72" t="s">
        <v>4810</v>
      </c>
      <c r="E193" s="72" t="s">
        <v>7973</v>
      </c>
      <c r="F193" s="8" t="s">
        <v>7974</v>
      </c>
      <c r="G193" s="8" t="s">
        <v>7754</v>
      </c>
      <c r="H193" s="74" t="s">
        <v>4811</v>
      </c>
      <c r="I193" s="93" t="s">
        <v>4816</v>
      </c>
      <c r="J193" s="93"/>
      <c r="K193" s="93"/>
      <c r="L193" s="74"/>
      <c r="M193" s="78" t="s">
        <v>4817</v>
      </c>
    </row>
    <row r="194" spans="1:13" ht="50">
      <c r="A194" s="74" t="s">
        <v>1532</v>
      </c>
      <c r="B194" s="111" t="s">
        <v>1569</v>
      </c>
      <c r="C194" s="111" t="s">
        <v>4810</v>
      </c>
      <c r="D194" s="72" t="s">
        <v>4810</v>
      </c>
      <c r="E194" s="72" t="s">
        <v>7973</v>
      </c>
      <c r="F194" s="8" t="s">
        <v>7974</v>
      </c>
      <c r="G194" s="8" t="s">
        <v>7754</v>
      </c>
      <c r="H194" s="74" t="s">
        <v>4811</v>
      </c>
      <c r="I194" s="93" t="s">
        <v>4818</v>
      </c>
      <c r="J194" s="93">
        <v>2016</v>
      </c>
      <c r="K194" s="93" t="s">
        <v>4112</v>
      </c>
      <c r="L194" s="74"/>
      <c r="M194" s="78" t="s">
        <v>4819</v>
      </c>
    </row>
    <row r="195" spans="1:13" ht="50">
      <c r="A195" s="74" t="s">
        <v>1532</v>
      </c>
      <c r="B195" s="111" t="s">
        <v>1569</v>
      </c>
      <c r="C195" s="111" t="s">
        <v>4810</v>
      </c>
      <c r="D195" s="72" t="s">
        <v>4810</v>
      </c>
      <c r="E195" s="72" t="s">
        <v>7973</v>
      </c>
      <c r="F195" s="8" t="s">
        <v>7974</v>
      </c>
      <c r="G195" s="8" t="s">
        <v>7754</v>
      </c>
      <c r="H195" s="74" t="s">
        <v>4811</v>
      </c>
      <c r="I195" s="74" t="s">
        <v>4820</v>
      </c>
      <c r="J195" s="93">
        <v>2017</v>
      </c>
      <c r="K195" s="93" t="s">
        <v>4112</v>
      </c>
      <c r="L195" s="74"/>
      <c r="M195" s="78" t="s">
        <v>4821</v>
      </c>
    </row>
    <row r="196" spans="1:13" ht="50">
      <c r="A196" s="74" t="s">
        <v>1532</v>
      </c>
      <c r="B196" s="111" t="s">
        <v>1569</v>
      </c>
      <c r="C196" s="111" t="s">
        <v>4810</v>
      </c>
      <c r="D196" s="72" t="s">
        <v>4810</v>
      </c>
      <c r="E196" s="72" t="s">
        <v>7973</v>
      </c>
      <c r="F196" s="8" t="s">
        <v>7974</v>
      </c>
      <c r="G196" s="8" t="s">
        <v>7754</v>
      </c>
      <c r="H196" s="74" t="s">
        <v>4811</v>
      </c>
      <c r="I196" s="74" t="s">
        <v>4822</v>
      </c>
      <c r="J196" s="95">
        <v>2018</v>
      </c>
      <c r="K196" s="93" t="s">
        <v>4112</v>
      </c>
      <c r="L196" s="74"/>
      <c r="M196" s="78" t="s">
        <v>4823</v>
      </c>
    </row>
    <row r="197" spans="1:13" ht="50">
      <c r="A197" s="74" t="s">
        <v>1532</v>
      </c>
      <c r="B197" s="111" t="s">
        <v>1569</v>
      </c>
      <c r="C197" s="111" t="s">
        <v>4824</v>
      </c>
      <c r="D197" s="72" t="s">
        <v>4824</v>
      </c>
      <c r="E197" s="72" t="s">
        <v>7975</v>
      </c>
      <c r="F197" s="8" t="s">
        <v>7974</v>
      </c>
      <c r="G197" s="8" t="s">
        <v>7754</v>
      </c>
      <c r="H197" s="74" t="s">
        <v>1575</v>
      </c>
      <c r="I197" s="74" t="s">
        <v>4825</v>
      </c>
      <c r="J197" s="93"/>
      <c r="K197" s="93" t="s">
        <v>4101</v>
      </c>
      <c r="L197" s="74"/>
      <c r="M197" s="78" t="s">
        <v>4826</v>
      </c>
    </row>
    <row r="198" spans="1:13" ht="50">
      <c r="A198" s="74" t="s">
        <v>1532</v>
      </c>
      <c r="B198" s="111" t="s">
        <v>1569</v>
      </c>
      <c r="C198" s="111" t="s">
        <v>4824</v>
      </c>
      <c r="D198" s="72" t="s">
        <v>4824</v>
      </c>
      <c r="E198" s="72" t="s">
        <v>7975</v>
      </c>
      <c r="F198" s="8" t="s">
        <v>7974</v>
      </c>
      <c r="G198" s="8" t="s">
        <v>7754</v>
      </c>
      <c r="H198" s="74" t="s">
        <v>1575</v>
      </c>
      <c r="I198" s="74" t="s">
        <v>4827</v>
      </c>
      <c r="J198" s="93"/>
      <c r="K198" s="93" t="s">
        <v>4101</v>
      </c>
      <c r="L198" s="74"/>
      <c r="M198" s="78" t="s">
        <v>4828</v>
      </c>
    </row>
    <row r="199" spans="1:13" ht="50">
      <c r="A199" s="74" t="s">
        <v>1532</v>
      </c>
      <c r="B199" s="111" t="s">
        <v>1569</v>
      </c>
      <c r="C199" s="111" t="s">
        <v>4824</v>
      </c>
      <c r="D199" s="72" t="s">
        <v>4824</v>
      </c>
      <c r="E199" s="72" t="s">
        <v>7975</v>
      </c>
      <c r="F199" s="8" t="s">
        <v>7974</v>
      </c>
      <c r="G199" s="8" t="s">
        <v>7754</v>
      </c>
      <c r="H199" s="74" t="s">
        <v>1575</v>
      </c>
      <c r="I199" s="74" t="s">
        <v>4829</v>
      </c>
      <c r="J199" s="93">
        <v>2017</v>
      </c>
      <c r="K199" s="93" t="s">
        <v>4101</v>
      </c>
      <c r="L199" s="74"/>
      <c r="M199" s="78" t="s">
        <v>4830</v>
      </c>
    </row>
    <row r="200" spans="1:13" ht="50">
      <c r="A200" s="74" t="s">
        <v>1532</v>
      </c>
      <c r="B200" s="111" t="s">
        <v>1569</v>
      </c>
      <c r="C200" s="111" t="s">
        <v>4824</v>
      </c>
      <c r="D200" s="72" t="s">
        <v>4824</v>
      </c>
      <c r="E200" s="72" t="s">
        <v>7975</v>
      </c>
      <c r="F200" s="8" t="s">
        <v>7974</v>
      </c>
      <c r="G200" s="8" t="s">
        <v>7754</v>
      </c>
      <c r="H200" s="74" t="s">
        <v>1575</v>
      </c>
      <c r="I200" s="74" t="s">
        <v>4831</v>
      </c>
      <c r="J200" s="93"/>
      <c r="K200" s="93" t="s">
        <v>4101</v>
      </c>
      <c r="L200" s="74"/>
      <c r="M200" s="78" t="s">
        <v>4832</v>
      </c>
    </row>
    <row r="201" spans="1:13" ht="50">
      <c r="A201" s="74" t="s">
        <v>1532</v>
      </c>
      <c r="B201" s="111" t="s">
        <v>1569</v>
      </c>
      <c r="C201" s="111" t="s">
        <v>4824</v>
      </c>
      <c r="D201" s="72" t="s">
        <v>4824</v>
      </c>
      <c r="E201" s="72" t="s">
        <v>7975</v>
      </c>
      <c r="F201" s="8" t="s">
        <v>7974</v>
      </c>
      <c r="G201" s="8" t="s">
        <v>7754</v>
      </c>
      <c r="H201" s="74" t="s">
        <v>1575</v>
      </c>
      <c r="I201" s="74" t="s">
        <v>4833</v>
      </c>
      <c r="J201" s="93">
        <v>2018</v>
      </c>
      <c r="K201" s="93" t="s">
        <v>4112</v>
      </c>
      <c r="L201" s="74"/>
      <c r="M201" s="78" t="s">
        <v>4834</v>
      </c>
    </row>
    <row r="202" spans="1:13" ht="50">
      <c r="A202" s="74" t="s">
        <v>1532</v>
      </c>
      <c r="B202" s="111" t="s">
        <v>1569</v>
      </c>
      <c r="C202" s="111" t="s">
        <v>4824</v>
      </c>
      <c r="D202" s="72" t="s">
        <v>4824</v>
      </c>
      <c r="E202" s="72" t="s">
        <v>7975</v>
      </c>
      <c r="F202" s="8" t="s">
        <v>7974</v>
      </c>
      <c r="G202" s="8" t="s">
        <v>7754</v>
      </c>
      <c r="H202" s="74" t="s">
        <v>1575</v>
      </c>
      <c r="I202" s="74" t="s">
        <v>4835</v>
      </c>
      <c r="J202" s="93">
        <v>2018</v>
      </c>
      <c r="K202" s="93" t="s">
        <v>4112</v>
      </c>
      <c r="L202" s="74"/>
      <c r="M202" s="78" t="s">
        <v>4836</v>
      </c>
    </row>
    <row r="203" spans="1:13" ht="37.5">
      <c r="A203" s="74" t="s">
        <v>1532</v>
      </c>
      <c r="B203" s="111" t="s">
        <v>1549</v>
      </c>
      <c r="C203" s="111" t="s">
        <v>4837</v>
      </c>
      <c r="D203" s="72" t="s">
        <v>4837</v>
      </c>
      <c r="E203" s="72" t="s">
        <v>7976</v>
      </c>
      <c r="F203" s="8" t="s">
        <v>7753</v>
      </c>
      <c r="G203" s="8" t="s">
        <v>7754</v>
      </c>
      <c r="H203" s="74" t="s">
        <v>4838</v>
      </c>
      <c r="I203" s="93" t="s">
        <v>4839</v>
      </c>
      <c r="J203" s="93">
        <v>2019</v>
      </c>
      <c r="K203" s="93" t="s">
        <v>4101</v>
      </c>
      <c r="L203" s="74"/>
      <c r="M203" s="78" t="s">
        <v>4840</v>
      </c>
    </row>
    <row r="204" spans="1:13" ht="37.5">
      <c r="A204" s="74" t="s">
        <v>1532</v>
      </c>
      <c r="B204" s="93" t="s">
        <v>1586</v>
      </c>
      <c r="C204" s="111" t="s">
        <v>4841</v>
      </c>
      <c r="D204" s="72" t="s">
        <v>4841</v>
      </c>
      <c r="E204" s="72" t="s">
        <v>7977</v>
      </c>
      <c r="F204" s="8" t="s">
        <v>7978</v>
      </c>
      <c r="G204" s="8" t="s">
        <v>7754</v>
      </c>
      <c r="H204" s="74" t="s">
        <v>4842</v>
      </c>
      <c r="I204" s="74" t="s">
        <v>4843</v>
      </c>
      <c r="J204" s="93"/>
      <c r="K204" s="93"/>
      <c r="L204" s="74"/>
      <c r="M204" s="78" t="s">
        <v>4844</v>
      </c>
    </row>
    <row r="205" spans="1:13" ht="25">
      <c r="A205" s="74" t="s">
        <v>1532</v>
      </c>
      <c r="B205" s="93" t="s">
        <v>1533</v>
      </c>
      <c r="C205" s="111" t="s">
        <v>4845</v>
      </c>
      <c r="D205" s="72" t="s">
        <v>4845</v>
      </c>
      <c r="E205" s="72" t="s">
        <v>7979</v>
      </c>
      <c r="F205" s="8" t="s">
        <v>7980</v>
      </c>
      <c r="G205" s="8" t="s">
        <v>7754</v>
      </c>
      <c r="H205" s="74" t="s">
        <v>4846</v>
      </c>
      <c r="I205" s="74" t="s">
        <v>4847</v>
      </c>
      <c r="J205" s="95">
        <v>2002</v>
      </c>
      <c r="K205" s="93" t="s">
        <v>4101</v>
      </c>
      <c r="L205" s="74"/>
      <c r="M205" s="78" t="s">
        <v>4848</v>
      </c>
    </row>
    <row r="206" spans="1:13" ht="25">
      <c r="A206" s="74" t="s">
        <v>1532</v>
      </c>
      <c r="B206" s="93" t="s">
        <v>1533</v>
      </c>
      <c r="C206" s="111" t="s">
        <v>4845</v>
      </c>
      <c r="D206" s="72" t="s">
        <v>4845</v>
      </c>
      <c r="E206" s="72" t="s">
        <v>7979</v>
      </c>
      <c r="F206" s="8" t="s">
        <v>7980</v>
      </c>
      <c r="G206" s="8" t="s">
        <v>7754</v>
      </c>
      <c r="H206" s="74" t="s">
        <v>4846</v>
      </c>
      <c r="I206" s="74" t="s">
        <v>4849</v>
      </c>
      <c r="J206" s="93">
        <v>2018</v>
      </c>
      <c r="K206" s="93" t="s">
        <v>4112</v>
      </c>
      <c r="L206" s="74"/>
      <c r="M206" s="78" t="s">
        <v>4850</v>
      </c>
    </row>
    <row r="207" spans="1:13" ht="25">
      <c r="A207" s="74" t="s">
        <v>1532</v>
      </c>
      <c r="B207" s="111" t="s">
        <v>1569</v>
      </c>
      <c r="C207" s="111" t="s">
        <v>4851</v>
      </c>
      <c r="D207" s="72" t="s">
        <v>4851</v>
      </c>
      <c r="E207" s="72" t="s">
        <v>7981</v>
      </c>
      <c r="F207" s="8" t="s">
        <v>7974</v>
      </c>
      <c r="G207" s="8" t="s">
        <v>7754</v>
      </c>
      <c r="H207" s="74" t="s">
        <v>1581</v>
      </c>
      <c r="I207" s="74" t="s">
        <v>4852</v>
      </c>
      <c r="J207" s="95">
        <v>2017</v>
      </c>
      <c r="K207" s="93" t="s">
        <v>4112</v>
      </c>
      <c r="L207" s="74"/>
      <c r="M207" s="78" t="s">
        <v>4853</v>
      </c>
    </row>
    <row r="208" spans="1:13" ht="25">
      <c r="A208" s="74" t="s">
        <v>1532</v>
      </c>
      <c r="B208" s="111" t="s">
        <v>1549</v>
      </c>
      <c r="C208" s="111" t="s">
        <v>4854</v>
      </c>
      <c r="D208" s="72" t="s">
        <v>4854</v>
      </c>
      <c r="E208" s="72" t="s">
        <v>7982</v>
      </c>
      <c r="F208" s="8" t="s">
        <v>7753</v>
      </c>
      <c r="G208" s="8" t="s">
        <v>7754</v>
      </c>
      <c r="H208" s="74" t="s">
        <v>4855</v>
      </c>
      <c r="I208" s="74" t="s">
        <v>4856</v>
      </c>
      <c r="J208" s="93">
        <v>2017</v>
      </c>
      <c r="K208" s="93" t="s">
        <v>4112</v>
      </c>
      <c r="L208" s="74"/>
      <c r="M208" s="78" t="s">
        <v>4857</v>
      </c>
    </row>
    <row r="209" spans="1:13" ht="37.5">
      <c r="A209" s="2" t="s">
        <v>1532</v>
      </c>
      <c r="B209" s="2" t="s">
        <v>1549</v>
      </c>
      <c r="C209" s="2" t="s">
        <v>1555</v>
      </c>
      <c r="D209" s="72" t="s">
        <v>1555</v>
      </c>
      <c r="E209" s="72" t="s">
        <v>7752</v>
      </c>
      <c r="F209" s="8" t="s">
        <v>7753</v>
      </c>
      <c r="G209" s="8" t="s">
        <v>7754</v>
      </c>
      <c r="H209" s="74" t="s">
        <v>4858</v>
      </c>
      <c r="I209" s="74" t="s">
        <v>4859</v>
      </c>
      <c r="J209" s="93">
        <v>2017</v>
      </c>
      <c r="K209" s="93" t="s">
        <v>4112</v>
      </c>
      <c r="L209" s="74"/>
      <c r="M209" s="78" t="s">
        <v>4860</v>
      </c>
    </row>
    <row r="210" spans="1:13" ht="25">
      <c r="A210" s="74" t="s">
        <v>1532</v>
      </c>
      <c r="B210" s="111" t="s">
        <v>1569</v>
      </c>
      <c r="C210" s="111" t="s">
        <v>4861</v>
      </c>
      <c r="D210" s="72" t="s">
        <v>4861</v>
      </c>
      <c r="E210" s="72" t="s">
        <v>7983</v>
      </c>
      <c r="F210" s="8" t="s">
        <v>7974</v>
      </c>
      <c r="G210" s="8" t="s">
        <v>7754</v>
      </c>
      <c r="H210" s="74" t="s">
        <v>4862</v>
      </c>
      <c r="I210" s="74" t="s">
        <v>4863</v>
      </c>
      <c r="J210" s="93">
        <v>2018</v>
      </c>
      <c r="K210" s="93" t="s">
        <v>4101</v>
      </c>
      <c r="L210" s="74"/>
      <c r="M210" s="78" t="s">
        <v>4864</v>
      </c>
    </row>
    <row r="211" spans="1:13" ht="37.5">
      <c r="A211" s="2" t="s">
        <v>915</v>
      </c>
      <c r="B211" s="2" t="s">
        <v>963</v>
      </c>
      <c r="C211" s="2" t="s">
        <v>974</v>
      </c>
      <c r="D211" s="72" t="s">
        <v>974</v>
      </c>
      <c r="E211" s="72" t="s">
        <v>7984</v>
      </c>
      <c r="F211" s="8" t="s">
        <v>7773</v>
      </c>
      <c r="G211" s="8" t="s">
        <v>7701</v>
      </c>
      <c r="H211" s="74" t="s">
        <v>4865</v>
      </c>
      <c r="I211" s="74" t="s">
        <v>4866</v>
      </c>
      <c r="J211" s="93"/>
      <c r="K211" s="93"/>
      <c r="L211" s="74"/>
      <c r="M211" s="78" t="s">
        <v>4867</v>
      </c>
    </row>
    <row r="212" spans="1:13" ht="37.5">
      <c r="A212" s="2" t="s">
        <v>1597</v>
      </c>
      <c r="B212" s="2" t="s">
        <v>1633</v>
      </c>
      <c r="C212" s="2" t="s">
        <v>1661</v>
      </c>
      <c r="D212" s="72" t="s">
        <v>1661</v>
      </c>
      <c r="E212" s="72" t="s">
        <v>7704</v>
      </c>
      <c r="F212" s="8" t="s">
        <v>7746</v>
      </c>
      <c r="G212" s="8" t="s">
        <v>7704</v>
      </c>
      <c r="H212" s="74" t="s">
        <v>1662</v>
      </c>
      <c r="I212" s="74" t="s">
        <v>4868</v>
      </c>
      <c r="J212" s="93">
        <v>2015</v>
      </c>
      <c r="K212" s="93" t="s">
        <v>4101</v>
      </c>
      <c r="L212" s="74"/>
      <c r="M212" s="78" t="s">
        <v>4869</v>
      </c>
    </row>
    <row r="213" spans="1:13" ht="37.5">
      <c r="A213" s="2" t="s">
        <v>1597</v>
      </c>
      <c r="B213" s="2" t="s">
        <v>1633</v>
      </c>
      <c r="C213" s="2" t="s">
        <v>1661</v>
      </c>
      <c r="D213" s="72" t="s">
        <v>1661</v>
      </c>
      <c r="E213" s="72" t="s">
        <v>7704</v>
      </c>
      <c r="F213" s="8" t="s">
        <v>7746</v>
      </c>
      <c r="G213" s="8" t="s">
        <v>7704</v>
      </c>
      <c r="H213" s="74" t="s">
        <v>1662</v>
      </c>
      <c r="I213" s="74" t="s">
        <v>4870</v>
      </c>
      <c r="J213" s="93">
        <v>2021</v>
      </c>
      <c r="K213" s="93" t="s">
        <v>4101</v>
      </c>
      <c r="L213" s="74"/>
      <c r="M213" s="78" t="s">
        <v>4871</v>
      </c>
    </row>
    <row r="214" spans="1:13" ht="37.5">
      <c r="A214" s="2" t="s">
        <v>1597</v>
      </c>
      <c r="B214" s="2" t="s">
        <v>1633</v>
      </c>
      <c r="C214" s="2" t="s">
        <v>1661</v>
      </c>
      <c r="D214" s="72" t="s">
        <v>1661</v>
      </c>
      <c r="E214" s="72" t="s">
        <v>7704</v>
      </c>
      <c r="F214" s="8" t="s">
        <v>7746</v>
      </c>
      <c r="G214" s="8" t="s">
        <v>7704</v>
      </c>
      <c r="H214" s="74" t="s">
        <v>1662</v>
      </c>
      <c r="I214" s="74" t="s">
        <v>4872</v>
      </c>
      <c r="J214" s="95">
        <v>1994</v>
      </c>
      <c r="K214" s="93" t="s">
        <v>4101</v>
      </c>
      <c r="L214" s="74"/>
      <c r="M214" s="78" t="s">
        <v>4873</v>
      </c>
    </row>
    <row r="215" spans="1:13" ht="37.5">
      <c r="A215" s="2" t="s">
        <v>1597</v>
      </c>
      <c r="B215" s="2" t="s">
        <v>1633</v>
      </c>
      <c r="C215" s="2" t="s">
        <v>1661</v>
      </c>
      <c r="D215" s="72" t="s">
        <v>1661</v>
      </c>
      <c r="E215" s="72" t="s">
        <v>7704</v>
      </c>
      <c r="F215" s="8" t="s">
        <v>7746</v>
      </c>
      <c r="G215" s="8" t="s">
        <v>7704</v>
      </c>
      <c r="H215" s="74" t="s">
        <v>1662</v>
      </c>
      <c r="I215" s="93" t="s">
        <v>4874</v>
      </c>
      <c r="J215" s="93">
        <v>2019</v>
      </c>
      <c r="K215" s="93" t="s">
        <v>4112</v>
      </c>
      <c r="L215" s="74"/>
      <c r="M215" s="78" t="s">
        <v>4875</v>
      </c>
    </row>
    <row r="216" spans="1:13" ht="37.5">
      <c r="A216" s="2" t="s">
        <v>1597</v>
      </c>
      <c r="B216" s="2" t="s">
        <v>1633</v>
      </c>
      <c r="C216" s="2" t="s">
        <v>1661</v>
      </c>
      <c r="D216" s="72" t="s">
        <v>1661</v>
      </c>
      <c r="E216" s="72" t="s">
        <v>7704</v>
      </c>
      <c r="F216" s="8" t="s">
        <v>7746</v>
      </c>
      <c r="G216" s="8" t="s">
        <v>7704</v>
      </c>
      <c r="H216" s="74" t="s">
        <v>1662</v>
      </c>
      <c r="I216" s="74" t="s">
        <v>4876</v>
      </c>
      <c r="J216" s="93">
        <v>2010</v>
      </c>
      <c r="K216" s="93" t="s">
        <v>4112</v>
      </c>
      <c r="L216" s="74"/>
      <c r="M216" s="78" t="s">
        <v>4877</v>
      </c>
    </row>
    <row r="217" spans="1:13" ht="37.5">
      <c r="A217" s="2" t="s">
        <v>1597</v>
      </c>
      <c r="B217" s="2" t="s">
        <v>1633</v>
      </c>
      <c r="C217" s="2" t="s">
        <v>1661</v>
      </c>
      <c r="D217" s="72" t="s">
        <v>1661</v>
      </c>
      <c r="E217" s="72" t="s">
        <v>7704</v>
      </c>
      <c r="F217" s="8" t="s">
        <v>7746</v>
      </c>
      <c r="G217" s="8" t="s">
        <v>7704</v>
      </c>
      <c r="H217" s="74" t="s">
        <v>1662</v>
      </c>
      <c r="I217" s="93" t="s">
        <v>4878</v>
      </c>
      <c r="J217" s="93">
        <v>2018</v>
      </c>
      <c r="K217" s="93" t="s">
        <v>4112</v>
      </c>
      <c r="L217" s="74"/>
      <c r="M217" s="78" t="s">
        <v>4879</v>
      </c>
    </row>
    <row r="218" spans="1:13" ht="37.5">
      <c r="A218" s="2" t="s">
        <v>1597</v>
      </c>
      <c r="B218" s="2" t="s">
        <v>1633</v>
      </c>
      <c r="C218" s="2" t="s">
        <v>1675</v>
      </c>
      <c r="D218" s="72" t="s">
        <v>1675</v>
      </c>
      <c r="E218" s="72" t="s">
        <v>7985</v>
      </c>
      <c r="F218" s="8" t="s">
        <v>7746</v>
      </c>
      <c r="G218" s="8" t="s">
        <v>7704</v>
      </c>
      <c r="H218" s="74" t="s">
        <v>1676</v>
      </c>
      <c r="I218" s="74" t="s">
        <v>4880</v>
      </c>
      <c r="J218" s="93">
        <v>1997</v>
      </c>
      <c r="K218" s="93" t="s">
        <v>4112</v>
      </c>
      <c r="L218" s="74"/>
      <c r="M218" s="78" t="s">
        <v>4881</v>
      </c>
    </row>
    <row r="219" spans="1:13" ht="37.5">
      <c r="A219" s="2" t="s">
        <v>1597</v>
      </c>
      <c r="B219" s="2" t="s">
        <v>1633</v>
      </c>
      <c r="C219" s="2" t="s">
        <v>1675</v>
      </c>
      <c r="D219" s="72" t="s">
        <v>1675</v>
      </c>
      <c r="E219" s="72" t="s">
        <v>7985</v>
      </c>
      <c r="F219" s="8" t="s">
        <v>7746</v>
      </c>
      <c r="G219" s="8" t="s">
        <v>7704</v>
      </c>
      <c r="H219" s="74" t="s">
        <v>1676</v>
      </c>
      <c r="I219" s="74" t="s">
        <v>4882</v>
      </c>
      <c r="J219" s="93">
        <v>2017</v>
      </c>
      <c r="K219" s="93" t="s">
        <v>4112</v>
      </c>
      <c r="L219" s="74"/>
      <c r="M219" s="78" t="s">
        <v>4883</v>
      </c>
    </row>
    <row r="220" spans="1:13" ht="25">
      <c r="A220" s="74" t="s">
        <v>1597</v>
      </c>
      <c r="B220" s="111" t="s">
        <v>1756</v>
      </c>
      <c r="C220" s="72" t="s">
        <v>4884</v>
      </c>
      <c r="D220" s="72" t="s">
        <v>4884</v>
      </c>
      <c r="E220" s="72" t="s">
        <v>7986</v>
      </c>
      <c r="F220" s="8" t="s">
        <v>7832</v>
      </c>
      <c r="G220" s="8" t="s">
        <v>7704</v>
      </c>
      <c r="H220" s="74" t="s">
        <v>1773</v>
      </c>
      <c r="I220" s="74" t="s">
        <v>4885</v>
      </c>
      <c r="J220" s="93">
        <v>2016</v>
      </c>
      <c r="K220" s="93" t="s">
        <v>4112</v>
      </c>
      <c r="L220" s="74"/>
      <c r="M220" s="78" t="s">
        <v>4886</v>
      </c>
    </row>
    <row r="221" spans="1:13" ht="25">
      <c r="A221" s="74" t="s">
        <v>1597</v>
      </c>
      <c r="B221" s="93" t="s">
        <v>1633</v>
      </c>
      <c r="C221" s="111" t="s">
        <v>4887</v>
      </c>
      <c r="D221" s="72" t="s">
        <v>4887</v>
      </c>
      <c r="E221" s="72" t="s">
        <v>7987</v>
      </c>
      <c r="F221" s="8" t="s">
        <v>7746</v>
      </c>
      <c r="G221" s="8" t="s">
        <v>7704</v>
      </c>
      <c r="H221" s="74" t="s">
        <v>4888</v>
      </c>
      <c r="I221" s="74" t="s">
        <v>4889</v>
      </c>
      <c r="J221" s="93">
        <v>2019</v>
      </c>
      <c r="K221" s="93" t="s">
        <v>4112</v>
      </c>
      <c r="L221" s="74"/>
      <c r="M221" s="78" t="s">
        <v>4890</v>
      </c>
    </row>
    <row r="222" spans="1:13" ht="25">
      <c r="A222" s="74" t="s">
        <v>1597</v>
      </c>
      <c r="B222" s="111" t="s">
        <v>1598</v>
      </c>
      <c r="C222" s="111" t="s">
        <v>4891</v>
      </c>
      <c r="D222" s="72" t="s">
        <v>4891</v>
      </c>
      <c r="E222" s="72" t="s">
        <v>7988</v>
      </c>
      <c r="F222" s="8" t="s">
        <v>7830</v>
      </c>
      <c r="G222" s="8" t="s">
        <v>7704</v>
      </c>
      <c r="H222" s="74" t="s">
        <v>1603</v>
      </c>
      <c r="I222" s="74" t="s">
        <v>4892</v>
      </c>
      <c r="J222" s="93">
        <v>2018</v>
      </c>
      <c r="K222" s="93" t="s">
        <v>4112</v>
      </c>
      <c r="L222" s="74"/>
      <c r="M222" s="78" t="s">
        <v>4893</v>
      </c>
    </row>
    <row r="223" spans="1:13" ht="25">
      <c r="A223" s="74" t="s">
        <v>1597</v>
      </c>
      <c r="B223" s="111" t="s">
        <v>1756</v>
      </c>
      <c r="C223" s="111" t="s">
        <v>4894</v>
      </c>
      <c r="D223" s="72" t="s">
        <v>4894</v>
      </c>
      <c r="E223" s="72" t="s">
        <v>7989</v>
      </c>
      <c r="F223" s="8" t="s">
        <v>7832</v>
      </c>
      <c r="G223" s="8" t="s">
        <v>7704</v>
      </c>
      <c r="H223" s="74" t="s">
        <v>4895</v>
      </c>
      <c r="I223" s="74" t="s">
        <v>4896</v>
      </c>
      <c r="J223" s="93">
        <v>2017</v>
      </c>
      <c r="K223" s="93" t="s">
        <v>4112</v>
      </c>
      <c r="L223" s="74"/>
      <c r="M223" s="78" t="s">
        <v>4897</v>
      </c>
    </row>
    <row r="224" spans="1:13" ht="37.5">
      <c r="A224" s="2" t="s">
        <v>1597</v>
      </c>
      <c r="B224" s="2" t="s">
        <v>1690</v>
      </c>
      <c r="C224" s="2" t="s">
        <v>1699</v>
      </c>
      <c r="D224" s="72" t="s">
        <v>1699</v>
      </c>
      <c r="E224" s="72" t="s">
        <v>7990</v>
      </c>
      <c r="F224" s="8" t="s">
        <v>7848</v>
      </c>
      <c r="G224" s="8" t="s">
        <v>7704</v>
      </c>
      <c r="H224" s="74" t="s">
        <v>4898</v>
      </c>
      <c r="I224" s="74" t="s">
        <v>4899</v>
      </c>
      <c r="J224" s="93">
        <v>2019</v>
      </c>
      <c r="K224" s="93" t="s">
        <v>4112</v>
      </c>
      <c r="L224" s="74"/>
      <c r="M224" s="78" t="s">
        <v>4900</v>
      </c>
    </row>
    <row r="225" spans="1:13" ht="25">
      <c r="A225" s="74" t="s">
        <v>1597</v>
      </c>
      <c r="B225" s="111" t="s">
        <v>1613</v>
      </c>
      <c r="C225" s="111" t="s">
        <v>4901</v>
      </c>
      <c r="D225" s="72" t="s">
        <v>4901</v>
      </c>
      <c r="E225" s="72" t="s">
        <v>7991</v>
      </c>
      <c r="F225" s="8" t="s">
        <v>7992</v>
      </c>
      <c r="G225" s="8" t="s">
        <v>7704</v>
      </c>
      <c r="H225" s="74" t="s">
        <v>1615</v>
      </c>
      <c r="I225" s="93" t="s">
        <v>4902</v>
      </c>
      <c r="J225" s="93">
        <v>2016</v>
      </c>
      <c r="K225" s="93" t="s">
        <v>4112</v>
      </c>
      <c r="L225" s="74"/>
      <c r="M225" s="78" t="s">
        <v>4903</v>
      </c>
    </row>
    <row r="226" spans="1:13" ht="37.5">
      <c r="A226" s="74" t="s">
        <v>1597</v>
      </c>
      <c r="B226" s="111" t="s">
        <v>1613</v>
      </c>
      <c r="C226" s="2" t="s">
        <v>1617</v>
      </c>
      <c r="D226" s="72" t="s">
        <v>1617</v>
      </c>
      <c r="E226" s="72" t="s">
        <v>7993</v>
      </c>
      <c r="F226" s="8" t="s">
        <v>7992</v>
      </c>
      <c r="G226" s="8" t="s">
        <v>7704</v>
      </c>
      <c r="H226" s="74" t="s">
        <v>1618</v>
      </c>
      <c r="I226" s="74" t="s">
        <v>4904</v>
      </c>
      <c r="J226" s="93"/>
      <c r="K226" s="93"/>
      <c r="L226" s="74"/>
      <c r="M226" s="78" t="s">
        <v>4905</v>
      </c>
    </row>
    <row r="227" spans="1:13" ht="37.5">
      <c r="A227" s="2" t="s">
        <v>1597</v>
      </c>
      <c r="B227" s="2" t="s">
        <v>1633</v>
      </c>
      <c r="C227" s="2" t="s">
        <v>1649</v>
      </c>
      <c r="D227" s="72" t="s">
        <v>1649</v>
      </c>
      <c r="E227" s="72" t="s">
        <v>7987</v>
      </c>
      <c r="F227" s="8" t="s">
        <v>7746</v>
      </c>
      <c r="G227" s="8" t="s">
        <v>7704</v>
      </c>
      <c r="H227" s="74" t="s">
        <v>4906</v>
      </c>
      <c r="I227" s="74" t="s">
        <v>4889</v>
      </c>
      <c r="J227" s="93">
        <v>2019</v>
      </c>
      <c r="K227" s="93" t="s">
        <v>4112</v>
      </c>
      <c r="L227" s="74"/>
      <c r="M227" s="78" t="s">
        <v>4907</v>
      </c>
    </row>
    <row r="228" spans="1:13" ht="37.5">
      <c r="A228" s="2" t="s">
        <v>1597</v>
      </c>
      <c r="B228" s="2" t="s">
        <v>1690</v>
      </c>
      <c r="C228" s="2" t="s">
        <v>1701</v>
      </c>
      <c r="D228" s="72" t="s">
        <v>1701</v>
      </c>
      <c r="E228" s="72" t="s">
        <v>7994</v>
      </c>
      <c r="F228" s="8" t="s">
        <v>7848</v>
      </c>
      <c r="G228" s="8" t="s">
        <v>7704</v>
      </c>
      <c r="H228" s="74" t="s">
        <v>4908</v>
      </c>
      <c r="I228" s="74" t="s">
        <v>4909</v>
      </c>
      <c r="J228" s="93">
        <v>2018</v>
      </c>
      <c r="K228" s="93" t="s">
        <v>4112</v>
      </c>
      <c r="L228" s="74"/>
      <c r="M228" s="78" t="s">
        <v>4910</v>
      </c>
    </row>
    <row r="229" spans="1:13" ht="37.5">
      <c r="A229" s="2" t="s">
        <v>1597</v>
      </c>
      <c r="B229" s="2" t="s">
        <v>1633</v>
      </c>
      <c r="C229" s="2" t="s">
        <v>1642</v>
      </c>
      <c r="D229" s="72" t="s">
        <v>1642</v>
      </c>
      <c r="E229" s="72" t="s">
        <v>7995</v>
      </c>
      <c r="F229" s="8" t="s">
        <v>7746</v>
      </c>
      <c r="G229" s="8" t="s">
        <v>7704</v>
      </c>
      <c r="H229" s="74" t="s">
        <v>4911</v>
      </c>
      <c r="I229" s="74" t="s">
        <v>4912</v>
      </c>
      <c r="J229" s="93">
        <v>2018</v>
      </c>
      <c r="K229" s="93" t="s">
        <v>4112</v>
      </c>
      <c r="L229" s="74"/>
      <c r="M229" s="78" t="s">
        <v>4913</v>
      </c>
    </row>
    <row r="230" spans="1:13" ht="37.5">
      <c r="A230" s="2" t="s">
        <v>1597</v>
      </c>
      <c r="B230" s="2" t="s">
        <v>1633</v>
      </c>
      <c r="C230" s="2" t="s">
        <v>1646</v>
      </c>
      <c r="D230" s="72" t="s">
        <v>1646</v>
      </c>
      <c r="E230" s="72" t="s">
        <v>7839</v>
      </c>
      <c r="F230" s="8" t="s">
        <v>7746</v>
      </c>
      <c r="G230" s="8" t="s">
        <v>7704</v>
      </c>
      <c r="H230" s="74" t="s">
        <v>4914</v>
      </c>
      <c r="I230" s="74" t="s">
        <v>4915</v>
      </c>
      <c r="J230" s="93"/>
      <c r="K230" s="93"/>
      <c r="L230" s="74"/>
      <c r="M230" s="78" t="s">
        <v>4916</v>
      </c>
    </row>
    <row r="231" spans="1:13" ht="25">
      <c r="A231" s="74" t="s">
        <v>1597</v>
      </c>
      <c r="B231" s="111" t="s">
        <v>1721</v>
      </c>
      <c r="C231" s="111" t="s">
        <v>4917</v>
      </c>
      <c r="D231" s="72" t="s">
        <v>4917</v>
      </c>
      <c r="E231" s="72" t="s">
        <v>7996</v>
      </c>
      <c r="F231" s="8" t="s">
        <v>7730</v>
      </c>
      <c r="G231" s="8" t="s">
        <v>7704</v>
      </c>
      <c r="H231" s="74" t="s">
        <v>4918</v>
      </c>
      <c r="I231" s="74" t="s">
        <v>4919</v>
      </c>
      <c r="J231" s="93">
        <v>2019</v>
      </c>
      <c r="K231" s="93" t="s">
        <v>4112</v>
      </c>
      <c r="L231" s="74"/>
      <c r="M231" s="78" t="s">
        <v>4920</v>
      </c>
    </row>
    <row r="232" spans="1:13" ht="37.5">
      <c r="A232" s="2" t="s">
        <v>1597</v>
      </c>
      <c r="B232" s="2" t="s">
        <v>1721</v>
      </c>
      <c r="C232" s="2" t="s">
        <v>92</v>
      </c>
      <c r="D232" s="72" t="s">
        <v>92</v>
      </c>
      <c r="E232" s="72" t="s">
        <v>7997</v>
      </c>
      <c r="F232" s="8" t="s">
        <v>7730</v>
      </c>
      <c r="G232" s="8" t="s">
        <v>7704</v>
      </c>
      <c r="H232" s="74" t="s">
        <v>4921</v>
      </c>
      <c r="I232" s="74" t="s">
        <v>4922</v>
      </c>
      <c r="J232" s="93">
        <v>2019</v>
      </c>
      <c r="K232" s="93" t="s">
        <v>4112</v>
      </c>
      <c r="L232" s="74"/>
      <c r="M232" s="78" t="s">
        <v>4923</v>
      </c>
    </row>
    <row r="233" spans="1:13" ht="37.5">
      <c r="A233" s="2" t="s">
        <v>1597</v>
      </c>
      <c r="B233" s="2" t="s">
        <v>1721</v>
      </c>
      <c r="C233" s="2" t="s">
        <v>1740</v>
      </c>
      <c r="D233" s="72" t="s">
        <v>1740</v>
      </c>
      <c r="E233" s="72" t="s">
        <v>7998</v>
      </c>
      <c r="F233" s="8" t="s">
        <v>7730</v>
      </c>
      <c r="G233" s="8" t="s">
        <v>7704</v>
      </c>
      <c r="H233" s="74" t="s">
        <v>1741</v>
      </c>
      <c r="I233" s="74" t="s">
        <v>4924</v>
      </c>
      <c r="J233" s="93">
        <v>2018</v>
      </c>
      <c r="K233" s="93" t="s">
        <v>4112</v>
      </c>
      <c r="L233" s="74"/>
      <c r="M233" s="78" t="s">
        <v>4925</v>
      </c>
    </row>
    <row r="234" spans="1:13" ht="25">
      <c r="A234" s="74" t="s">
        <v>1597</v>
      </c>
      <c r="B234" s="111" t="s">
        <v>1690</v>
      </c>
      <c r="C234" s="111" t="s">
        <v>4926</v>
      </c>
      <c r="D234" s="72" t="s">
        <v>4926</v>
      </c>
      <c r="E234" s="72" t="s">
        <v>7999</v>
      </c>
      <c r="F234" s="8" t="s">
        <v>7848</v>
      </c>
      <c r="G234" s="8" t="s">
        <v>7704</v>
      </c>
      <c r="H234" s="74" t="s">
        <v>1707</v>
      </c>
      <c r="I234" s="74" t="s">
        <v>4927</v>
      </c>
      <c r="J234" s="93">
        <v>2015</v>
      </c>
      <c r="K234" s="93" t="s">
        <v>4112</v>
      </c>
      <c r="L234" s="74"/>
      <c r="M234" s="78" t="s">
        <v>4928</v>
      </c>
    </row>
    <row r="235" spans="1:13" ht="25">
      <c r="A235" s="74" t="s">
        <v>1597</v>
      </c>
      <c r="B235" s="93" t="s">
        <v>1690</v>
      </c>
      <c r="C235" s="111" t="s">
        <v>8059</v>
      </c>
      <c r="D235" s="72" t="s">
        <v>8059</v>
      </c>
      <c r="E235" s="72" t="s">
        <v>8060</v>
      </c>
      <c r="F235" s="8" t="s">
        <v>7848</v>
      </c>
      <c r="G235" s="8" t="s">
        <v>7704</v>
      </c>
      <c r="H235" s="74" t="s">
        <v>1710</v>
      </c>
      <c r="I235" s="74" t="s">
        <v>4929</v>
      </c>
      <c r="J235" s="93">
        <v>2019</v>
      </c>
      <c r="K235" s="93" t="s">
        <v>4112</v>
      </c>
      <c r="L235" s="74"/>
      <c r="M235" s="78" t="s">
        <v>4930</v>
      </c>
    </row>
    <row r="236" spans="1:13" ht="37.5">
      <c r="A236" s="2" t="s">
        <v>1597</v>
      </c>
      <c r="B236" s="2" t="s">
        <v>1775</v>
      </c>
      <c r="C236" s="2" t="s">
        <v>1780</v>
      </c>
      <c r="D236" s="72" t="s">
        <v>1780</v>
      </c>
      <c r="E236" s="72" t="s">
        <v>8000</v>
      </c>
      <c r="F236" s="8" t="s">
        <v>8001</v>
      </c>
      <c r="G236" s="8" t="s">
        <v>7704</v>
      </c>
      <c r="H236" s="74" t="s">
        <v>1786</v>
      </c>
      <c r="I236" s="93" t="s">
        <v>4931</v>
      </c>
      <c r="J236" s="93">
        <v>2019</v>
      </c>
      <c r="K236" s="93" t="s">
        <v>4112</v>
      </c>
      <c r="L236" s="74"/>
      <c r="M236" s="78" t="s">
        <v>4932</v>
      </c>
    </row>
    <row r="237" spans="1:13" ht="37.5">
      <c r="A237" s="2" t="s">
        <v>1597</v>
      </c>
      <c r="B237" s="2" t="s">
        <v>1633</v>
      </c>
      <c r="C237" s="2" t="s">
        <v>1646</v>
      </c>
      <c r="D237" s="72" t="s">
        <v>1646</v>
      </c>
      <c r="E237" s="72" t="s">
        <v>7839</v>
      </c>
      <c r="F237" s="8" t="s">
        <v>7746</v>
      </c>
      <c r="G237" s="8" t="s">
        <v>7704</v>
      </c>
      <c r="H237" s="74" t="s">
        <v>1647</v>
      </c>
      <c r="I237" s="74" t="s">
        <v>4933</v>
      </c>
      <c r="J237" s="93">
        <v>2019</v>
      </c>
      <c r="K237" s="93" t="s">
        <v>4112</v>
      </c>
      <c r="L237" s="74"/>
      <c r="M237" s="78" t="s">
        <v>4934</v>
      </c>
    </row>
    <row r="238" spans="1:13" ht="37.5">
      <c r="A238" s="2" t="s">
        <v>1597</v>
      </c>
      <c r="B238" s="2" t="s">
        <v>1721</v>
      </c>
      <c r="C238" s="2" t="s">
        <v>1750</v>
      </c>
      <c r="D238" s="72" t="s">
        <v>1750</v>
      </c>
      <c r="E238" s="72" t="s">
        <v>8002</v>
      </c>
      <c r="F238" s="8" t="s">
        <v>7730</v>
      </c>
      <c r="G238" s="8" t="s">
        <v>7704</v>
      </c>
      <c r="H238" s="74" t="s">
        <v>1751</v>
      </c>
      <c r="I238" s="74" t="s">
        <v>4935</v>
      </c>
      <c r="J238" s="93">
        <v>1997</v>
      </c>
      <c r="K238" s="93" t="s">
        <v>4112</v>
      </c>
      <c r="L238" s="74"/>
      <c r="M238" s="78" t="s">
        <v>4936</v>
      </c>
    </row>
    <row r="239" spans="1:13" ht="37.5">
      <c r="A239" s="2" t="s">
        <v>1597</v>
      </c>
      <c r="B239" s="2" t="s">
        <v>1721</v>
      </c>
      <c r="C239" s="2" t="s">
        <v>1750</v>
      </c>
      <c r="D239" s="72" t="s">
        <v>1750</v>
      </c>
      <c r="E239" s="72" t="s">
        <v>8002</v>
      </c>
      <c r="F239" s="8" t="s">
        <v>7730</v>
      </c>
      <c r="G239" s="8" t="s">
        <v>7704</v>
      </c>
      <c r="H239" s="74" t="s">
        <v>1751</v>
      </c>
      <c r="I239" s="74" t="s">
        <v>4937</v>
      </c>
      <c r="J239" s="93">
        <v>2021</v>
      </c>
      <c r="K239" s="93" t="s">
        <v>4101</v>
      </c>
      <c r="L239" s="74"/>
      <c r="M239" s="78" t="s">
        <v>4938</v>
      </c>
    </row>
    <row r="240" spans="1:13" ht="37.5">
      <c r="A240" s="2" t="s">
        <v>1788</v>
      </c>
      <c r="B240" s="2" t="s">
        <v>1843</v>
      </c>
      <c r="C240" s="2" t="s">
        <v>297</v>
      </c>
      <c r="D240" s="72" t="s">
        <v>297</v>
      </c>
      <c r="E240" s="72" t="s">
        <v>7706</v>
      </c>
      <c r="F240" s="8" t="s">
        <v>7758</v>
      </c>
      <c r="G240" s="8" t="s">
        <v>7706</v>
      </c>
      <c r="H240" s="74" t="s">
        <v>1735</v>
      </c>
      <c r="I240" s="74" t="s">
        <v>4939</v>
      </c>
      <c r="J240" s="93">
        <v>2021</v>
      </c>
      <c r="K240" s="93" t="s">
        <v>4112</v>
      </c>
      <c r="L240" s="74"/>
      <c r="M240" s="78" t="s">
        <v>4940</v>
      </c>
    </row>
    <row r="241" spans="1:13" ht="37.5">
      <c r="A241" s="2" t="s">
        <v>1788</v>
      </c>
      <c r="B241" s="2" t="s">
        <v>1813</v>
      </c>
      <c r="C241" s="2" t="s">
        <v>1827</v>
      </c>
      <c r="D241" s="72" t="s">
        <v>1827</v>
      </c>
      <c r="E241" s="72" t="s">
        <v>7743</v>
      </c>
      <c r="F241" s="8" t="s">
        <v>7742</v>
      </c>
      <c r="G241" s="8" t="s">
        <v>7706</v>
      </c>
      <c r="H241" s="74" t="s">
        <v>4941</v>
      </c>
      <c r="I241" s="74" t="s">
        <v>4942</v>
      </c>
      <c r="J241" s="93">
        <v>2019</v>
      </c>
      <c r="K241" s="93" t="s">
        <v>4112</v>
      </c>
      <c r="L241" s="74"/>
      <c r="M241" s="78" t="s">
        <v>4943</v>
      </c>
    </row>
    <row r="242" spans="1:13" ht="37.5">
      <c r="A242" s="2" t="s">
        <v>1788</v>
      </c>
      <c r="B242" s="2" t="s">
        <v>1813</v>
      </c>
      <c r="C242" s="2" t="s">
        <v>1824</v>
      </c>
      <c r="D242" s="72" t="s">
        <v>1824</v>
      </c>
      <c r="E242" s="72" t="s">
        <v>8003</v>
      </c>
      <c r="F242" s="8" t="s">
        <v>7742</v>
      </c>
      <c r="G242" s="8" t="s">
        <v>7706</v>
      </c>
      <c r="H242" s="74" t="s">
        <v>4944</v>
      </c>
      <c r="I242" s="74" t="s">
        <v>4945</v>
      </c>
      <c r="J242" s="93"/>
      <c r="K242" s="93"/>
      <c r="L242" s="74"/>
      <c r="M242" s="78" t="s">
        <v>4946</v>
      </c>
    </row>
    <row r="243" spans="1:13" ht="37.5">
      <c r="A243" s="2" t="s">
        <v>1900</v>
      </c>
      <c r="B243" s="2" t="s">
        <v>2020</v>
      </c>
      <c r="C243" s="2" t="s">
        <v>2054</v>
      </c>
      <c r="D243" s="72" t="s">
        <v>2054</v>
      </c>
      <c r="E243" s="72" t="s">
        <v>7781</v>
      </c>
      <c r="F243" s="8" t="s">
        <v>7782</v>
      </c>
      <c r="G243" s="8" t="s">
        <v>7781</v>
      </c>
      <c r="H243" s="74" t="s">
        <v>2055</v>
      </c>
      <c r="I243" s="93" t="s">
        <v>4947</v>
      </c>
      <c r="J243" s="93"/>
      <c r="K243" s="93" t="s">
        <v>4101</v>
      </c>
      <c r="L243" s="74"/>
      <c r="M243" s="78" t="s">
        <v>4948</v>
      </c>
    </row>
    <row r="244" spans="1:13" ht="37.5">
      <c r="A244" s="2" t="s">
        <v>1900</v>
      </c>
      <c r="B244" s="2" t="s">
        <v>2020</v>
      </c>
      <c r="C244" s="2" t="s">
        <v>2054</v>
      </c>
      <c r="D244" s="72" t="s">
        <v>2054</v>
      </c>
      <c r="E244" s="72" t="s">
        <v>7781</v>
      </c>
      <c r="F244" s="8" t="s">
        <v>7782</v>
      </c>
      <c r="G244" s="8" t="s">
        <v>7781</v>
      </c>
      <c r="H244" s="74" t="s">
        <v>2055</v>
      </c>
      <c r="I244" s="74" t="s">
        <v>4949</v>
      </c>
      <c r="J244" s="93">
        <v>2016</v>
      </c>
      <c r="K244" s="93" t="s">
        <v>4112</v>
      </c>
      <c r="L244" s="74"/>
      <c r="M244" s="78" t="s">
        <v>4950</v>
      </c>
    </row>
    <row r="245" spans="1:13" ht="37.5">
      <c r="A245" s="2" t="s">
        <v>1900</v>
      </c>
      <c r="B245" s="2" t="s">
        <v>2020</v>
      </c>
      <c r="C245" s="2" t="s">
        <v>2041</v>
      </c>
      <c r="D245" s="72" t="s">
        <v>2041</v>
      </c>
      <c r="E245" s="72" t="s">
        <v>8004</v>
      </c>
      <c r="F245" s="8" t="s">
        <v>7782</v>
      </c>
      <c r="G245" s="8" t="s">
        <v>7781</v>
      </c>
      <c r="H245" s="74" t="s">
        <v>4951</v>
      </c>
      <c r="I245" s="74" t="s">
        <v>4952</v>
      </c>
      <c r="J245" s="93"/>
      <c r="K245" s="93"/>
      <c r="L245" s="74"/>
      <c r="M245" s="78" t="s">
        <v>4953</v>
      </c>
    </row>
    <row r="246" spans="1:13" ht="37.5">
      <c r="A246" s="2" t="s">
        <v>1900</v>
      </c>
      <c r="B246" s="2" t="s">
        <v>2075</v>
      </c>
      <c r="C246" s="2" t="s">
        <v>2099</v>
      </c>
      <c r="D246" s="72" t="s">
        <v>2099</v>
      </c>
      <c r="E246" s="72" t="s">
        <v>8005</v>
      </c>
      <c r="F246" s="8" t="s">
        <v>8006</v>
      </c>
      <c r="G246" s="8" t="s">
        <v>7781</v>
      </c>
      <c r="H246" s="74" t="s">
        <v>2100</v>
      </c>
      <c r="I246" s="74" t="s">
        <v>4510</v>
      </c>
      <c r="J246" s="93">
        <v>2016</v>
      </c>
      <c r="K246" s="93" t="s">
        <v>4112</v>
      </c>
      <c r="L246" s="74"/>
      <c r="M246" s="78" t="s">
        <v>4954</v>
      </c>
    </row>
    <row r="247" spans="1:13" ht="37.5">
      <c r="A247" s="2" t="s">
        <v>1900</v>
      </c>
      <c r="B247" s="2" t="s">
        <v>2075</v>
      </c>
      <c r="C247" s="2" t="s">
        <v>2099</v>
      </c>
      <c r="D247" s="72" t="s">
        <v>2099</v>
      </c>
      <c r="E247" s="72" t="s">
        <v>8005</v>
      </c>
      <c r="F247" s="8" t="s">
        <v>8006</v>
      </c>
      <c r="G247" s="8" t="s">
        <v>7781</v>
      </c>
      <c r="H247" s="74" t="s">
        <v>4955</v>
      </c>
      <c r="I247" s="74" t="s">
        <v>4956</v>
      </c>
      <c r="J247" s="93"/>
      <c r="K247" s="93"/>
      <c r="L247" s="74"/>
      <c r="M247" s="78" t="s">
        <v>4957</v>
      </c>
    </row>
    <row r="248" spans="1:13" ht="37.5">
      <c r="A248" s="2" t="s">
        <v>2124</v>
      </c>
      <c r="B248" s="2" t="s">
        <v>2207</v>
      </c>
      <c r="C248" s="2" t="s">
        <v>2250</v>
      </c>
      <c r="D248" s="72" t="s">
        <v>2250</v>
      </c>
      <c r="E248" s="72" t="s">
        <v>7703</v>
      </c>
      <c r="F248" s="8" t="s">
        <v>7835</v>
      </c>
      <c r="G248" s="8" t="s">
        <v>7703</v>
      </c>
      <c r="H248" s="74" t="s">
        <v>2251</v>
      </c>
      <c r="I248" s="74" t="s">
        <v>4958</v>
      </c>
      <c r="J248" s="93">
        <v>2012</v>
      </c>
      <c r="K248" s="93" t="s">
        <v>4101</v>
      </c>
      <c r="L248" s="74"/>
      <c r="M248" s="78" t="s">
        <v>4959</v>
      </c>
    </row>
    <row r="249" spans="1:13" ht="37.5">
      <c r="A249" s="2" t="s">
        <v>2124</v>
      </c>
      <c r="B249" s="2" t="s">
        <v>2207</v>
      </c>
      <c r="C249" s="2" t="s">
        <v>2250</v>
      </c>
      <c r="D249" s="72" t="s">
        <v>2250</v>
      </c>
      <c r="E249" s="72" t="s">
        <v>7703</v>
      </c>
      <c r="F249" s="8" t="s">
        <v>7835</v>
      </c>
      <c r="G249" s="8" t="s">
        <v>7703</v>
      </c>
      <c r="H249" s="74" t="s">
        <v>2251</v>
      </c>
      <c r="I249" s="93" t="s">
        <v>4960</v>
      </c>
      <c r="J249" s="93">
        <v>2006</v>
      </c>
      <c r="K249" s="93" t="s">
        <v>4112</v>
      </c>
      <c r="L249" s="74"/>
      <c r="M249" s="78" t="s">
        <v>4961</v>
      </c>
    </row>
    <row r="250" spans="1:13" ht="37.5">
      <c r="A250" s="2" t="s">
        <v>2124</v>
      </c>
      <c r="B250" s="2" t="s">
        <v>2207</v>
      </c>
      <c r="C250" s="2" t="s">
        <v>2250</v>
      </c>
      <c r="D250" s="72" t="s">
        <v>2250</v>
      </c>
      <c r="E250" s="72" t="s">
        <v>7703</v>
      </c>
      <c r="F250" s="8" t="s">
        <v>7835</v>
      </c>
      <c r="G250" s="8" t="s">
        <v>7703</v>
      </c>
      <c r="H250" s="74" t="s">
        <v>2251</v>
      </c>
      <c r="I250" s="74" t="s">
        <v>4962</v>
      </c>
      <c r="J250" s="93">
        <v>2019</v>
      </c>
      <c r="K250" s="93" t="s">
        <v>4112</v>
      </c>
      <c r="L250" s="74"/>
      <c r="M250" s="78" t="s">
        <v>4963</v>
      </c>
    </row>
    <row r="251" spans="1:13" ht="37.5">
      <c r="A251" s="2" t="s">
        <v>2124</v>
      </c>
      <c r="B251" s="2" t="s">
        <v>2125</v>
      </c>
      <c r="C251" s="2" t="s">
        <v>2139</v>
      </c>
      <c r="D251" s="72" t="s">
        <v>2139</v>
      </c>
      <c r="E251" s="72" t="s">
        <v>8007</v>
      </c>
      <c r="F251" s="8" t="s">
        <v>8008</v>
      </c>
      <c r="G251" s="8" t="s">
        <v>7703</v>
      </c>
      <c r="H251" s="74" t="s">
        <v>2140</v>
      </c>
      <c r="I251" s="74" t="s">
        <v>4964</v>
      </c>
      <c r="J251" s="93"/>
      <c r="K251" s="93"/>
      <c r="L251" s="74"/>
      <c r="M251" s="78" t="s">
        <v>4965</v>
      </c>
    </row>
    <row r="252" spans="1:13" ht="37.5">
      <c r="A252" s="2" t="s">
        <v>2124</v>
      </c>
      <c r="B252" s="2" t="s">
        <v>2125</v>
      </c>
      <c r="C252" s="2" t="s">
        <v>2139</v>
      </c>
      <c r="D252" s="72" t="s">
        <v>2139</v>
      </c>
      <c r="E252" s="72" t="s">
        <v>8007</v>
      </c>
      <c r="F252" s="8" t="s">
        <v>8008</v>
      </c>
      <c r="G252" s="8" t="s">
        <v>7703</v>
      </c>
      <c r="H252" s="74" t="s">
        <v>2140</v>
      </c>
      <c r="I252" s="74" t="s">
        <v>4966</v>
      </c>
      <c r="J252" s="93">
        <v>2019</v>
      </c>
      <c r="K252" s="93" t="s">
        <v>4112</v>
      </c>
      <c r="L252" s="74"/>
      <c r="M252" s="78" t="s">
        <v>4967</v>
      </c>
    </row>
    <row r="253" spans="1:13" ht="37.5">
      <c r="A253" s="2" t="s">
        <v>2124</v>
      </c>
      <c r="B253" s="2" t="s">
        <v>2125</v>
      </c>
      <c r="C253" s="2" t="s">
        <v>2146</v>
      </c>
      <c r="D253" s="72" t="s">
        <v>2146</v>
      </c>
      <c r="E253" s="72" t="s">
        <v>8009</v>
      </c>
      <c r="F253" s="8" t="s">
        <v>8008</v>
      </c>
      <c r="G253" s="8" t="s">
        <v>7703</v>
      </c>
      <c r="H253" s="74" t="s">
        <v>4968</v>
      </c>
      <c r="I253" s="74" t="s">
        <v>4969</v>
      </c>
      <c r="J253" s="93"/>
      <c r="K253" s="93" t="s">
        <v>4112</v>
      </c>
      <c r="L253" s="74"/>
      <c r="M253" s="78" t="s">
        <v>4970</v>
      </c>
    </row>
    <row r="254" spans="1:13" ht="37.5">
      <c r="A254" s="2" t="s">
        <v>2124</v>
      </c>
      <c r="B254" s="2" t="s">
        <v>2207</v>
      </c>
      <c r="C254" s="2" t="s">
        <v>2244</v>
      </c>
      <c r="D254" s="72" t="s">
        <v>2244</v>
      </c>
      <c r="E254" s="72" t="s">
        <v>8010</v>
      </c>
      <c r="F254" s="8" t="s">
        <v>7835</v>
      </c>
      <c r="G254" s="8" t="s">
        <v>7703</v>
      </c>
      <c r="H254" s="74" t="s">
        <v>4971</v>
      </c>
      <c r="I254" s="74" t="s">
        <v>4972</v>
      </c>
      <c r="J254" s="93">
        <v>2019</v>
      </c>
      <c r="K254" s="93" t="s">
        <v>4112</v>
      </c>
      <c r="L254" s="74"/>
      <c r="M254" s="78" t="s">
        <v>4973</v>
      </c>
    </row>
    <row r="255" spans="1:13" ht="37.5">
      <c r="A255" s="2" t="s">
        <v>2264</v>
      </c>
      <c r="B255" s="2" t="s">
        <v>2327</v>
      </c>
      <c r="C255" s="2" t="s">
        <v>240</v>
      </c>
      <c r="D255" s="72" t="s">
        <v>240</v>
      </c>
      <c r="E255" s="72" t="s">
        <v>3603</v>
      </c>
      <c r="F255" s="8" t="s">
        <v>7818</v>
      </c>
      <c r="G255" s="8" t="s">
        <v>3603</v>
      </c>
      <c r="H255" s="74" t="s">
        <v>1504</v>
      </c>
      <c r="I255" s="93" t="s">
        <v>4974</v>
      </c>
      <c r="J255" s="93">
        <v>2020</v>
      </c>
      <c r="K255" s="93" t="s">
        <v>4101</v>
      </c>
      <c r="L255" s="74"/>
      <c r="M255" s="78" t="s">
        <v>4975</v>
      </c>
    </row>
    <row r="256" spans="1:13" ht="37.5">
      <c r="A256" s="2" t="s">
        <v>2264</v>
      </c>
      <c r="B256" s="2" t="s">
        <v>2327</v>
      </c>
      <c r="C256" s="2" t="s">
        <v>240</v>
      </c>
      <c r="D256" s="72" t="s">
        <v>240</v>
      </c>
      <c r="E256" s="72" t="s">
        <v>3603</v>
      </c>
      <c r="F256" s="8" t="s">
        <v>7818</v>
      </c>
      <c r="G256" s="8" t="s">
        <v>3603</v>
      </c>
      <c r="H256" s="74" t="s">
        <v>1504</v>
      </c>
      <c r="I256" s="74" t="s">
        <v>4976</v>
      </c>
      <c r="J256" s="93">
        <v>2021</v>
      </c>
      <c r="K256" s="93" t="s">
        <v>4112</v>
      </c>
      <c r="L256" s="74"/>
      <c r="M256" s="78" t="s">
        <v>4977</v>
      </c>
    </row>
    <row r="257" spans="1:13" ht="37.5">
      <c r="A257" s="2" t="s">
        <v>2264</v>
      </c>
      <c r="B257" s="2" t="s">
        <v>2387</v>
      </c>
      <c r="C257" s="2" t="s">
        <v>2394</v>
      </c>
      <c r="D257" s="72" t="s">
        <v>2394</v>
      </c>
      <c r="E257" s="72" t="s">
        <v>8011</v>
      </c>
      <c r="F257" s="8" t="s">
        <v>8012</v>
      </c>
      <c r="G257" s="8" t="s">
        <v>3603</v>
      </c>
      <c r="H257" s="74" t="s">
        <v>2395</v>
      </c>
      <c r="I257" s="74" t="s">
        <v>4978</v>
      </c>
      <c r="J257" s="93"/>
      <c r="K257" s="93"/>
      <c r="L257" s="74"/>
      <c r="M257" s="78" t="s">
        <v>4979</v>
      </c>
    </row>
    <row r="258" spans="1:13" ht="37.5">
      <c r="A258" s="2" t="s">
        <v>2264</v>
      </c>
      <c r="B258" s="2" t="s">
        <v>2285</v>
      </c>
      <c r="C258" s="2" t="s">
        <v>1806</v>
      </c>
      <c r="D258" s="72" t="s">
        <v>1806</v>
      </c>
      <c r="E258" s="72" t="s">
        <v>8013</v>
      </c>
      <c r="F258" s="8" t="s">
        <v>7772</v>
      </c>
      <c r="G258" s="8" t="s">
        <v>3603</v>
      </c>
      <c r="H258" s="74" t="s">
        <v>4980</v>
      </c>
      <c r="I258" s="74" t="s">
        <v>4981</v>
      </c>
      <c r="J258" s="93">
        <v>2018</v>
      </c>
      <c r="K258" s="93" t="s">
        <v>4101</v>
      </c>
      <c r="L258" s="74"/>
      <c r="M258" s="78" t="s">
        <v>4982</v>
      </c>
    </row>
    <row r="259" spans="1:13" ht="37.5">
      <c r="A259" s="74" t="s">
        <v>2264</v>
      </c>
      <c r="B259" s="111" t="s">
        <v>2387</v>
      </c>
      <c r="C259" s="2" t="s">
        <v>2394</v>
      </c>
      <c r="D259" s="72" t="s">
        <v>2394</v>
      </c>
      <c r="E259" s="72" t="s">
        <v>8011</v>
      </c>
      <c r="F259" s="8" t="s">
        <v>8012</v>
      </c>
      <c r="G259" s="8" t="s">
        <v>3603</v>
      </c>
      <c r="H259" s="74" t="s">
        <v>4983</v>
      </c>
      <c r="I259" s="74" t="s">
        <v>4984</v>
      </c>
      <c r="J259" s="93"/>
      <c r="K259" s="93"/>
      <c r="L259" s="74"/>
      <c r="M259" s="78" t="s">
        <v>4985</v>
      </c>
    </row>
    <row r="260" spans="1:13" ht="37.5">
      <c r="A260" s="2" t="s">
        <v>2264</v>
      </c>
      <c r="B260" s="2" t="s">
        <v>2327</v>
      </c>
      <c r="C260" s="2" t="s">
        <v>2378</v>
      </c>
      <c r="D260" s="72" t="s">
        <v>2378</v>
      </c>
      <c r="E260" s="72" t="s">
        <v>7817</v>
      </c>
      <c r="F260" s="8" t="s">
        <v>7818</v>
      </c>
      <c r="G260" s="8" t="s">
        <v>3603</v>
      </c>
      <c r="H260" s="74" t="s">
        <v>2379</v>
      </c>
      <c r="I260" s="74" t="s">
        <v>4986</v>
      </c>
      <c r="J260" s="93"/>
      <c r="K260" s="93"/>
      <c r="L260" s="74"/>
      <c r="M260" s="78" t="s">
        <v>4987</v>
      </c>
    </row>
    <row r="261" spans="1:13" ht="25">
      <c r="A261" s="74" t="s">
        <v>2264</v>
      </c>
      <c r="B261" s="111" t="s">
        <v>2265</v>
      </c>
      <c r="C261" s="111" t="s">
        <v>4988</v>
      </c>
      <c r="D261" s="72" t="s">
        <v>4988</v>
      </c>
      <c r="E261" s="72" t="s">
        <v>8014</v>
      </c>
      <c r="F261" s="8" t="s">
        <v>8015</v>
      </c>
      <c r="G261" s="8" t="s">
        <v>3603</v>
      </c>
      <c r="H261" s="74" t="s">
        <v>4989</v>
      </c>
      <c r="I261" s="74" t="s">
        <v>4990</v>
      </c>
      <c r="J261" s="93"/>
      <c r="K261" s="93"/>
      <c r="L261" s="74"/>
      <c r="M261" s="78" t="s">
        <v>4991</v>
      </c>
    </row>
    <row r="262" spans="1:13" ht="37.5">
      <c r="A262" s="2" t="s">
        <v>2264</v>
      </c>
      <c r="B262" s="2" t="s">
        <v>2327</v>
      </c>
      <c r="C262" s="2" t="s">
        <v>2356</v>
      </c>
      <c r="D262" s="72" t="s">
        <v>2356</v>
      </c>
      <c r="E262" s="72" t="s">
        <v>8016</v>
      </c>
      <c r="F262" s="8" t="s">
        <v>7818</v>
      </c>
      <c r="G262" s="8" t="s">
        <v>3603</v>
      </c>
      <c r="H262" s="74" t="s">
        <v>2357</v>
      </c>
      <c r="I262" s="74" t="s">
        <v>4992</v>
      </c>
      <c r="J262" s="93">
        <v>2021</v>
      </c>
      <c r="K262" s="93" t="s">
        <v>4112</v>
      </c>
      <c r="L262" s="74"/>
      <c r="M262" s="78" t="s">
        <v>4993</v>
      </c>
    </row>
    <row r="263" spans="1:13" ht="37.5">
      <c r="A263" s="2" t="s">
        <v>2412</v>
      </c>
      <c r="B263" s="2" t="s">
        <v>2470</v>
      </c>
      <c r="C263" s="2" t="s">
        <v>2494</v>
      </c>
      <c r="D263" s="72" t="s">
        <v>2494</v>
      </c>
      <c r="E263" s="72" t="s">
        <v>7709</v>
      </c>
      <c r="F263" s="8" t="s">
        <v>7846</v>
      </c>
      <c r="G263" s="8" t="s">
        <v>7709</v>
      </c>
      <c r="H263" s="74" t="s">
        <v>2495</v>
      </c>
      <c r="I263" s="93" t="s">
        <v>4994</v>
      </c>
      <c r="J263" s="93">
        <v>2007</v>
      </c>
      <c r="K263" s="93" t="s">
        <v>4101</v>
      </c>
      <c r="L263" s="74"/>
      <c r="M263" s="78" t="s">
        <v>4995</v>
      </c>
    </row>
    <row r="264" spans="1:13" ht="50">
      <c r="A264" s="2" t="s">
        <v>2412</v>
      </c>
      <c r="B264" s="2" t="s">
        <v>2470</v>
      </c>
      <c r="C264" s="2" t="s">
        <v>2494</v>
      </c>
      <c r="D264" s="72" t="s">
        <v>2494</v>
      </c>
      <c r="E264" s="72" t="s">
        <v>7709</v>
      </c>
      <c r="F264" s="8" t="s">
        <v>7846</v>
      </c>
      <c r="G264" s="8" t="s">
        <v>7709</v>
      </c>
      <c r="H264" s="74" t="s">
        <v>2495</v>
      </c>
      <c r="I264" s="93" t="s">
        <v>4996</v>
      </c>
      <c r="J264" s="93">
        <v>2008</v>
      </c>
      <c r="K264" s="93" t="s">
        <v>4101</v>
      </c>
      <c r="L264" s="74"/>
      <c r="M264" s="78" t="s">
        <v>4997</v>
      </c>
    </row>
    <row r="265" spans="1:13" ht="37.5">
      <c r="A265" s="2" t="s">
        <v>2412</v>
      </c>
      <c r="B265" s="2" t="s">
        <v>2470</v>
      </c>
      <c r="C265" s="2" t="s">
        <v>2494</v>
      </c>
      <c r="D265" s="72" t="s">
        <v>2494</v>
      </c>
      <c r="E265" s="72" t="s">
        <v>7709</v>
      </c>
      <c r="F265" s="8" t="s">
        <v>7846</v>
      </c>
      <c r="G265" s="8" t="s">
        <v>7709</v>
      </c>
      <c r="H265" s="74" t="s">
        <v>2495</v>
      </c>
      <c r="I265" s="74" t="s">
        <v>4998</v>
      </c>
      <c r="J265" s="93"/>
      <c r="K265" s="93"/>
      <c r="L265" s="74"/>
      <c r="M265" s="78" t="s">
        <v>4999</v>
      </c>
    </row>
    <row r="266" spans="1:13" ht="37.5">
      <c r="A266" s="2" t="s">
        <v>2412</v>
      </c>
      <c r="B266" s="2" t="s">
        <v>2470</v>
      </c>
      <c r="C266" s="2" t="s">
        <v>2494</v>
      </c>
      <c r="D266" s="72" t="s">
        <v>2494</v>
      </c>
      <c r="E266" s="72" t="s">
        <v>7709</v>
      </c>
      <c r="F266" s="8" t="s">
        <v>7846</v>
      </c>
      <c r="G266" s="8" t="s">
        <v>7709</v>
      </c>
      <c r="H266" s="74" t="s">
        <v>2495</v>
      </c>
      <c r="I266" s="74" t="s">
        <v>5000</v>
      </c>
      <c r="J266" s="93"/>
      <c r="K266" s="93"/>
      <c r="L266" s="74"/>
      <c r="M266" s="78" t="s">
        <v>5001</v>
      </c>
    </row>
    <row r="267" spans="1:13" ht="37.5">
      <c r="A267" s="2" t="s">
        <v>2412</v>
      </c>
      <c r="B267" s="2" t="s">
        <v>2432</v>
      </c>
      <c r="C267" s="2" t="s">
        <v>2444</v>
      </c>
      <c r="D267" s="72" t="s">
        <v>2444</v>
      </c>
      <c r="E267" s="72" t="s">
        <v>7842</v>
      </c>
      <c r="F267" s="8" t="s">
        <v>7843</v>
      </c>
      <c r="G267" s="8" t="s">
        <v>7709</v>
      </c>
      <c r="H267" s="74" t="s">
        <v>2445</v>
      </c>
      <c r="I267" s="74" t="s">
        <v>5002</v>
      </c>
      <c r="J267" s="93">
        <v>2018</v>
      </c>
      <c r="K267" s="93" t="s">
        <v>4112</v>
      </c>
      <c r="L267" s="74"/>
      <c r="M267" s="78" t="s">
        <v>5003</v>
      </c>
    </row>
    <row r="268" spans="1:13" ht="37.5">
      <c r="A268" s="2" t="s">
        <v>2527</v>
      </c>
      <c r="B268" s="2" t="s">
        <v>2546</v>
      </c>
      <c r="C268" s="2" t="s">
        <v>2599</v>
      </c>
      <c r="D268" s="72" t="s">
        <v>2599</v>
      </c>
      <c r="E268" s="72" t="s">
        <v>7727</v>
      </c>
      <c r="F268" s="8" t="s">
        <v>7728</v>
      </c>
      <c r="G268" s="8" t="s">
        <v>7727</v>
      </c>
      <c r="H268" s="74" t="s">
        <v>3504</v>
      </c>
      <c r="I268" s="74" t="s">
        <v>5004</v>
      </c>
      <c r="J268" s="93">
        <v>2016</v>
      </c>
      <c r="K268" s="93" t="s">
        <v>4112</v>
      </c>
      <c r="L268" s="74"/>
      <c r="M268" s="78" t="s">
        <v>5005</v>
      </c>
    </row>
    <row r="269" spans="1:13" ht="37.5">
      <c r="A269" s="2" t="s">
        <v>2527</v>
      </c>
      <c r="B269" s="2" t="s">
        <v>2546</v>
      </c>
      <c r="C269" s="2" t="s">
        <v>2599</v>
      </c>
      <c r="D269" s="72" t="s">
        <v>2599</v>
      </c>
      <c r="E269" s="72" t="s">
        <v>7727</v>
      </c>
      <c r="F269" s="8" t="s">
        <v>7728</v>
      </c>
      <c r="G269" s="8" t="s">
        <v>7727</v>
      </c>
      <c r="H269" s="74" t="s">
        <v>3504</v>
      </c>
      <c r="I269" s="93" t="s">
        <v>5006</v>
      </c>
      <c r="J269" s="93">
        <v>2019</v>
      </c>
      <c r="K269" s="93" t="s">
        <v>4101</v>
      </c>
      <c r="L269" s="74"/>
      <c r="M269" s="78" t="s">
        <v>5007</v>
      </c>
    </row>
    <row r="270" spans="1:13" ht="37.5">
      <c r="A270" s="2" t="s">
        <v>2527</v>
      </c>
      <c r="B270" s="2" t="s">
        <v>2546</v>
      </c>
      <c r="C270" s="2" t="s">
        <v>2560</v>
      </c>
      <c r="D270" s="72" t="s">
        <v>2560</v>
      </c>
      <c r="E270" s="72" t="s">
        <v>8017</v>
      </c>
      <c r="F270" s="8" t="s">
        <v>7728</v>
      </c>
      <c r="G270" s="8" t="s">
        <v>7727</v>
      </c>
      <c r="H270" s="74" t="s">
        <v>5008</v>
      </c>
      <c r="I270" s="74" t="s">
        <v>5009</v>
      </c>
      <c r="J270" s="93">
        <v>2020</v>
      </c>
      <c r="K270" s="93" t="s">
        <v>4112</v>
      </c>
      <c r="L270" s="74"/>
      <c r="M270" s="78" t="s">
        <v>5010</v>
      </c>
    </row>
    <row r="271" spans="1:13" ht="37.5">
      <c r="A271" s="74" t="s">
        <v>2527</v>
      </c>
      <c r="B271" s="111" t="s">
        <v>2546</v>
      </c>
      <c r="C271" s="2" t="s">
        <v>2550</v>
      </c>
      <c r="D271" s="72" t="s">
        <v>2550</v>
      </c>
      <c r="E271" s="72" t="s">
        <v>8018</v>
      </c>
      <c r="F271" s="8" t="s">
        <v>7728</v>
      </c>
      <c r="G271" s="8" t="s">
        <v>7727</v>
      </c>
      <c r="H271" s="74" t="s">
        <v>5011</v>
      </c>
      <c r="I271" s="74" t="s">
        <v>5012</v>
      </c>
      <c r="J271" s="93">
        <v>2008</v>
      </c>
      <c r="K271" s="93" t="s">
        <v>4112</v>
      </c>
      <c r="L271" s="74"/>
      <c r="M271" s="78" t="s">
        <v>5013</v>
      </c>
    </row>
    <row r="272" spans="1:13" ht="37.5">
      <c r="A272" s="2" t="s">
        <v>2527</v>
      </c>
      <c r="B272" s="2" t="s">
        <v>2528</v>
      </c>
      <c r="C272" s="2" t="s">
        <v>2538</v>
      </c>
      <c r="D272" s="72" t="s">
        <v>2538</v>
      </c>
      <c r="E272" s="72" t="s">
        <v>7799</v>
      </c>
      <c r="F272" s="8" t="s">
        <v>7800</v>
      </c>
      <c r="G272" s="8" t="s">
        <v>7727</v>
      </c>
      <c r="H272" s="74" t="s">
        <v>5014</v>
      </c>
      <c r="I272" s="74" t="s">
        <v>5015</v>
      </c>
      <c r="J272" s="93">
        <v>2017</v>
      </c>
      <c r="K272" s="93" t="s">
        <v>4112</v>
      </c>
      <c r="L272" s="74"/>
      <c r="M272" s="78" t="s">
        <v>5016</v>
      </c>
    </row>
    <row r="273" spans="1:13" ht="37.5">
      <c r="A273" s="2" t="s">
        <v>2527</v>
      </c>
      <c r="B273" s="2" t="s">
        <v>2601</v>
      </c>
      <c r="C273" s="2" t="s">
        <v>2639</v>
      </c>
      <c r="D273" s="72" t="s">
        <v>2639</v>
      </c>
      <c r="E273" s="72" t="s">
        <v>8019</v>
      </c>
      <c r="F273" s="8" t="s">
        <v>7859</v>
      </c>
      <c r="G273" s="8" t="s">
        <v>7727</v>
      </c>
      <c r="H273" s="74" t="s">
        <v>5017</v>
      </c>
      <c r="I273" s="93" t="s">
        <v>5018</v>
      </c>
      <c r="J273" s="93">
        <v>2017</v>
      </c>
      <c r="K273" s="93" t="s">
        <v>4112</v>
      </c>
      <c r="L273" s="74"/>
      <c r="M273" s="78" t="s">
        <v>5019</v>
      </c>
    </row>
    <row r="274" spans="1:13" ht="37.5">
      <c r="A274" s="2" t="s">
        <v>2527</v>
      </c>
      <c r="B274" s="2" t="s">
        <v>2601</v>
      </c>
      <c r="C274" s="2" t="s">
        <v>2619</v>
      </c>
      <c r="D274" s="72" t="s">
        <v>2619</v>
      </c>
      <c r="E274" s="72" t="s">
        <v>7934</v>
      </c>
      <c r="F274" s="8" t="s">
        <v>7859</v>
      </c>
      <c r="G274" s="8" t="s">
        <v>7727</v>
      </c>
      <c r="H274" s="74" t="s">
        <v>2620</v>
      </c>
      <c r="I274" s="74" t="s">
        <v>5020</v>
      </c>
      <c r="J274" s="93"/>
      <c r="K274" s="93"/>
      <c r="L274" s="74"/>
      <c r="M274" s="78" t="s">
        <v>5021</v>
      </c>
    </row>
    <row r="275" spans="1:13" ht="37.5">
      <c r="A275" s="74" t="s">
        <v>2527</v>
      </c>
      <c r="B275" s="93" t="s">
        <v>2601</v>
      </c>
      <c r="C275" s="2" t="s">
        <v>2605</v>
      </c>
      <c r="D275" s="72" t="s">
        <v>2605</v>
      </c>
      <c r="E275" s="72" t="s">
        <v>8020</v>
      </c>
      <c r="F275" s="8" t="s">
        <v>7859</v>
      </c>
      <c r="G275" s="8" t="s">
        <v>7727</v>
      </c>
      <c r="H275" s="74" t="s">
        <v>2606</v>
      </c>
      <c r="I275" s="74" t="s">
        <v>5022</v>
      </c>
      <c r="J275" s="93">
        <v>2017</v>
      </c>
      <c r="K275" s="93" t="s">
        <v>4112</v>
      </c>
      <c r="L275" s="74"/>
      <c r="M275" s="78" t="s">
        <v>5023</v>
      </c>
    </row>
    <row r="276" spans="1:13" ht="37.5">
      <c r="A276" s="74" t="s">
        <v>2527</v>
      </c>
      <c r="B276" s="93" t="s">
        <v>2601</v>
      </c>
      <c r="C276" s="2" t="s">
        <v>2182</v>
      </c>
      <c r="D276" s="72" t="s">
        <v>2182</v>
      </c>
      <c r="E276" s="72" t="s">
        <v>8021</v>
      </c>
      <c r="F276" s="8" t="s">
        <v>7859</v>
      </c>
      <c r="G276" s="8" t="s">
        <v>7727</v>
      </c>
      <c r="H276" s="74" t="s">
        <v>5024</v>
      </c>
      <c r="I276" s="74" t="s">
        <v>5025</v>
      </c>
      <c r="J276" s="93"/>
      <c r="K276" s="93"/>
      <c r="L276" s="74"/>
      <c r="M276" s="78" t="s">
        <v>5026</v>
      </c>
    </row>
    <row r="277" spans="1:13" ht="37.5">
      <c r="A277" s="2" t="s">
        <v>2648</v>
      </c>
      <c r="B277" s="2" t="s">
        <v>2732</v>
      </c>
      <c r="C277" s="2" t="s">
        <v>2767</v>
      </c>
      <c r="D277" s="72" t="s">
        <v>2767</v>
      </c>
      <c r="E277" s="72" t="s">
        <v>7601</v>
      </c>
      <c r="F277" s="8" t="s">
        <v>7778</v>
      </c>
      <c r="G277" s="8" t="s">
        <v>7601</v>
      </c>
      <c r="H277" s="74" t="s">
        <v>5027</v>
      </c>
      <c r="I277" s="74" t="s">
        <v>5028</v>
      </c>
      <c r="J277" s="93">
        <v>1998</v>
      </c>
      <c r="K277" s="93" t="s">
        <v>4101</v>
      </c>
      <c r="L277" s="74"/>
      <c r="M277" s="78" t="s">
        <v>5029</v>
      </c>
    </row>
    <row r="278" spans="1:13" ht="37.5">
      <c r="A278" s="2" t="s">
        <v>2648</v>
      </c>
      <c r="B278" s="2" t="s">
        <v>2732</v>
      </c>
      <c r="C278" s="2" t="s">
        <v>2767</v>
      </c>
      <c r="D278" s="72" t="s">
        <v>2767</v>
      </c>
      <c r="E278" s="72" t="s">
        <v>7601</v>
      </c>
      <c r="F278" s="8" t="s">
        <v>7778</v>
      </c>
      <c r="G278" s="8" t="s">
        <v>7601</v>
      </c>
      <c r="H278" s="74" t="s">
        <v>5027</v>
      </c>
      <c r="I278" s="93" t="s">
        <v>5030</v>
      </c>
      <c r="J278" s="93">
        <v>2015</v>
      </c>
      <c r="K278" s="93" t="s">
        <v>4112</v>
      </c>
      <c r="L278" s="74"/>
      <c r="M278" s="78" t="s">
        <v>5031</v>
      </c>
    </row>
    <row r="279" spans="1:13" ht="37.5">
      <c r="A279" s="2" t="s">
        <v>2648</v>
      </c>
      <c r="B279" s="2" t="s">
        <v>2732</v>
      </c>
      <c r="C279" s="2" t="s">
        <v>2767</v>
      </c>
      <c r="D279" s="72" t="s">
        <v>2767</v>
      </c>
      <c r="E279" s="72" t="s">
        <v>7601</v>
      </c>
      <c r="F279" s="8" t="s">
        <v>7778</v>
      </c>
      <c r="G279" s="8" t="s">
        <v>7601</v>
      </c>
      <c r="H279" s="74" t="s">
        <v>5027</v>
      </c>
      <c r="I279" s="74" t="s">
        <v>5032</v>
      </c>
      <c r="J279" s="93">
        <v>2019</v>
      </c>
      <c r="K279" s="93" t="s">
        <v>4112</v>
      </c>
      <c r="L279" s="74"/>
      <c r="M279" s="78" t="s">
        <v>5033</v>
      </c>
    </row>
    <row r="280" spans="1:13" ht="37.5">
      <c r="A280" s="2" t="s">
        <v>2648</v>
      </c>
      <c r="B280" s="2" t="s">
        <v>2732</v>
      </c>
      <c r="C280" s="2" t="s">
        <v>2767</v>
      </c>
      <c r="D280" s="72" t="s">
        <v>2767</v>
      </c>
      <c r="E280" s="72" t="s">
        <v>7601</v>
      </c>
      <c r="F280" s="8" t="s">
        <v>7778</v>
      </c>
      <c r="G280" s="8" t="s">
        <v>7601</v>
      </c>
      <c r="H280" s="74" t="s">
        <v>5027</v>
      </c>
      <c r="I280" s="74" t="s">
        <v>5034</v>
      </c>
      <c r="J280" s="93">
        <v>2017</v>
      </c>
      <c r="K280" s="93" t="s">
        <v>4112</v>
      </c>
      <c r="L280" s="74"/>
      <c r="M280" s="78" t="s">
        <v>5035</v>
      </c>
    </row>
    <row r="281" spans="1:13" ht="37.5">
      <c r="A281" s="2" t="s">
        <v>2648</v>
      </c>
      <c r="B281" s="2" t="s">
        <v>2719</v>
      </c>
      <c r="C281" s="2" t="s">
        <v>1868</v>
      </c>
      <c r="D281" s="72" t="s">
        <v>1868</v>
      </c>
      <c r="E281" s="72" t="s">
        <v>8022</v>
      </c>
      <c r="F281" s="8" t="s">
        <v>8023</v>
      </c>
      <c r="G281" s="8" t="s">
        <v>7601</v>
      </c>
      <c r="H281" s="74" t="s">
        <v>5036</v>
      </c>
      <c r="I281" s="74" t="s">
        <v>5037</v>
      </c>
      <c r="J281" s="93">
        <v>2019</v>
      </c>
      <c r="K281" s="93" t="s">
        <v>4112</v>
      </c>
      <c r="L281" s="74"/>
      <c r="M281" s="78" t="s">
        <v>5038</v>
      </c>
    </row>
    <row r="282" spans="1:13" ht="37.5">
      <c r="A282" s="2" t="s">
        <v>2648</v>
      </c>
      <c r="B282" s="2" t="s">
        <v>2719</v>
      </c>
      <c r="C282" s="2" t="s">
        <v>2725</v>
      </c>
      <c r="D282" s="72" t="s">
        <v>2725</v>
      </c>
      <c r="E282" s="72" t="s">
        <v>8024</v>
      </c>
      <c r="F282" s="8" t="s">
        <v>8023</v>
      </c>
      <c r="G282" s="8" t="s">
        <v>7601</v>
      </c>
      <c r="H282" s="74" t="s">
        <v>5039</v>
      </c>
      <c r="I282" s="74" t="s">
        <v>5040</v>
      </c>
      <c r="J282" s="93">
        <v>2017</v>
      </c>
      <c r="K282" s="93" t="s">
        <v>4101</v>
      </c>
      <c r="L282" s="74"/>
      <c r="M282" s="78" t="s">
        <v>5041</v>
      </c>
    </row>
    <row r="283" spans="1:13" ht="37.5">
      <c r="A283" s="2" t="s">
        <v>2648</v>
      </c>
      <c r="B283" s="2" t="s">
        <v>2649</v>
      </c>
      <c r="C283" s="2" t="s">
        <v>2650</v>
      </c>
      <c r="D283" s="72" t="s">
        <v>2650</v>
      </c>
      <c r="E283" s="72" t="s">
        <v>8025</v>
      </c>
      <c r="F283" s="8" t="s">
        <v>7864</v>
      </c>
      <c r="G283" s="8" t="s">
        <v>7601</v>
      </c>
      <c r="H283" s="74" t="s">
        <v>5042</v>
      </c>
      <c r="I283" s="74" t="s">
        <v>5043</v>
      </c>
      <c r="J283" s="93">
        <v>2019</v>
      </c>
      <c r="K283" s="93" t="s">
        <v>4112</v>
      </c>
      <c r="L283" s="74"/>
      <c r="M283" s="78" t="s">
        <v>5044</v>
      </c>
    </row>
    <row r="284" spans="1:13" ht="37.5">
      <c r="A284" s="2" t="s">
        <v>2648</v>
      </c>
      <c r="B284" s="2" t="s">
        <v>2649</v>
      </c>
      <c r="C284" s="2" t="s">
        <v>2650</v>
      </c>
      <c r="D284" s="72" t="s">
        <v>2650</v>
      </c>
      <c r="E284" s="72" t="s">
        <v>8025</v>
      </c>
      <c r="F284" s="8" t="s">
        <v>7864</v>
      </c>
      <c r="G284" s="8" t="s">
        <v>7601</v>
      </c>
      <c r="H284" s="74" t="s">
        <v>5042</v>
      </c>
      <c r="I284" s="74" t="s">
        <v>5045</v>
      </c>
      <c r="J284" s="93"/>
      <c r="K284" s="93" t="s">
        <v>4101</v>
      </c>
      <c r="L284" s="74"/>
      <c r="M284" s="78" t="s">
        <v>5046</v>
      </c>
    </row>
    <row r="285" spans="1:13" ht="37.5">
      <c r="A285" s="2" t="s">
        <v>2648</v>
      </c>
      <c r="B285" s="2" t="s">
        <v>2772</v>
      </c>
      <c r="C285" s="2" t="s">
        <v>2790</v>
      </c>
      <c r="D285" s="72" t="s">
        <v>2790</v>
      </c>
      <c r="E285" s="72" t="s">
        <v>8026</v>
      </c>
      <c r="F285" s="8" t="s">
        <v>7871</v>
      </c>
      <c r="G285" s="8" t="s">
        <v>7601</v>
      </c>
      <c r="H285" s="74" t="s">
        <v>5047</v>
      </c>
      <c r="I285" s="74" t="s">
        <v>5048</v>
      </c>
      <c r="J285" s="93">
        <v>2017</v>
      </c>
      <c r="K285" s="93" t="s">
        <v>4112</v>
      </c>
      <c r="L285" s="74"/>
      <c r="M285" s="78" t="s">
        <v>5049</v>
      </c>
    </row>
    <row r="286" spans="1:13" ht="37.5">
      <c r="A286" s="74" t="s">
        <v>2648</v>
      </c>
      <c r="B286" s="111" t="s">
        <v>2649</v>
      </c>
      <c r="C286" s="2" t="s">
        <v>2653</v>
      </c>
      <c r="D286" s="72" t="s">
        <v>2653</v>
      </c>
      <c r="E286" s="72" t="s">
        <v>7863</v>
      </c>
      <c r="F286" s="8" t="s">
        <v>7864</v>
      </c>
      <c r="G286" s="8" t="s">
        <v>7601</v>
      </c>
      <c r="H286" s="74" t="s">
        <v>5050</v>
      </c>
      <c r="I286" s="74" t="s">
        <v>5051</v>
      </c>
      <c r="J286" s="93">
        <v>2017</v>
      </c>
      <c r="K286" s="93" t="s">
        <v>4112</v>
      </c>
      <c r="L286" s="74"/>
      <c r="M286" s="78" t="s">
        <v>5052</v>
      </c>
    </row>
    <row r="287" spans="1:13" ht="37.5">
      <c r="A287" s="2" t="s">
        <v>2648</v>
      </c>
      <c r="B287" s="2" t="s">
        <v>2700</v>
      </c>
      <c r="C287" s="2" t="s">
        <v>2709</v>
      </c>
      <c r="D287" s="72" t="s">
        <v>2709</v>
      </c>
      <c r="E287" s="72" t="s">
        <v>8027</v>
      </c>
      <c r="F287" s="8" t="s">
        <v>8028</v>
      </c>
      <c r="G287" s="8" t="s">
        <v>7601</v>
      </c>
      <c r="H287" s="74" t="s">
        <v>5053</v>
      </c>
      <c r="I287" s="74" t="s">
        <v>5054</v>
      </c>
      <c r="J287" s="93"/>
      <c r="K287" s="93"/>
      <c r="L287" s="74"/>
      <c r="M287" s="78" t="s">
        <v>5055</v>
      </c>
    </row>
    <row r="288" spans="1:13" ht="37.5">
      <c r="A288" s="2" t="s">
        <v>2648</v>
      </c>
      <c r="B288" s="2" t="s">
        <v>2732</v>
      </c>
      <c r="C288" s="2" t="s">
        <v>2753</v>
      </c>
      <c r="D288" s="72" t="s">
        <v>2753</v>
      </c>
      <c r="E288" s="72" t="s">
        <v>7777</v>
      </c>
      <c r="F288" s="8" t="s">
        <v>7778</v>
      </c>
      <c r="G288" s="8" t="s">
        <v>7601</v>
      </c>
      <c r="H288" s="74" t="s">
        <v>5056</v>
      </c>
      <c r="I288" s="74" t="s">
        <v>5057</v>
      </c>
      <c r="J288" s="93"/>
      <c r="K288" s="93"/>
      <c r="L288" s="74"/>
      <c r="M288" s="78" t="s">
        <v>5058</v>
      </c>
    </row>
    <row r="289" spans="1:13" ht="37.5">
      <c r="A289" s="2" t="s">
        <v>2648</v>
      </c>
      <c r="B289" s="2" t="s">
        <v>2732</v>
      </c>
      <c r="C289" s="2" t="s">
        <v>2753</v>
      </c>
      <c r="D289" s="72" t="s">
        <v>2753</v>
      </c>
      <c r="E289" s="72" t="s">
        <v>7777</v>
      </c>
      <c r="F289" s="8" t="s">
        <v>7778</v>
      </c>
      <c r="G289" s="8" t="s">
        <v>7601</v>
      </c>
      <c r="H289" s="74" t="s">
        <v>5056</v>
      </c>
      <c r="I289" s="74" t="s">
        <v>5059</v>
      </c>
      <c r="J289" s="93"/>
      <c r="K289" s="93"/>
      <c r="L289" s="74"/>
      <c r="M289" s="78" t="s">
        <v>5060</v>
      </c>
    </row>
    <row r="290" spans="1:13" ht="50">
      <c r="A290" s="74" t="s">
        <v>2648</v>
      </c>
      <c r="B290" s="111" t="s">
        <v>2684</v>
      </c>
      <c r="C290" s="111" t="s">
        <v>5061</v>
      </c>
      <c r="D290" s="72" t="s">
        <v>5061</v>
      </c>
      <c r="E290" s="72" t="s">
        <v>7824</v>
      </c>
      <c r="F290" s="8" t="s">
        <v>7825</v>
      </c>
      <c r="G290" s="8" t="s">
        <v>7601</v>
      </c>
      <c r="H290" s="74" t="s">
        <v>5062</v>
      </c>
      <c r="I290" s="74" t="s">
        <v>5063</v>
      </c>
      <c r="J290" s="93">
        <v>2018</v>
      </c>
      <c r="K290" s="93" t="s">
        <v>4112</v>
      </c>
      <c r="L290" s="74"/>
      <c r="M290" s="78" t="s">
        <v>5064</v>
      </c>
    </row>
    <row r="291" spans="1:13" ht="50">
      <c r="A291" s="74" t="s">
        <v>2648</v>
      </c>
      <c r="B291" s="93" t="s">
        <v>2684</v>
      </c>
      <c r="C291" s="111" t="s">
        <v>5061</v>
      </c>
      <c r="D291" s="72" t="s">
        <v>5061</v>
      </c>
      <c r="E291" s="72" t="s">
        <v>7824</v>
      </c>
      <c r="F291" s="8" t="s">
        <v>7825</v>
      </c>
      <c r="G291" s="8" t="s">
        <v>7601</v>
      </c>
      <c r="H291" s="74" t="s">
        <v>5062</v>
      </c>
      <c r="I291" s="93" t="s">
        <v>5065</v>
      </c>
      <c r="J291" s="93">
        <v>2017</v>
      </c>
      <c r="K291" s="93" t="s">
        <v>4112</v>
      </c>
      <c r="L291" s="74"/>
      <c r="M291" s="78" t="s">
        <v>5066</v>
      </c>
    </row>
    <row r="292" spans="1:13" ht="37.5">
      <c r="A292" s="2" t="s">
        <v>2648</v>
      </c>
      <c r="B292" s="2" t="s">
        <v>2772</v>
      </c>
      <c r="C292" s="2" t="s">
        <v>2776</v>
      </c>
      <c r="D292" s="72" t="s">
        <v>2776</v>
      </c>
      <c r="E292" s="72" t="s">
        <v>7870</v>
      </c>
      <c r="F292" s="8" t="s">
        <v>7871</v>
      </c>
      <c r="G292" s="8" t="s">
        <v>7601</v>
      </c>
      <c r="H292" s="74" t="s">
        <v>5067</v>
      </c>
      <c r="I292" s="74" t="s">
        <v>5068</v>
      </c>
      <c r="J292" s="93">
        <v>2019</v>
      </c>
      <c r="K292" s="93" t="s">
        <v>4112</v>
      </c>
      <c r="L292" s="74"/>
      <c r="M292" s="78" t="s">
        <v>5069</v>
      </c>
    </row>
    <row r="293" spans="1:13" ht="37.5">
      <c r="A293" s="2" t="s">
        <v>2648</v>
      </c>
      <c r="B293" s="2" t="s">
        <v>2732</v>
      </c>
      <c r="C293" s="2" t="s">
        <v>2755</v>
      </c>
      <c r="D293" s="72" t="s">
        <v>2755</v>
      </c>
      <c r="E293" s="72" t="s">
        <v>8029</v>
      </c>
      <c r="F293" s="8" t="s">
        <v>7778</v>
      </c>
      <c r="G293" s="8" t="s">
        <v>7601</v>
      </c>
      <c r="H293" s="74" t="s">
        <v>5070</v>
      </c>
      <c r="I293" s="74" t="s">
        <v>5071</v>
      </c>
      <c r="J293" s="93">
        <v>2016</v>
      </c>
      <c r="K293" s="93" t="s">
        <v>4112</v>
      </c>
      <c r="L293" s="74"/>
      <c r="M293" s="78" t="s">
        <v>5072</v>
      </c>
    </row>
    <row r="294" spans="1:13" ht="37.5">
      <c r="A294" s="2" t="s">
        <v>2648</v>
      </c>
      <c r="B294" s="2" t="s">
        <v>2732</v>
      </c>
      <c r="C294" s="2" t="s">
        <v>2755</v>
      </c>
      <c r="D294" s="72" t="s">
        <v>2755</v>
      </c>
      <c r="E294" s="72" t="s">
        <v>8029</v>
      </c>
      <c r="F294" s="8" t="s">
        <v>7778</v>
      </c>
      <c r="G294" s="8" t="s">
        <v>7601</v>
      </c>
      <c r="H294" s="74" t="s">
        <v>5070</v>
      </c>
      <c r="I294" s="74" t="s">
        <v>5073</v>
      </c>
      <c r="J294" s="93"/>
      <c r="K294" s="93"/>
      <c r="L294" s="74"/>
      <c r="M294" s="78" t="s">
        <v>5074</v>
      </c>
    </row>
    <row r="295" spans="1:13" ht="37.5">
      <c r="A295" s="74" t="s">
        <v>2648</v>
      </c>
      <c r="B295" s="93" t="s">
        <v>2672</v>
      </c>
      <c r="C295" s="2" t="s">
        <v>2676</v>
      </c>
      <c r="D295" s="72" t="s">
        <v>2676</v>
      </c>
      <c r="E295" s="72" t="s">
        <v>8030</v>
      </c>
      <c r="F295" s="8" t="s">
        <v>8031</v>
      </c>
      <c r="G295" s="8" t="s">
        <v>7601</v>
      </c>
      <c r="H295" s="74" t="s">
        <v>5075</v>
      </c>
      <c r="I295" s="74" t="s">
        <v>5076</v>
      </c>
      <c r="J295" s="93">
        <v>2018</v>
      </c>
      <c r="K295" s="93" t="s">
        <v>4112</v>
      </c>
      <c r="L295" s="74"/>
      <c r="M295" s="78" t="s">
        <v>5077</v>
      </c>
    </row>
    <row r="296" spans="1:13" ht="37.5">
      <c r="A296" s="2" t="s">
        <v>2648</v>
      </c>
      <c r="B296" s="2" t="s">
        <v>2672</v>
      </c>
      <c r="C296" s="2" t="s">
        <v>1233</v>
      </c>
      <c r="D296" s="72" t="s">
        <v>1233</v>
      </c>
      <c r="E296" s="72" t="s">
        <v>8032</v>
      </c>
      <c r="F296" s="8" t="s">
        <v>8031</v>
      </c>
      <c r="G296" s="8" t="s">
        <v>7601</v>
      </c>
      <c r="H296" s="74" t="s">
        <v>5078</v>
      </c>
      <c r="I296" s="74" t="s">
        <v>5079</v>
      </c>
      <c r="J296" s="93">
        <v>2019</v>
      </c>
      <c r="K296" s="93" t="s">
        <v>4112</v>
      </c>
      <c r="L296" s="74"/>
      <c r="M296" s="78" t="s">
        <v>5080</v>
      </c>
    </row>
    <row r="297" spans="1:13" ht="37.5">
      <c r="A297" s="2" t="s">
        <v>2648</v>
      </c>
      <c r="B297" s="2" t="s">
        <v>2732</v>
      </c>
      <c r="C297" s="2" t="s">
        <v>2762</v>
      </c>
      <c r="D297" s="72" t="s">
        <v>2762</v>
      </c>
      <c r="E297" s="72" t="s">
        <v>8033</v>
      </c>
      <c r="F297" s="8" t="s">
        <v>7778</v>
      </c>
      <c r="G297" s="8" t="s">
        <v>7601</v>
      </c>
      <c r="H297" s="74" t="s">
        <v>5081</v>
      </c>
      <c r="I297" s="74" t="s">
        <v>5082</v>
      </c>
      <c r="J297" s="93"/>
      <c r="K297" s="93"/>
      <c r="L297" s="74"/>
      <c r="M297" s="78" t="s">
        <v>5083</v>
      </c>
    </row>
    <row r="298" spans="1:13" ht="37.5">
      <c r="A298" s="2" t="s">
        <v>2648</v>
      </c>
      <c r="B298" s="2" t="s">
        <v>2772</v>
      </c>
      <c r="C298" s="2" t="s">
        <v>1043</v>
      </c>
      <c r="D298" s="72" t="s">
        <v>1043</v>
      </c>
      <c r="E298" s="72" t="s">
        <v>8034</v>
      </c>
      <c r="F298" s="8" t="s">
        <v>7871</v>
      </c>
      <c r="G298" s="8" t="s">
        <v>7601</v>
      </c>
      <c r="H298" s="74" t="s">
        <v>5084</v>
      </c>
      <c r="I298" s="74" t="s">
        <v>5085</v>
      </c>
      <c r="J298" s="93"/>
      <c r="K298" s="93"/>
      <c r="L298" s="74"/>
      <c r="M298" s="78" t="s">
        <v>5086</v>
      </c>
    </row>
    <row r="299" spans="1:13" ht="37.5">
      <c r="A299" s="2" t="s">
        <v>2648</v>
      </c>
      <c r="B299" s="2" t="s">
        <v>2732</v>
      </c>
      <c r="C299" s="2" t="s">
        <v>2745</v>
      </c>
      <c r="D299" s="72" t="s">
        <v>2745</v>
      </c>
      <c r="E299" s="72" t="s">
        <v>8035</v>
      </c>
      <c r="F299" s="8" t="s">
        <v>7778</v>
      </c>
      <c r="G299" s="8" t="s">
        <v>7601</v>
      </c>
      <c r="H299" s="74" t="s">
        <v>5087</v>
      </c>
      <c r="I299" s="74" t="s">
        <v>5088</v>
      </c>
      <c r="J299" s="93"/>
      <c r="K299" s="93"/>
      <c r="L299" s="74"/>
      <c r="M299" s="78" t="s">
        <v>5089</v>
      </c>
    </row>
    <row r="300" spans="1:13" ht="37.5">
      <c r="A300" s="2" t="s">
        <v>2793</v>
      </c>
      <c r="B300" s="2" t="s">
        <v>2794</v>
      </c>
      <c r="C300" s="2" t="s">
        <v>2817</v>
      </c>
      <c r="D300" s="72" t="s">
        <v>2817</v>
      </c>
      <c r="E300" s="72" t="s">
        <v>8036</v>
      </c>
      <c r="F300" s="8" t="s">
        <v>8037</v>
      </c>
      <c r="G300" s="8" t="s">
        <v>7737</v>
      </c>
      <c r="H300" s="74" t="s">
        <v>5090</v>
      </c>
      <c r="I300" s="74" t="s">
        <v>5091</v>
      </c>
      <c r="J300" s="93">
        <v>2020</v>
      </c>
      <c r="K300" s="93" t="s">
        <v>4112</v>
      </c>
      <c r="L300" s="74"/>
      <c r="M300" s="78" t="s">
        <v>5092</v>
      </c>
    </row>
    <row r="301" spans="1:13" ht="37.5">
      <c r="A301" s="74" t="s">
        <v>2793</v>
      </c>
      <c r="B301" s="111" t="s">
        <v>2833</v>
      </c>
      <c r="C301" s="111" t="s">
        <v>2834</v>
      </c>
      <c r="D301" s="72" t="s">
        <v>2834</v>
      </c>
      <c r="E301" s="72" t="s">
        <v>3872</v>
      </c>
      <c r="F301" s="8" t="s">
        <v>7845</v>
      </c>
      <c r="G301" s="8" t="s">
        <v>7737</v>
      </c>
      <c r="H301" s="74" t="s">
        <v>3872</v>
      </c>
      <c r="I301" s="74" t="s">
        <v>5093</v>
      </c>
      <c r="J301" s="93"/>
      <c r="K301" s="93"/>
      <c r="L301" s="74"/>
      <c r="M301" s="78" t="s">
        <v>5094</v>
      </c>
    </row>
    <row r="302" spans="1:13" ht="37.5">
      <c r="A302" s="74" t="s">
        <v>2793</v>
      </c>
      <c r="B302" s="111" t="s">
        <v>2794</v>
      </c>
      <c r="C302" s="2" t="s">
        <v>2803</v>
      </c>
      <c r="D302" s="72" t="s">
        <v>2803</v>
      </c>
      <c r="E302" s="72" t="s">
        <v>8038</v>
      </c>
      <c r="F302" s="8" t="s">
        <v>8037</v>
      </c>
      <c r="G302" s="8" t="s">
        <v>7737</v>
      </c>
      <c r="H302" s="74" t="s">
        <v>5095</v>
      </c>
      <c r="I302" s="74" t="s">
        <v>5096</v>
      </c>
      <c r="J302" s="93">
        <v>2019</v>
      </c>
      <c r="K302" s="93" t="s">
        <v>4112</v>
      </c>
      <c r="L302" s="74"/>
      <c r="M302" s="78" t="s">
        <v>5097</v>
      </c>
    </row>
    <row r="303" spans="1:13" ht="37.5">
      <c r="A303" s="2" t="s">
        <v>2793</v>
      </c>
      <c r="B303" s="2" t="s">
        <v>2866</v>
      </c>
      <c r="C303" s="2" t="s">
        <v>2881</v>
      </c>
      <c r="D303" s="72" t="s">
        <v>2881</v>
      </c>
      <c r="E303" s="72" t="s">
        <v>8039</v>
      </c>
      <c r="F303" s="8" t="s">
        <v>8040</v>
      </c>
      <c r="G303" s="8" t="s">
        <v>7737</v>
      </c>
      <c r="H303" s="74" t="s">
        <v>5098</v>
      </c>
      <c r="I303" s="74" t="s">
        <v>5099</v>
      </c>
      <c r="J303" s="93">
        <v>2019</v>
      </c>
      <c r="K303" s="93" t="s">
        <v>4112</v>
      </c>
      <c r="L303" s="74"/>
      <c r="M303" s="78" t="s">
        <v>5100</v>
      </c>
    </row>
    <row r="304" spans="1:13" ht="37.5">
      <c r="A304" s="2" t="s">
        <v>915</v>
      </c>
      <c r="B304" s="2" t="s">
        <v>1032</v>
      </c>
      <c r="C304" s="2" t="s">
        <v>1039</v>
      </c>
      <c r="D304" s="72" t="s">
        <v>1039</v>
      </c>
      <c r="E304" s="72" t="s">
        <v>8041</v>
      </c>
      <c r="F304" s="8" t="s">
        <v>7956</v>
      </c>
      <c r="G304" s="8" t="s">
        <v>7701</v>
      </c>
      <c r="H304" s="74" t="s">
        <v>5101</v>
      </c>
      <c r="I304" s="74" t="s">
        <v>5102</v>
      </c>
      <c r="J304" s="93">
        <v>2017</v>
      </c>
      <c r="K304" s="93" t="s">
        <v>4112</v>
      </c>
      <c r="L304" s="74"/>
      <c r="M304" s="78" t="s">
        <v>5103</v>
      </c>
    </row>
    <row r="305" spans="1:13" ht="37.5">
      <c r="A305" s="2" t="s">
        <v>2909</v>
      </c>
      <c r="B305" s="2" t="s">
        <v>2943</v>
      </c>
      <c r="C305" s="2" t="s">
        <v>2995</v>
      </c>
      <c r="D305" s="72" t="s">
        <v>2995</v>
      </c>
      <c r="E305" s="72" t="s">
        <v>7717</v>
      </c>
      <c r="F305" s="8" t="s">
        <v>2996</v>
      </c>
      <c r="G305" s="8" t="s">
        <v>7717</v>
      </c>
      <c r="H305" s="74" t="s">
        <v>2996</v>
      </c>
      <c r="I305" s="74" t="s">
        <v>5104</v>
      </c>
      <c r="J305" s="93">
        <v>2018</v>
      </c>
      <c r="K305" s="93" t="s">
        <v>4101</v>
      </c>
      <c r="L305" s="74"/>
      <c r="M305" s="78" t="s">
        <v>5105</v>
      </c>
    </row>
    <row r="306" spans="1:13" ht="50">
      <c r="A306" s="2" t="s">
        <v>2909</v>
      </c>
      <c r="B306" s="2" t="s">
        <v>2910</v>
      </c>
      <c r="C306" s="2" t="s">
        <v>2922</v>
      </c>
      <c r="D306" s="72" t="s">
        <v>2922</v>
      </c>
      <c r="E306" s="72" t="s">
        <v>7716</v>
      </c>
      <c r="F306" s="8" t="s">
        <v>2923</v>
      </c>
      <c r="G306" s="8" t="s">
        <v>7717</v>
      </c>
      <c r="H306" s="74" t="s">
        <v>5106</v>
      </c>
      <c r="I306" s="74" t="s">
        <v>5107</v>
      </c>
      <c r="J306" s="93">
        <v>2017</v>
      </c>
      <c r="K306" s="93" t="s">
        <v>4112</v>
      </c>
      <c r="L306" s="74"/>
      <c r="M306" s="78" t="s">
        <v>5108</v>
      </c>
    </row>
    <row r="307" spans="1:13" ht="37.5">
      <c r="A307" s="2" t="s">
        <v>3046</v>
      </c>
      <c r="B307" s="2" t="s">
        <v>3139</v>
      </c>
      <c r="C307" s="2" t="s">
        <v>392</v>
      </c>
      <c r="D307" s="72" t="s">
        <v>392</v>
      </c>
      <c r="E307" s="72" t="s">
        <v>7708</v>
      </c>
      <c r="F307" s="8" t="s">
        <v>7764</v>
      </c>
      <c r="G307" s="8" t="s">
        <v>7708</v>
      </c>
      <c r="H307" s="74" t="s">
        <v>3190</v>
      </c>
      <c r="I307" s="74" t="s">
        <v>5109</v>
      </c>
      <c r="J307" s="95">
        <v>2007</v>
      </c>
      <c r="K307" s="93" t="s">
        <v>4101</v>
      </c>
      <c r="L307" s="74"/>
      <c r="M307" s="78" t="s">
        <v>5110</v>
      </c>
    </row>
    <row r="308" spans="1:13" ht="37.5">
      <c r="A308" s="2" t="s">
        <v>3046</v>
      </c>
      <c r="B308" s="2" t="s">
        <v>3083</v>
      </c>
      <c r="C308" s="2" t="s">
        <v>3095</v>
      </c>
      <c r="D308" s="72" t="s">
        <v>3095</v>
      </c>
      <c r="E308" s="72" t="s">
        <v>7774</v>
      </c>
      <c r="F308" s="8" t="s">
        <v>7766</v>
      </c>
      <c r="G308" s="8" t="s">
        <v>7708</v>
      </c>
      <c r="H308" s="74" t="s">
        <v>3096</v>
      </c>
      <c r="I308" s="74" t="s">
        <v>5111</v>
      </c>
      <c r="J308" s="93">
        <v>2020</v>
      </c>
      <c r="K308" s="93" t="s">
        <v>4112</v>
      </c>
      <c r="L308" s="74"/>
      <c r="M308" s="78" t="s">
        <v>5112</v>
      </c>
    </row>
    <row r="309" spans="1:13" ht="37.5">
      <c r="A309" s="2" t="s">
        <v>3046</v>
      </c>
      <c r="B309" s="2" t="s">
        <v>3083</v>
      </c>
      <c r="C309" s="2" t="s">
        <v>3095</v>
      </c>
      <c r="D309" s="72" t="s">
        <v>3095</v>
      </c>
      <c r="E309" s="72" t="s">
        <v>7774</v>
      </c>
      <c r="F309" s="8" t="s">
        <v>7766</v>
      </c>
      <c r="G309" s="8" t="s">
        <v>7708</v>
      </c>
      <c r="H309" s="74" t="s">
        <v>3096</v>
      </c>
      <c r="I309" s="74" t="s">
        <v>5113</v>
      </c>
      <c r="J309" s="93">
        <v>2019</v>
      </c>
      <c r="K309" s="93" t="s">
        <v>4112</v>
      </c>
      <c r="L309" s="74"/>
      <c r="M309" s="78" t="s">
        <v>5114</v>
      </c>
    </row>
    <row r="310" spans="1:13" ht="37.5">
      <c r="A310" s="2" t="s">
        <v>3046</v>
      </c>
      <c r="B310" s="2" t="s">
        <v>3139</v>
      </c>
      <c r="C310" s="2" t="s">
        <v>3180</v>
      </c>
      <c r="D310" s="72" t="s">
        <v>3180</v>
      </c>
      <c r="E310" s="72" t="s">
        <v>8042</v>
      </c>
      <c r="F310" s="8" t="s">
        <v>7764</v>
      </c>
      <c r="G310" s="8" t="s">
        <v>7708</v>
      </c>
      <c r="H310" s="74" t="s">
        <v>3181</v>
      </c>
      <c r="I310" s="74" t="s">
        <v>5115</v>
      </c>
      <c r="J310" s="93">
        <v>2020</v>
      </c>
      <c r="K310" s="93" t="s">
        <v>4112</v>
      </c>
      <c r="L310" s="74"/>
      <c r="M310" s="78" t="s">
        <v>5116</v>
      </c>
    </row>
    <row r="311" spans="1:13" ht="37.5">
      <c r="A311" s="2" t="s">
        <v>3046</v>
      </c>
      <c r="B311" s="2" t="s">
        <v>3083</v>
      </c>
      <c r="C311" s="2" t="s">
        <v>3093</v>
      </c>
      <c r="D311" s="72" t="s">
        <v>3093</v>
      </c>
      <c r="E311" s="72" t="s">
        <v>8043</v>
      </c>
      <c r="F311" s="8" t="s">
        <v>7766</v>
      </c>
      <c r="G311" s="8" t="s">
        <v>7708</v>
      </c>
      <c r="H311" s="74" t="s">
        <v>5117</v>
      </c>
      <c r="I311" s="74" t="s">
        <v>5118</v>
      </c>
      <c r="J311" s="93">
        <v>2021</v>
      </c>
      <c r="K311" s="93" t="s">
        <v>4112</v>
      </c>
      <c r="L311" s="74"/>
      <c r="M311" s="78" t="s">
        <v>5119</v>
      </c>
    </row>
    <row r="312" spans="1:13" ht="37.5">
      <c r="A312" s="2" t="s">
        <v>3046</v>
      </c>
      <c r="B312" s="2" t="s">
        <v>3139</v>
      </c>
      <c r="C312" s="2" t="s">
        <v>3183</v>
      </c>
      <c r="D312" s="72" t="s">
        <v>3183</v>
      </c>
      <c r="E312" s="72" t="s">
        <v>8044</v>
      </c>
      <c r="F312" s="8" t="s">
        <v>7764</v>
      </c>
      <c r="G312" s="8" t="s">
        <v>7708</v>
      </c>
      <c r="H312" s="74" t="s">
        <v>5120</v>
      </c>
      <c r="I312" s="74" t="s">
        <v>5121</v>
      </c>
      <c r="J312" s="93">
        <v>2019</v>
      </c>
      <c r="K312" s="93" t="s">
        <v>4112</v>
      </c>
      <c r="L312" s="74"/>
      <c r="M312" s="78" t="s">
        <v>5122</v>
      </c>
    </row>
    <row r="313" spans="1:13" ht="37.5">
      <c r="A313" s="2" t="s">
        <v>3046</v>
      </c>
      <c r="B313" s="2" t="s">
        <v>3139</v>
      </c>
      <c r="C313" s="2" t="s">
        <v>3183</v>
      </c>
      <c r="D313" s="72" t="s">
        <v>3183</v>
      </c>
      <c r="E313" s="72" t="s">
        <v>8044</v>
      </c>
      <c r="F313" s="8" t="s">
        <v>7764</v>
      </c>
      <c r="G313" s="8" t="s">
        <v>7708</v>
      </c>
      <c r="H313" s="74" t="s">
        <v>5123</v>
      </c>
      <c r="I313" s="74" t="s">
        <v>5124</v>
      </c>
      <c r="J313" s="93"/>
      <c r="K313" s="93"/>
      <c r="L313" s="74"/>
      <c r="M313" s="78" t="s">
        <v>5125</v>
      </c>
    </row>
    <row r="314" spans="1:13" ht="50">
      <c r="A314" s="2" t="s">
        <v>3046</v>
      </c>
      <c r="B314" s="2" t="s">
        <v>3110</v>
      </c>
      <c r="C314" s="2" t="s">
        <v>3133</v>
      </c>
      <c r="D314" s="72" t="s">
        <v>3133</v>
      </c>
      <c r="E314" s="72" t="s">
        <v>8045</v>
      </c>
      <c r="F314" s="8" t="s">
        <v>8046</v>
      </c>
      <c r="G314" s="8" t="s">
        <v>7708</v>
      </c>
      <c r="H314" s="74" t="s">
        <v>3134</v>
      </c>
      <c r="I314" s="93" t="s">
        <v>5126</v>
      </c>
      <c r="J314" s="105">
        <v>2019</v>
      </c>
      <c r="K314" s="93" t="s">
        <v>4112</v>
      </c>
      <c r="L314" s="74"/>
      <c r="M314" s="78" t="s">
        <v>5127</v>
      </c>
    </row>
    <row r="315" spans="1:13" ht="37.5">
      <c r="A315" s="2" t="s">
        <v>3046</v>
      </c>
      <c r="B315" s="2" t="s">
        <v>3139</v>
      </c>
      <c r="C315" s="2" t="s">
        <v>3192</v>
      </c>
      <c r="D315" s="72" t="s">
        <v>3192</v>
      </c>
      <c r="E315" s="72" t="s">
        <v>8047</v>
      </c>
      <c r="F315" s="8" t="s">
        <v>7764</v>
      </c>
      <c r="G315" s="8" t="s">
        <v>7708</v>
      </c>
      <c r="H315" s="74" t="s">
        <v>5128</v>
      </c>
      <c r="I315" s="74" t="s">
        <v>5129</v>
      </c>
      <c r="J315" s="93">
        <v>2018</v>
      </c>
      <c r="K315" s="93" t="s">
        <v>4112</v>
      </c>
      <c r="L315" s="74"/>
      <c r="M315" s="78" t="s">
        <v>5130</v>
      </c>
    </row>
    <row r="316" spans="1:13" ht="37.5">
      <c r="A316" s="2" t="s">
        <v>3194</v>
      </c>
      <c r="B316" s="2" t="s">
        <v>3241</v>
      </c>
      <c r="C316" s="2" t="s">
        <v>3267</v>
      </c>
      <c r="D316" s="72" t="s">
        <v>3267</v>
      </c>
      <c r="E316" s="72" t="s">
        <v>8048</v>
      </c>
      <c r="F316" s="8" t="s">
        <v>7745</v>
      </c>
      <c r="G316" s="8" t="s">
        <v>7707</v>
      </c>
      <c r="H316" s="74" t="s">
        <v>3268</v>
      </c>
      <c r="I316" s="74" t="s">
        <v>5131</v>
      </c>
      <c r="J316" s="105">
        <v>2020</v>
      </c>
      <c r="K316" s="93" t="s">
        <v>4112</v>
      </c>
      <c r="L316" s="74"/>
      <c r="M316" s="78" t="s">
        <v>5132</v>
      </c>
    </row>
    <row r="317" spans="1:13" ht="37.5">
      <c r="A317" s="2" t="s">
        <v>3194</v>
      </c>
      <c r="B317" s="2" t="s">
        <v>3241</v>
      </c>
      <c r="C317" s="2" t="s">
        <v>124</v>
      </c>
      <c r="D317" s="72" t="s">
        <v>124</v>
      </c>
      <c r="E317" s="72" t="s">
        <v>7707</v>
      </c>
      <c r="F317" s="8" t="s">
        <v>7745</v>
      </c>
      <c r="G317" s="8" t="s">
        <v>7707</v>
      </c>
      <c r="H317" s="74" t="s">
        <v>3309</v>
      </c>
      <c r="I317" s="74" t="s">
        <v>5133</v>
      </c>
      <c r="J317" s="105">
        <v>2018</v>
      </c>
      <c r="K317" s="93" t="s">
        <v>4101</v>
      </c>
      <c r="L317" s="74"/>
      <c r="M317" s="78" t="s">
        <v>5134</v>
      </c>
    </row>
    <row r="318" spans="1:13" ht="37.5">
      <c r="A318" s="2" t="s">
        <v>3315</v>
      </c>
      <c r="B318" s="2" t="s">
        <v>3395</v>
      </c>
      <c r="C318" s="2" t="s">
        <v>933</v>
      </c>
      <c r="D318" s="72" t="s">
        <v>933</v>
      </c>
      <c r="E318" s="72" t="s">
        <v>7705</v>
      </c>
      <c r="F318" s="8" t="s">
        <v>7711</v>
      </c>
      <c r="G318" s="8" t="s">
        <v>7705</v>
      </c>
      <c r="H318" s="74" t="s">
        <v>3435</v>
      </c>
      <c r="I318" s="74" t="s">
        <v>5135</v>
      </c>
      <c r="J318" s="95">
        <v>2017</v>
      </c>
      <c r="K318" s="93" t="s">
        <v>4101</v>
      </c>
      <c r="L318" s="74"/>
      <c r="M318" s="78" t="s">
        <v>5136</v>
      </c>
    </row>
    <row r="319" spans="1:13" ht="37.5">
      <c r="A319" s="2" t="s">
        <v>3315</v>
      </c>
      <c r="B319" s="2" t="s">
        <v>3395</v>
      </c>
      <c r="C319" s="2" t="s">
        <v>933</v>
      </c>
      <c r="D319" s="72" t="s">
        <v>933</v>
      </c>
      <c r="E319" s="72" t="s">
        <v>7705</v>
      </c>
      <c r="F319" s="8" t="s">
        <v>7711</v>
      </c>
      <c r="G319" s="8" t="s">
        <v>7705</v>
      </c>
      <c r="H319" s="74" t="s">
        <v>3435</v>
      </c>
      <c r="I319" s="93" t="s">
        <v>5137</v>
      </c>
      <c r="J319" s="93"/>
      <c r="K319" s="93"/>
      <c r="L319" s="74"/>
      <c r="M319" s="78" t="s">
        <v>5138</v>
      </c>
    </row>
    <row r="320" spans="1:13" ht="37.5">
      <c r="A320" s="2" t="s">
        <v>3315</v>
      </c>
      <c r="B320" s="2" t="s">
        <v>3372</v>
      </c>
      <c r="C320" s="2" t="s">
        <v>3386</v>
      </c>
      <c r="D320" s="72" t="s">
        <v>3386</v>
      </c>
      <c r="E320" s="72" t="s">
        <v>8049</v>
      </c>
      <c r="F320" s="8" t="s">
        <v>7796</v>
      </c>
      <c r="G320" s="8" t="s">
        <v>7705</v>
      </c>
      <c r="H320" s="74" t="s">
        <v>3387</v>
      </c>
      <c r="I320" s="74" t="s">
        <v>5139</v>
      </c>
      <c r="J320" s="105">
        <v>2015</v>
      </c>
      <c r="K320" s="93" t="s">
        <v>4101</v>
      </c>
      <c r="L320" s="74"/>
      <c r="M320" s="78" t="s">
        <v>5140</v>
      </c>
    </row>
    <row r="321" spans="1:13" ht="37.5">
      <c r="A321" s="2" t="s">
        <v>3315</v>
      </c>
      <c r="B321" s="2" t="s">
        <v>3336</v>
      </c>
      <c r="C321" s="2" t="s">
        <v>3365</v>
      </c>
      <c r="D321" s="72" t="s">
        <v>3365</v>
      </c>
      <c r="E321" s="72" t="s">
        <v>8050</v>
      </c>
      <c r="F321" s="8" t="s">
        <v>8051</v>
      </c>
      <c r="G321" s="8" t="s">
        <v>7705</v>
      </c>
      <c r="H321" s="74" t="s">
        <v>5141</v>
      </c>
      <c r="I321" s="74" t="s">
        <v>5142</v>
      </c>
      <c r="J321" s="95">
        <v>2019</v>
      </c>
      <c r="K321" s="93" t="s">
        <v>4101</v>
      </c>
      <c r="L321" s="74"/>
      <c r="M321" s="78" t="s">
        <v>5143</v>
      </c>
    </row>
    <row r="322" spans="1:13" ht="50">
      <c r="A322" s="74" t="s">
        <v>3315</v>
      </c>
      <c r="B322" s="111" t="s">
        <v>3316</v>
      </c>
      <c r="C322" s="111" t="s">
        <v>5144</v>
      </c>
      <c r="D322" s="72" t="s">
        <v>5144</v>
      </c>
      <c r="E322" s="72" t="s">
        <v>8052</v>
      </c>
      <c r="F322" s="8" t="s">
        <v>7768</v>
      </c>
      <c r="G322" s="8" t="s">
        <v>7705</v>
      </c>
      <c r="H322" s="74" t="s">
        <v>5145</v>
      </c>
      <c r="I322" s="74" t="s">
        <v>5146</v>
      </c>
      <c r="J322" s="95">
        <v>2020</v>
      </c>
      <c r="K322" s="93" t="s">
        <v>4101</v>
      </c>
      <c r="L322" s="74"/>
      <c r="M322" s="78" t="s">
        <v>5147</v>
      </c>
    </row>
    <row r="323" spans="1:13" ht="37.5">
      <c r="A323" s="2" t="s">
        <v>3315</v>
      </c>
      <c r="B323" s="2" t="s">
        <v>3395</v>
      </c>
      <c r="C323" s="2" t="s">
        <v>3406</v>
      </c>
      <c r="D323" s="72" t="s">
        <v>3406</v>
      </c>
      <c r="E323" s="72" t="s">
        <v>8053</v>
      </c>
      <c r="F323" s="8" t="s">
        <v>7711</v>
      </c>
      <c r="G323" s="8" t="s">
        <v>7705</v>
      </c>
      <c r="H323" s="74" t="s">
        <v>5148</v>
      </c>
      <c r="I323" s="74" t="s">
        <v>5149</v>
      </c>
      <c r="J323" s="93">
        <v>2019</v>
      </c>
      <c r="K323" s="93" t="s">
        <v>4112</v>
      </c>
      <c r="L323" s="74"/>
      <c r="M323" s="78" t="s">
        <v>5150</v>
      </c>
    </row>
    <row r="324" spans="1:13" ht="37.5">
      <c r="A324" s="2" t="s">
        <v>3315</v>
      </c>
      <c r="B324" s="2" t="s">
        <v>3395</v>
      </c>
      <c r="C324" s="2" t="s">
        <v>3406</v>
      </c>
      <c r="D324" s="72" t="s">
        <v>3406</v>
      </c>
      <c r="E324" s="72" t="s">
        <v>8053</v>
      </c>
      <c r="F324" s="8" t="s">
        <v>7711</v>
      </c>
      <c r="G324" s="8" t="s">
        <v>7705</v>
      </c>
      <c r="H324" s="74" t="s">
        <v>5151</v>
      </c>
      <c r="I324" s="74" t="s">
        <v>5152</v>
      </c>
      <c r="J324" s="93">
        <v>2020</v>
      </c>
      <c r="K324" s="93" t="s">
        <v>4112</v>
      </c>
      <c r="L324" s="74"/>
      <c r="M324" s="78" t="s">
        <v>5153</v>
      </c>
    </row>
    <row r="325" spans="1:13" ht="37.5">
      <c r="A325" s="2" t="s">
        <v>3315</v>
      </c>
      <c r="B325" s="2" t="s">
        <v>3395</v>
      </c>
      <c r="C325" s="2" t="s">
        <v>3415</v>
      </c>
      <c r="D325" s="72" t="s">
        <v>3415</v>
      </c>
      <c r="E325" s="72" t="s">
        <v>7869</v>
      </c>
      <c r="F325" s="8" t="s">
        <v>7711</v>
      </c>
      <c r="G325" s="8" t="s">
        <v>7705</v>
      </c>
      <c r="H325" s="74" t="s">
        <v>5154</v>
      </c>
      <c r="I325" s="74" t="s">
        <v>5152</v>
      </c>
      <c r="J325" s="93">
        <v>2017</v>
      </c>
      <c r="K325" s="93" t="s">
        <v>4112</v>
      </c>
      <c r="L325" s="74"/>
      <c r="M325" s="78" t="s">
        <v>5155</v>
      </c>
    </row>
    <row r="326" spans="1:13">
      <c r="A326" s="72"/>
      <c r="B326" s="72"/>
      <c r="C326" s="72"/>
      <c r="D326" s="72"/>
      <c r="E326" s="72"/>
      <c r="F326" s="72"/>
      <c r="G326" s="72"/>
      <c r="H326" s="72"/>
      <c r="I326" s="72"/>
      <c r="J326" s="72"/>
      <c r="K326" s="72"/>
      <c r="L326" s="81"/>
    </row>
    <row r="327" spans="1:13">
      <c r="A327" s="72"/>
      <c r="B327" s="72"/>
      <c r="C327" s="72"/>
      <c r="D327" s="72"/>
      <c r="E327" s="72"/>
      <c r="F327" s="72"/>
      <c r="G327" s="72"/>
      <c r="H327" s="72"/>
      <c r="I327" s="72"/>
      <c r="J327" s="72"/>
      <c r="K327" s="72"/>
      <c r="L327" s="81"/>
    </row>
    <row r="328" spans="1:13">
      <c r="A328" s="72"/>
      <c r="B328" s="72"/>
      <c r="C328" s="72"/>
      <c r="D328" s="72"/>
      <c r="E328" s="72"/>
      <c r="F328" s="72"/>
      <c r="G328" s="72"/>
      <c r="H328" s="72"/>
      <c r="I328" s="72"/>
      <c r="J328" s="72"/>
      <c r="K328" s="72"/>
      <c r="L328" s="81"/>
    </row>
    <row r="329" spans="1:13">
      <c r="A329" s="72"/>
      <c r="B329" s="72"/>
      <c r="C329" s="72"/>
      <c r="D329" s="72"/>
      <c r="E329" s="72"/>
      <c r="F329" s="72"/>
      <c r="G329" s="72"/>
      <c r="H329" s="72"/>
      <c r="I329" s="72"/>
      <c r="J329" s="72"/>
      <c r="K329" s="72"/>
      <c r="L329" s="81"/>
    </row>
    <row r="330" spans="1:13">
      <c r="A330" s="72"/>
      <c r="B330" s="72"/>
      <c r="C330" s="72"/>
      <c r="D330" s="72"/>
      <c r="E330" s="72"/>
      <c r="F330" s="72"/>
      <c r="G330" s="72"/>
      <c r="H330" s="72"/>
      <c r="I330" s="72"/>
      <c r="J330" s="72"/>
      <c r="K330" s="72"/>
      <c r="L330" s="81"/>
    </row>
    <row r="331" spans="1:13">
      <c r="A331" s="72"/>
      <c r="B331" s="72"/>
      <c r="C331" s="72"/>
      <c r="D331" s="72"/>
      <c r="E331" s="72"/>
      <c r="F331" s="72"/>
      <c r="G331" s="72"/>
      <c r="H331" s="72"/>
      <c r="I331" s="72"/>
      <c r="J331" s="72"/>
      <c r="K331" s="72"/>
      <c r="L331" s="81"/>
    </row>
    <row r="332" spans="1:13">
      <c r="A332" s="72"/>
      <c r="B332" s="72"/>
      <c r="C332" s="72"/>
      <c r="D332" s="72"/>
      <c r="E332" s="72"/>
      <c r="F332" s="72"/>
      <c r="G332" s="72"/>
      <c r="H332" s="72"/>
      <c r="I332" s="72"/>
      <c r="J332" s="72"/>
      <c r="K332" s="72"/>
      <c r="L332" s="81"/>
    </row>
    <row r="333" spans="1:13">
      <c r="A333" s="72"/>
      <c r="B333" s="72"/>
      <c r="C333" s="72"/>
      <c r="D333" s="72"/>
      <c r="E333" s="72"/>
      <c r="F333" s="72"/>
      <c r="G333" s="72"/>
      <c r="H333" s="72"/>
      <c r="I333" s="72"/>
      <c r="J333" s="72"/>
      <c r="K333" s="72"/>
      <c r="L333" s="81"/>
    </row>
    <row r="334" spans="1:13">
      <c r="A334" s="72"/>
      <c r="B334" s="72"/>
      <c r="C334" s="72"/>
      <c r="D334" s="72"/>
      <c r="E334" s="72"/>
      <c r="F334" s="72"/>
      <c r="G334" s="72"/>
      <c r="H334" s="72"/>
      <c r="I334" s="72"/>
      <c r="J334" s="72"/>
      <c r="K334" s="72"/>
      <c r="L334" s="81"/>
    </row>
    <row r="335" spans="1:13">
      <c r="A335" s="72"/>
      <c r="B335" s="72"/>
      <c r="C335" s="72"/>
      <c r="D335" s="72"/>
      <c r="E335" s="72"/>
      <c r="F335" s="72"/>
      <c r="G335" s="72"/>
      <c r="H335" s="72"/>
      <c r="I335" s="72"/>
      <c r="J335" s="72"/>
      <c r="K335" s="72"/>
      <c r="L335" s="81"/>
    </row>
    <row r="336" spans="1:13">
      <c r="A336" s="72"/>
      <c r="B336" s="72"/>
      <c r="C336" s="72"/>
      <c r="D336" s="72"/>
      <c r="E336" s="72"/>
      <c r="F336" s="72"/>
      <c r="G336" s="72"/>
      <c r="H336" s="72"/>
      <c r="I336" s="72"/>
      <c r="J336" s="72"/>
      <c r="K336" s="72"/>
      <c r="L336" s="81"/>
    </row>
    <row r="337" spans="1:12">
      <c r="A337" s="72"/>
      <c r="B337" s="72"/>
      <c r="C337" s="72"/>
      <c r="D337" s="72"/>
      <c r="E337" s="72"/>
      <c r="F337" s="72"/>
      <c r="G337" s="72"/>
      <c r="H337" s="72"/>
      <c r="I337" s="72"/>
      <c r="J337" s="72"/>
      <c r="K337" s="72"/>
      <c r="L337" s="81"/>
    </row>
    <row r="338" spans="1:12">
      <c r="A338" s="72"/>
      <c r="B338" s="72"/>
      <c r="C338" s="72"/>
      <c r="D338" s="72"/>
      <c r="E338" s="72"/>
      <c r="F338" s="72"/>
      <c r="G338" s="72"/>
      <c r="H338" s="72"/>
      <c r="I338" s="72"/>
      <c r="J338" s="72"/>
      <c r="K338" s="72"/>
      <c r="L338" s="81"/>
    </row>
    <row r="339" spans="1:12">
      <c r="A339" s="72"/>
      <c r="B339" s="72"/>
      <c r="C339" s="72"/>
      <c r="D339" s="72"/>
      <c r="E339" s="72"/>
      <c r="F339" s="72"/>
      <c r="G339" s="72"/>
      <c r="H339" s="72"/>
      <c r="I339" s="72"/>
      <c r="J339" s="72"/>
      <c r="K339" s="72"/>
      <c r="L339" s="81"/>
    </row>
    <row r="340" spans="1:12">
      <c r="A340" s="72"/>
      <c r="B340" s="72"/>
      <c r="C340" s="72"/>
      <c r="D340" s="72"/>
      <c r="E340" s="72"/>
      <c r="F340" s="72"/>
      <c r="G340" s="72"/>
      <c r="H340" s="72"/>
      <c r="I340" s="72"/>
      <c r="J340" s="72"/>
      <c r="K340" s="72"/>
      <c r="L340" s="81"/>
    </row>
    <row r="341" spans="1:12">
      <c r="A341" s="72"/>
      <c r="B341" s="72"/>
      <c r="C341" s="72"/>
      <c r="D341" s="72"/>
      <c r="E341" s="72"/>
      <c r="F341" s="72"/>
      <c r="G341" s="72"/>
      <c r="H341" s="72"/>
      <c r="I341" s="72"/>
      <c r="J341" s="72"/>
      <c r="K341" s="72"/>
      <c r="L341" s="81"/>
    </row>
    <row r="342" spans="1:12">
      <c r="A342" s="72"/>
      <c r="B342" s="72"/>
      <c r="C342" s="72"/>
      <c r="D342" s="72"/>
      <c r="E342" s="72"/>
      <c r="F342" s="72"/>
      <c r="G342" s="72"/>
      <c r="H342" s="72"/>
      <c r="I342" s="72"/>
      <c r="J342" s="72"/>
      <c r="K342" s="72"/>
      <c r="L342" s="81"/>
    </row>
    <row r="343" spans="1:12">
      <c r="A343" s="72"/>
      <c r="B343" s="72"/>
      <c r="C343" s="72"/>
      <c r="D343" s="72"/>
      <c r="E343" s="72"/>
      <c r="F343" s="72"/>
      <c r="G343" s="72"/>
      <c r="H343" s="72"/>
      <c r="I343" s="72"/>
      <c r="J343" s="72"/>
      <c r="K343" s="72"/>
      <c r="L343" s="81"/>
    </row>
    <row r="344" spans="1:12">
      <c r="A344" s="72"/>
      <c r="B344" s="72"/>
      <c r="C344" s="72"/>
      <c r="D344" s="72"/>
      <c r="E344" s="72"/>
      <c r="F344" s="72"/>
      <c r="G344" s="72"/>
      <c r="H344" s="72"/>
      <c r="I344" s="72"/>
      <c r="J344" s="72"/>
      <c r="K344" s="72"/>
      <c r="L344" s="81"/>
    </row>
    <row r="345" spans="1:12">
      <c r="A345" s="72"/>
      <c r="B345" s="72"/>
      <c r="C345" s="72"/>
      <c r="D345" s="72"/>
      <c r="E345" s="72"/>
      <c r="F345" s="72"/>
      <c r="G345" s="72"/>
      <c r="H345" s="72"/>
      <c r="I345" s="72"/>
      <c r="J345" s="72"/>
      <c r="K345" s="72"/>
      <c r="L345" s="81"/>
    </row>
    <row r="346" spans="1:12">
      <c r="A346" s="72"/>
      <c r="B346" s="72"/>
      <c r="C346" s="72"/>
      <c r="D346" s="72"/>
      <c r="E346" s="72"/>
      <c r="F346" s="72"/>
      <c r="G346" s="72"/>
      <c r="H346" s="72"/>
      <c r="I346" s="72"/>
      <c r="J346" s="72"/>
      <c r="K346" s="72"/>
      <c r="L346" s="81"/>
    </row>
    <row r="347" spans="1:12">
      <c r="A347" s="72"/>
      <c r="B347" s="72"/>
      <c r="C347" s="72"/>
      <c r="D347" s="72"/>
      <c r="E347" s="72"/>
      <c r="F347" s="72"/>
      <c r="G347" s="72"/>
      <c r="H347" s="72"/>
      <c r="I347" s="72"/>
      <c r="J347" s="72"/>
      <c r="K347" s="72"/>
      <c r="L347" s="81"/>
    </row>
    <row r="348" spans="1:12">
      <c r="A348" s="72"/>
      <c r="B348" s="72"/>
      <c r="C348" s="72"/>
      <c r="D348" s="72"/>
      <c r="E348" s="72"/>
      <c r="F348" s="72"/>
      <c r="G348" s="72"/>
      <c r="H348" s="72"/>
      <c r="I348" s="72"/>
      <c r="J348" s="72"/>
      <c r="K348" s="72"/>
      <c r="L348" s="81"/>
    </row>
    <row r="349" spans="1:12">
      <c r="A349" s="72"/>
      <c r="B349" s="72"/>
      <c r="C349" s="72"/>
      <c r="D349" s="72"/>
      <c r="E349" s="72"/>
      <c r="F349" s="72"/>
      <c r="G349" s="72"/>
      <c r="H349" s="72"/>
      <c r="I349" s="72"/>
      <c r="J349" s="72"/>
      <c r="K349" s="72"/>
      <c r="L349" s="81"/>
    </row>
    <row r="350" spans="1:12">
      <c r="A350" s="72"/>
      <c r="B350" s="72"/>
      <c r="C350" s="72"/>
      <c r="D350" s="72"/>
      <c r="E350" s="72"/>
      <c r="F350" s="72"/>
      <c r="G350" s="72"/>
      <c r="H350" s="72"/>
      <c r="I350" s="72"/>
      <c r="J350" s="72"/>
      <c r="K350" s="72"/>
      <c r="L350" s="81"/>
    </row>
    <row r="351" spans="1:12">
      <c r="A351" s="72"/>
      <c r="B351" s="72"/>
      <c r="C351" s="72"/>
      <c r="D351" s="72"/>
      <c r="E351" s="72"/>
      <c r="F351" s="72"/>
      <c r="G351" s="72"/>
      <c r="H351" s="72"/>
      <c r="I351" s="72"/>
      <c r="J351" s="72"/>
      <c r="K351" s="72"/>
      <c r="L351" s="81"/>
    </row>
    <row r="352" spans="1:12">
      <c r="A352" s="72"/>
      <c r="B352" s="72"/>
      <c r="C352" s="72"/>
      <c r="D352" s="72"/>
      <c r="E352" s="72"/>
      <c r="F352" s="72"/>
      <c r="G352" s="72"/>
      <c r="H352" s="72"/>
      <c r="I352" s="72"/>
      <c r="J352" s="72"/>
      <c r="K352" s="72"/>
      <c r="L352" s="81"/>
    </row>
    <row r="353" spans="1:11">
      <c r="A353" s="72"/>
      <c r="B353" s="72"/>
      <c r="C353" s="72"/>
      <c r="D353" s="72"/>
      <c r="E353" s="72"/>
      <c r="F353" s="72"/>
      <c r="G353" s="72"/>
      <c r="H353" s="72"/>
      <c r="I353" s="72"/>
      <c r="J353" s="72"/>
      <c r="K353" s="72"/>
    </row>
    <row r="354" spans="1:11">
      <c r="A354" s="72"/>
      <c r="B354" s="72"/>
      <c r="C354" s="72"/>
      <c r="D354" s="72"/>
      <c r="E354" s="72"/>
      <c r="F354" s="72"/>
      <c r="G354" s="72"/>
      <c r="H354" s="72"/>
      <c r="I354" s="72"/>
      <c r="J354" s="72"/>
      <c r="K354" s="72"/>
    </row>
    <row r="355" spans="1:11">
      <c r="A355" s="72"/>
      <c r="B355" s="72"/>
      <c r="C355" s="72"/>
      <c r="D355" s="72"/>
      <c r="E355" s="72"/>
      <c r="F355" s="72"/>
      <c r="G355" s="72"/>
      <c r="H355" s="72"/>
      <c r="I355" s="72"/>
      <c r="J355" s="72"/>
      <c r="K355" s="72"/>
    </row>
    <row r="356" spans="1:11">
      <c r="A356" s="72"/>
      <c r="B356" s="72"/>
      <c r="C356" s="72"/>
      <c r="D356" s="72"/>
      <c r="E356" s="72"/>
      <c r="F356" s="72"/>
      <c r="G356" s="72"/>
      <c r="H356" s="72"/>
      <c r="I356" s="72"/>
      <c r="J356" s="72"/>
      <c r="K356" s="72"/>
    </row>
    <row r="357" spans="1:11">
      <c r="A357" s="72"/>
      <c r="B357" s="72"/>
      <c r="C357" s="72"/>
      <c r="D357" s="72"/>
      <c r="E357" s="72"/>
      <c r="F357" s="72"/>
      <c r="G357" s="72"/>
      <c r="H357" s="72"/>
      <c r="I357" s="72"/>
      <c r="J357" s="72"/>
      <c r="K357" s="72"/>
    </row>
    <row r="358" spans="1:11">
      <c r="A358" s="72"/>
      <c r="B358" s="72"/>
      <c r="C358" s="72"/>
      <c r="D358" s="72"/>
      <c r="E358" s="72"/>
      <c r="F358" s="72"/>
      <c r="G358" s="72"/>
      <c r="H358" s="72"/>
      <c r="I358" s="72"/>
      <c r="J358" s="72"/>
      <c r="K358" s="72"/>
    </row>
    <row r="359" spans="1:11">
      <c r="A359" s="72"/>
      <c r="B359" s="72"/>
      <c r="C359" s="72"/>
      <c r="D359" s="72"/>
      <c r="E359" s="72"/>
      <c r="F359" s="72"/>
      <c r="G359" s="72"/>
      <c r="H359" s="72"/>
      <c r="I359" s="72"/>
      <c r="J359" s="72"/>
      <c r="K359" s="72"/>
    </row>
    <row r="360" spans="1:11">
      <c r="A360" s="72"/>
      <c r="B360" s="72"/>
      <c r="C360" s="72"/>
      <c r="D360" s="72"/>
      <c r="E360" s="72"/>
      <c r="F360" s="72"/>
      <c r="G360" s="72"/>
      <c r="H360" s="72"/>
      <c r="I360" s="72"/>
      <c r="J360" s="72"/>
      <c r="K360" s="72"/>
    </row>
    <row r="361" spans="1:11">
      <c r="A361" s="72"/>
      <c r="B361" s="72"/>
      <c r="C361" s="72"/>
      <c r="D361" s="72"/>
      <c r="E361" s="72"/>
      <c r="F361" s="72"/>
      <c r="G361" s="72"/>
      <c r="H361" s="72"/>
      <c r="I361" s="72"/>
      <c r="J361" s="72"/>
      <c r="K361" s="72"/>
    </row>
    <row r="362" spans="1:11">
      <c r="A362" s="72"/>
      <c r="B362" s="72"/>
      <c r="C362" s="72"/>
      <c r="D362" s="72"/>
      <c r="E362" s="72"/>
      <c r="F362" s="72"/>
      <c r="G362" s="72"/>
      <c r="H362" s="72"/>
      <c r="I362" s="72"/>
      <c r="J362" s="72"/>
      <c r="K362" s="72"/>
    </row>
    <row r="363" spans="1:11">
      <c r="A363" s="72"/>
      <c r="B363" s="72"/>
      <c r="C363" s="72"/>
      <c r="D363" s="72"/>
      <c r="E363" s="72"/>
      <c r="F363" s="72"/>
      <c r="G363" s="72"/>
      <c r="H363" s="72"/>
      <c r="I363" s="72"/>
      <c r="J363" s="72"/>
      <c r="K363" s="72"/>
    </row>
    <row r="364" spans="1:11">
      <c r="A364" s="72"/>
      <c r="B364" s="72"/>
      <c r="C364" s="72"/>
      <c r="D364" s="72"/>
      <c r="E364" s="72"/>
      <c r="F364" s="72"/>
      <c r="G364" s="72"/>
      <c r="H364" s="72"/>
      <c r="I364" s="72"/>
      <c r="J364" s="72"/>
      <c r="K364" s="72"/>
    </row>
    <row r="365" spans="1:11">
      <c r="A365" s="72"/>
      <c r="B365" s="72"/>
      <c r="C365" s="72"/>
      <c r="D365" s="72"/>
      <c r="E365" s="72"/>
      <c r="F365" s="72"/>
      <c r="G365" s="72"/>
      <c r="H365" s="72"/>
      <c r="I365" s="72"/>
      <c r="J365" s="72"/>
      <c r="K365" s="72"/>
    </row>
    <row r="366" spans="1:11">
      <c r="A366" s="72"/>
      <c r="B366" s="72"/>
      <c r="C366" s="72"/>
      <c r="D366" s="72"/>
      <c r="E366" s="72"/>
      <c r="F366" s="72"/>
      <c r="G366" s="72"/>
      <c r="H366" s="72"/>
      <c r="I366" s="72"/>
      <c r="J366" s="72"/>
      <c r="K366" s="72"/>
    </row>
    <row r="367" spans="1:11">
      <c r="A367" s="72"/>
      <c r="B367" s="72"/>
      <c r="C367" s="72"/>
      <c r="D367" s="72"/>
      <c r="E367" s="72"/>
      <c r="F367" s="72"/>
      <c r="G367" s="72"/>
      <c r="H367" s="72"/>
      <c r="I367" s="72"/>
      <c r="J367" s="72"/>
      <c r="K367" s="72"/>
    </row>
    <row r="368" spans="1:11">
      <c r="A368" s="72"/>
      <c r="B368" s="72"/>
      <c r="C368" s="72"/>
      <c r="D368" s="72"/>
      <c r="E368" s="72"/>
      <c r="F368" s="72"/>
      <c r="G368" s="72"/>
      <c r="H368" s="72"/>
      <c r="I368" s="72"/>
      <c r="J368" s="72"/>
      <c r="K368" s="72"/>
    </row>
    <row r="369" spans="1:11">
      <c r="A369" s="72"/>
      <c r="B369" s="72"/>
      <c r="C369" s="72"/>
      <c r="D369" s="72"/>
      <c r="E369" s="72"/>
      <c r="F369" s="72"/>
      <c r="G369" s="72"/>
      <c r="H369" s="72"/>
      <c r="I369" s="72"/>
      <c r="J369" s="72"/>
      <c r="K369" s="72"/>
    </row>
    <row r="370" spans="1:11">
      <c r="A370" s="72"/>
      <c r="B370" s="72"/>
      <c r="C370" s="72"/>
      <c r="D370" s="72"/>
      <c r="E370" s="72"/>
      <c r="F370" s="72"/>
      <c r="G370" s="72"/>
      <c r="H370" s="72"/>
      <c r="I370" s="72"/>
      <c r="J370" s="72"/>
      <c r="K370" s="72"/>
    </row>
    <row r="371" spans="1:11">
      <c r="A371" s="72"/>
      <c r="B371" s="72"/>
      <c r="C371" s="72"/>
      <c r="D371" s="72"/>
      <c r="E371" s="72"/>
      <c r="F371" s="72"/>
      <c r="G371" s="72"/>
      <c r="H371" s="72"/>
      <c r="I371" s="72"/>
      <c r="J371" s="72"/>
      <c r="K371" s="72"/>
    </row>
    <row r="372" spans="1:11">
      <c r="A372" s="72"/>
      <c r="B372" s="72"/>
      <c r="C372" s="72"/>
      <c r="D372" s="72"/>
      <c r="E372" s="72"/>
      <c r="F372" s="72"/>
      <c r="G372" s="72"/>
      <c r="H372" s="72"/>
      <c r="I372" s="72"/>
      <c r="J372" s="72"/>
      <c r="K372" s="72"/>
    </row>
    <row r="373" spans="1:11">
      <c r="A373" s="72"/>
      <c r="B373" s="72"/>
      <c r="C373" s="72"/>
      <c r="D373" s="72"/>
      <c r="E373" s="72"/>
      <c r="F373" s="72"/>
      <c r="G373" s="72"/>
      <c r="H373" s="72"/>
      <c r="I373" s="72"/>
      <c r="J373" s="72"/>
      <c r="K373" s="72"/>
    </row>
    <row r="374" spans="1:11">
      <c r="A374" s="72"/>
      <c r="B374" s="72"/>
      <c r="C374" s="72"/>
      <c r="D374" s="72"/>
      <c r="E374" s="72"/>
      <c r="F374" s="72"/>
      <c r="G374" s="72"/>
      <c r="H374" s="72"/>
      <c r="I374" s="72"/>
      <c r="J374" s="72"/>
      <c r="K374" s="72"/>
    </row>
    <row r="375" spans="1:11">
      <c r="A375" s="72"/>
      <c r="B375" s="72"/>
      <c r="C375" s="72"/>
      <c r="D375" s="72"/>
      <c r="E375" s="72"/>
      <c r="F375" s="72"/>
      <c r="G375" s="72"/>
      <c r="H375" s="72"/>
      <c r="I375" s="72"/>
      <c r="J375" s="72"/>
      <c r="K375" s="72"/>
    </row>
    <row r="376" spans="1:11">
      <c r="A376" s="72"/>
      <c r="B376" s="72"/>
      <c r="C376" s="72"/>
      <c r="D376" s="72"/>
      <c r="E376" s="72"/>
      <c r="F376" s="72"/>
      <c r="G376" s="72"/>
      <c r="H376" s="72"/>
      <c r="I376" s="72"/>
      <c r="J376" s="72"/>
      <c r="K376" s="72"/>
    </row>
    <row r="377" spans="1:11">
      <c r="A377" s="72"/>
      <c r="B377" s="72"/>
      <c r="C377" s="72"/>
      <c r="D377" s="72"/>
      <c r="E377" s="72"/>
      <c r="F377" s="72"/>
      <c r="G377" s="72"/>
      <c r="H377" s="72"/>
      <c r="I377" s="72"/>
      <c r="J377" s="72"/>
      <c r="K377" s="72"/>
    </row>
    <row r="378" spans="1:11">
      <c r="A378" s="72"/>
      <c r="B378" s="72"/>
      <c r="C378" s="72"/>
      <c r="D378" s="72"/>
      <c r="E378" s="72"/>
      <c r="F378" s="72"/>
      <c r="G378" s="72"/>
      <c r="H378" s="72"/>
      <c r="I378" s="72"/>
      <c r="J378" s="72"/>
      <c r="K378" s="72"/>
    </row>
    <row r="379" spans="1:11">
      <c r="A379" s="72"/>
      <c r="B379" s="72"/>
      <c r="C379" s="72"/>
      <c r="D379" s="72"/>
      <c r="E379" s="72"/>
      <c r="F379" s="72"/>
      <c r="G379" s="72"/>
      <c r="H379" s="72"/>
      <c r="I379" s="72"/>
      <c r="J379" s="72"/>
      <c r="K379" s="72"/>
    </row>
    <row r="380" spans="1:11">
      <c r="A380" s="72"/>
      <c r="B380" s="72"/>
      <c r="C380" s="72"/>
      <c r="D380" s="72"/>
      <c r="E380" s="72"/>
      <c r="F380" s="72"/>
      <c r="G380" s="72"/>
      <c r="H380" s="72"/>
      <c r="I380" s="72"/>
      <c r="J380" s="72"/>
      <c r="K380" s="72"/>
    </row>
    <row r="381" spans="1:11">
      <c r="A381" s="72"/>
      <c r="B381" s="72"/>
      <c r="C381" s="72"/>
      <c r="D381" s="72"/>
      <c r="E381" s="72"/>
      <c r="F381" s="72"/>
      <c r="G381" s="72"/>
      <c r="H381" s="72"/>
      <c r="I381" s="72"/>
      <c r="J381" s="72"/>
      <c r="K381" s="72"/>
    </row>
    <row r="382" spans="1:11">
      <c r="A382" s="72"/>
      <c r="B382" s="72"/>
      <c r="C382" s="72"/>
      <c r="D382" s="72"/>
      <c r="E382" s="72"/>
      <c r="F382" s="72"/>
      <c r="G382" s="72"/>
      <c r="H382" s="72"/>
      <c r="I382" s="72"/>
      <c r="J382" s="72"/>
      <c r="K382" s="72"/>
    </row>
    <row r="383" spans="1:11">
      <c r="A383" s="72"/>
      <c r="B383" s="72"/>
      <c r="C383" s="72"/>
      <c r="D383" s="72"/>
      <c r="E383" s="72"/>
      <c r="F383" s="72"/>
      <c r="G383" s="72"/>
      <c r="H383" s="72"/>
      <c r="I383" s="72"/>
      <c r="J383" s="72"/>
      <c r="K383" s="72"/>
    </row>
    <row r="384" spans="1:11">
      <c r="A384" s="72"/>
      <c r="B384" s="72"/>
      <c r="C384" s="72"/>
      <c r="D384" s="72"/>
      <c r="E384" s="72"/>
      <c r="F384" s="72"/>
      <c r="G384" s="72"/>
      <c r="H384" s="72"/>
      <c r="I384" s="72"/>
      <c r="J384" s="72"/>
      <c r="K384" s="72"/>
    </row>
    <row r="385" spans="1:11">
      <c r="A385" s="72"/>
      <c r="B385" s="72"/>
      <c r="C385" s="72"/>
      <c r="D385" s="72"/>
      <c r="E385" s="72"/>
      <c r="F385" s="72"/>
      <c r="G385" s="72"/>
      <c r="H385" s="72"/>
      <c r="I385" s="72"/>
      <c r="J385" s="72"/>
      <c r="K385" s="72"/>
    </row>
    <row r="386" spans="1:11">
      <c r="A386" s="72"/>
      <c r="B386" s="72"/>
      <c r="C386" s="72"/>
      <c r="D386" s="72"/>
      <c r="E386" s="72"/>
      <c r="F386" s="72"/>
      <c r="G386" s="72"/>
      <c r="H386" s="72"/>
      <c r="I386" s="72"/>
      <c r="J386" s="72"/>
      <c r="K386" s="72"/>
    </row>
    <row r="387" spans="1:11">
      <c r="A387" s="72"/>
      <c r="B387" s="72"/>
      <c r="C387" s="72"/>
      <c r="D387" s="72"/>
      <c r="E387" s="72"/>
      <c r="F387" s="72"/>
      <c r="G387" s="72"/>
      <c r="H387" s="72"/>
      <c r="I387" s="72"/>
      <c r="J387" s="72"/>
      <c r="K387" s="72"/>
    </row>
    <row r="388" spans="1:11">
      <c r="A388" s="72"/>
      <c r="B388" s="72"/>
      <c r="C388" s="72"/>
      <c r="D388" s="72"/>
      <c r="E388" s="72"/>
      <c r="F388" s="72"/>
      <c r="G388" s="72"/>
      <c r="H388" s="72"/>
      <c r="I388" s="72"/>
      <c r="J388" s="72"/>
      <c r="K388" s="72"/>
    </row>
    <row r="389" spans="1:11">
      <c r="A389" s="72"/>
      <c r="B389" s="72"/>
      <c r="C389" s="72"/>
      <c r="D389" s="72"/>
      <c r="E389" s="72"/>
      <c r="F389" s="72"/>
      <c r="G389" s="72"/>
      <c r="H389" s="72"/>
      <c r="I389" s="72"/>
      <c r="J389" s="72"/>
      <c r="K389" s="72"/>
    </row>
    <row r="390" spans="1:11">
      <c r="A390" s="72"/>
      <c r="B390" s="72"/>
      <c r="C390" s="72"/>
      <c r="D390" s="72"/>
      <c r="E390" s="72"/>
      <c r="F390" s="72"/>
      <c r="G390" s="72"/>
      <c r="H390" s="72"/>
      <c r="I390" s="72"/>
      <c r="J390" s="72"/>
      <c r="K390" s="72"/>
    </row>
    <row r="391" spans="1:11">
      <c r="A391" s="72"/>
      <c r="B391" s="72"/>
      <c r="C391" s="72"/>
      <c r="D391" s="72"/>
      <c r="E391" s="72"/>
      <c r="F391" s="72"/>
      <c r="G391" s="72"/>
      <c r="H391" s="72"/>
      <c r="I391" s="72"/>
      <c r="J391" s="72"/>
      <c r="K391" s="72"/>
    </row>
    <row r="392" spans="1:11">
      <c r="A392" s="72"/>
      <c r="B392" s="72"/>
      <c r="C392" s="72"/>
      <c r="D392" s="72"/>
      <c r="E392" s="72"/>
      <c r="F392" s="72"/>
      <c r="G392" s="72"/>
      <c r="H392" s="72"/>
      <c r="I392" s="72"/>
      <c r="J392" s="72"/>
      <c r="K392" s="72"/>
    </row>
    <row r="393" spans="1:11">
      <c r="A393" s="72"/>
      <c r="B393" s="72"/>
      <c r="C393" s="72"/>
      <c r="D393" s="72"/>
      <c r="E393" s="72"/>
      <c r="F393" s="72"/>
      <c r="G393" s="72"/>
      <c r="H393" s="72"/>
      <c r="I393" s="72"/>
      <c r="J393" s="72"/>
      <c r="K393" s="72"/>
    </row>
    <row r="394" spans="1:11">
      <c r="A394" s="72"/>
      <c r="B394" s="72"/>
      <c r="C394" s="72"/>
      <c r="D394" s="72"/>
      <c r="E394" s="72"/>
      <c r="F394" s="72"/>
      <c r="G394" s="72"/>
      <c r="H394" s="72"/>
      <c r="I394" s="72"/>
      <c r="J394" s="72"/>
      <c r="K394" s="72"/>
    </row>
    <row r="395" spans="1:11">
      <c r="A395" s="72"/>
      <c r="B395" s="72"/>
      <c r="C395" s="72"/>
      <c r="D395" s="72"/>
      <c r="E395" s="72"/>
      <c r="F395" s="72"/>
      <c r="G395" s="72"/>
      <c r="H395" s="72"/>
      <c r="I395" s="72"/>
      <c r="J395" s="72"/>
      <c r="K395" s="72"/>
    </row>
    <row r="396" spans="1:11">
      <c r="A396" s="72"/>
      <c r="B396" s="72"/>
      <c r="C396" s="72"/>
      <c r="D396" s="72"/>
      <c r="E396" s="72"/>
      <c r="F396" s="72"/>
      <c r="G396" s="72"/>
      <c r="H396" s="72"/>
      <c r="I396" s="72"/>
      <c r="J396" s="72"/>
      <c r="K396" s="72"/>
    </row>
    <row r="397" spans="1:11">
      <c r="A397" s="72"/>
      <c r="B397" s="72"/>
      <c r="C397" s="72"/>
      <c r="D397" s="72"/>
      <c r="E397" s="72"/>
      <c r="F397" s="72"/>
      <c r="G397" s="72"/>
      <c r="H397" s="72"/>
      <c r="I397" s="72"/>
      <c r="J397" s="72"/>
      <c r="K397" s="72"/>
    </row>
    <row r="398" spans="1:11">
      <c r="A398" s="72"/>
      <c r="B398" s="72"/>
      <c r="C398" s="72"/>
      <c r="D398" s="72"/>
      <c r="E398" s="72"/>
      <c r="F398" s="72"/>
      <c r="G398" s="72"/>
      <c r="H398" s="72"/>
      <c r="I398" s="72"/>
      <c r="J398" s="72"/>
      <c r="K398" s="72"/>
    </row>
    <row r="399" spans="1:11">
      <c r="A399" s="72"/>
      <c r="B399" s="72"/>
      <c r="C399" s="72"/>
      <c r="D399" s="72"/>
      <c r="E399" s="72"/>
      <c r="F399" s="72"/>
      <c r="G399" s="72"/>
      <c r="H399" s="72"/>
      <c r="I399" s="72"/>
      <c r="J399" s="72"/>
      <c r="K399" s="72"/>
    </row>
    <row r="400" spans="1:11">
      <c r="A400" s="72"/>
      <c r="B400" s="72"/>
      <c r="C400" s="72"/>
      <c r="D400" s="72"/>
      <c r="E400" s="72"/>
      <c r="F400" s="72"/>
      <c r="G400" s="72"/>
      <c r="H400" s="72"/>
      <c r="I400" s="72"/>
      <c r="J400" s="72"/>
      <c r="K400" s="72"/>
    </row>
    <row r="401" spans="1:11">
      <c r="A401" s="72"/>
      <c r="B401" s="72"/>
      <c r="C401" s="72"/>
      <c r="D401" s="72"/>
      <c r="E401" s="72"/>
      <c r="F401" s="72"/>
      <c r="G401" s="72"/>
      <c r="H401" s="72"/>
      <c r="I401" s="72"/>
      <c r="J401" s="72"/>
      <c r="K401" s="72"/>
    </row>
    <row r="402" spans="1:11">
      <c r="A402" s="72"/>
      <c r="B402" s="72"/>
      <c r="C402" s="72"/>
      <c r="D402" s="72"/>
      <c r="E402" s="72"/>
      <c r="F402" s="72"/>
      <c r="G402" s="72"/>
      <c r="H402" s="72"/>
      <c r="I402" s="72"/>
      <c r="J402" s="72"/>
      <c r="K402" s="72"/>
    </row>
    <row r="403" spans="1:11">
      <c r="A403" s="72"/>
      <c r="B403" s="72"/>
      <c r="C403" s="72"/>
      <c r="D403" s="72"/>
      <c r="E403" s="72"/>
      <c r="F403" s="72"/>
      <c r="G403" s="72"/>
      <c r="H403" s="72"/>
      <c r="I403" s="72"/>
      <c r="J403" s="72"/>
      <c r="K403" s="72"/>
    </row>
    <row r="404" spans="1:11">
      <c r="A404" s="72"/>
      <c r="B404" s="72"/>
      <c r="C404" s="72"/>
      <c r="D404" s="72"/>
      <c r="E404" s="72"/>
      <c r="F404" s="72"/>
      <c r="G404" s="72"/>
      <c r="H404" s="72"/>
      <c r="I404" s="72"/>
      <c r="J404" s="72"/>
      <c r="K404" s="72"/>
    </row>
    <row r="405" spans="1:11">
      <c r="A405" s="72"/>
      <c r="B405" s="72"/>
      <c r="C405" s="72"/>
      <c r="D405" s="72"/>
      <c r="E405" s="72"/>
      <c r="F405" s="72"/>
      <c r="G405" s="72"/>
      <c r="H405" s="72"/>
      <c r="I405" s="72"/>
      <c r="J405" s="72"/>
      <c r="K405" s="72"/>
    </row>
    <row r="406" spans="1:11">
      <c r="A406" s="72"/>
      <c r="B406" s="72"/>
      <c r="C406" s="72"/>
      <c r="D406" s="72"/>
      <c r="E406" s="72"/>
      <c r="F406" s="72"/>
      <c r="G406" s="72"/>
      <c r="H406" s="72"/>
      <c r="I406" s="72"/>
      <c r="J406" s="72"/>
      <c r="K406" s="72"/>
    </row>
    <row r="407" spans="1:11">
      <c r="A407" s="72"/>
      <c r="B407" s="72"/>
      <c r="C407" s="72"/>
      <c r="D407" s="72"/>
      <c r="E407" s="72"/>
      <c r="F407" s="72"/>
      <c r="G407" s="72"/>
      <c r="H407" s="72"/>
      <c r="I407" s="72"/>
      <c r="J407" s="72"/>
      <c r="K407" s="72"/>
    </row>
    <row r="408" spans="1:11">
      <c r="A408" s="72"/>
      <c r="B408" s="72"/>
      <c r="C408" s="72"/>
      <c r="D408" s="72"/>
      <c r="E408" s="72"/>
      <c r="F408" s="72"/>
      <c r="G408" s="72"/>
      <c r="H408" s="72"/>
      <c r="I408" s="72"/>
      <c r="J408" s="72"/>
      <c r="K408" s="72"/>
    </row>
    <row r="409" spans="1:11">
      <c r="A409" s="72"/>
      <c r="B409" s="72"/>
      <c r="C409" s="72"/>
      <c r="D409" s="72"/>
      <c r="E409" s="72"/>
      <c r="F409" s="72"/>
      <c r="G409" s="72"/>
      <c r="H409" s="72"/>
      <c r="I409" s="72"/>
      <c r="J409" s="72"/>
      <c r="K409" s="72"/>
    </row>
    <row r="410" spans="1:11">
      <c r="A410" s="72"/>
      <c r="B410" s="72"/>
      <c r="C410" s="72"/>
      <c r="D410" s="72"/>
      <c r="E410" s="72"/>
      <c r="F410" s="72"/>
      <c r="G410" s="72"/>
      <c r="H410" s="72"/>
      <c r="I410" s="72"/>
      <c r="J410" s="72"/>
      <c r="K410" s="72"/>
    </row>
    <row r="411" spans="1:11">
      <c r="A411" s="72"/>
      <c r="B411" s="72"/>
      <c r="C411" s="72"/>
      <c r="D411" s="72"/>
      <c r="E411" s="72"/>
      <c r="F411" s="72"/>
      <c r="G411" s="72"/>
      <c r="H411" s="72"/>
      <c r="I411" s="72"/>
      <c r="J411" s="72"/>
      <c r="K411" s="72"/>
    </row>
    <row r="412" spans="1:11">
      <c r="A412" s="72"/>
      <c r="B412" s="72"/>
      <c r="C412" s="72"/>
      <c r="D412" s="72"/>
      <c r="E412" s="72"/>
      <c r="F412" s="72"/>
      <c r="G412" s="72"/>
      <c r="H412" s="72"/>
      <c r="I412" s="72"/>
      <c r="J412" s="72"/>
      <c r="K412" s="72"/>
    </row>
    <row r="413" spans="1:11">
      <c r="A413" s="72"/>
      <c r="B413" s="72"/>
      <c r="C413" s="72"/>
      <c r="D413" s="72"/>
      <c r="E413" s="72"/>
      <c r="F413" s="72"/>
      <c r="G413" s="72"/>
      <c r="H413" s="72"/>
      <c r="I413" s="72"/>
      <c r="J413" s="72"/>
      <c r="K413" s="72"/>
    </row>
    <row r="414" spans="1:11">
      <c r="A414" s="72"/>
      <c r="B414" s="72"/>
      <c r="C414" s="72"/>
      <c r="D414" s="72"/>
      <c r="E414" s="72"/>
      <c r="F414" s="72"/>
      <c r="G414" s="72"/>
      <c r="H414" s="72"/>
      <c r="I414" s="72"/>
      <c r="J414" s="72"/>
      <c r="K414" s="72"/>
    </row>
    <row r="415" spans="1:11">
      <c r="A415" s="72"/>
      <c r="B415" s="72"/>
      <c r="C415" s="72"/>
      <c r="D415" s="72"/>
      <c r="E415" s="72"/>
      <c r="F415" s="72"/>
      <c r="G415" s="72"/>
      <c r="H415" s="72"/>
      <c r="I415" s="72"/>
      <c r="J415" s="72"/>
      <c r="K415" s="72"/>
    </row>
    <row r="416" spans="1:11">
      <c r="A416" s="72"/>
      <c r="B416" s="72"/>
      <c r="C416" s="72"/>
      <c r="D416" s="72"/>
      <c r="E416" s="72"/>
      <c r="F416" s="72"/>
      <c r="G416" s="72"/>
      <c r="H416" s="72"/>
      <c r="I416" s="72"/>
      <c r="J416" s="72"/>
      <c r="K416" s="72"/>
    </row>
    <row r="417" spans="1:11">
      <c r="A417" s="72"/>
      <c r="B417" s="72"/>
      <c r="C417" s="72"/>
      <c r="D417" s="72"/>
      <c r="E417" s="72"/>
      <c r="F417" s="72"/>
      <c r="G417" s="72"/>
      <c r="H417" s="72"/>
      <c r="I417" s="72"/>
      <c r="J417" s="72"/>
      <c r="K417" s="72"/>
    </row>
    <row r="418" spans="1:11">
      <c r="A418" s="72"/>
      <c r="B418" s="72"/>
      <c r="C418" s="72"/>
      <c r="D418" s="72"/>
      <c r="E418" s="72"/>
      <c r="F418" s="72"/>
      <c r="G418" s="72"/>
      <c r="H418" s="72"/>
      <c r="I418" s="72"/>
      <c r="J418" s="72"/>
      <c r="K418" s="72"/>
    </row>
    <row r="419" spans="1:11">
      <c r="A419" s="72"/>
      <c r="B419" s="72"/>
      <c r="C419" s="72"/>
      <c r="D419" s="72"/>
      <c r="E419" s="72"/>
      <c r="F419" s="72"/>
      <c r="G419" s="72"/>
      <c r="H419" s="72"/>
      <c r="I419" s="72"/>
      <c r="J419" s="72"/>
      <c r="K419" s="72"/>
    </row>
    <row r="420" spans="1:11">
      <c r="A420" s="72"/>
      <c r="B420" s="72"/>
      <c r="C420" s="72"/>
      <c r="D420" s="72"/>
      <c r="E420" s="72"/>
      <c r="F420" s="72"/>
      <c r="G420" s="72"/>
      <c r="H420" s="72"/>
      <c r="I420" s="72"/>
      <c r="J420" s="72"/>
      <c r="K420" s="72"/>
    </row>
    <row r="421" spans="1:11">
      <c r="A421" s="72"/>
      <c r="B421" s="72"/>
      <c r="C421" s="72"/>
      <c r="D421" s="72"/>
      <c r="E421" s="72"/>
      <c r="F421" s="72"/>
      <c r="G421" s="72"/>
      <c r="H421" s="72"/>
      <c r="I421" s="72"/>
      <c r="J421" s="72"/>
      <c r="K421" s="72"/>
    </row>
    <row r="422" spans="1:11">
      <c r="A422" s="72"/>
      <c r="B422" s="72"/>
      <c r="C422" s="72"/>
      <c r="D422" s="72"/>
      <c r="E422" s="72"/>
      <c r="F422" s="72"/>
      <c r="G422" s="72"/>
      <c r="H422" s="72"/>
      <c r="I422" s="72"/>
      <c r="J422" s="72"/>
      <c r="K422" s="72"/>
    </row>
    <row r="423" spans="1:11">
      <c r="A423" s="72"/>
      <c r="B423" s="72"/>
      <c r="C423" s="72"/>
      <c r="D423" s="72"/>
      <c r="E423" s="72"/>
      <c r="F423" s="72"/>
      <c r="G423" s="72"/>
      <c r="H423" s="72"/>
      <c r="I423" s="72"/>
      <c r="J423" s="72"/>
      <c r="K423" s="72"/>
    </row>
    <row r="424" spans="1:11">
      <c r="A424" s="72"/>
      <c r="B424" s="72"/>
      <c r="C424" s="72"/>
      <c r="D424" s="72"/>
      <c r="E424" s="72"/>
      <c r="F424" s="72"/>
      <c r="G424" s="72"/>
      <c r="H424" s="72"/>
      <c r="I424" s="72"/>
      <c r="J424" s="72"/>
      <c r="K424" s="72"/>
    </row>
    <row r="425" spans="1:11">
      <c r="A425" s="72"/>
      <c r="B425" s="72"/>
      <c r="C425" s="72"/>
      <c r="D425" s="72"/>
      <c r="E425" s="72"/>
      <c r="F425" s="72"/>
      <c r="G425" s="72"/>
      <c r="H425" s="72"/>
      <c r="I425" s="72"/>
      <c r="J425" s="72"/>
      <c r="K425" s="72"/>
    </row>
    <row r="426" spans="1:11">
      <c r="A426" s="72"/>
      <c r="B426" s="72"/>
      <c r="C426" s="72"/>
      <c r="D426" s="72"/>
      <c r="E426" s="72"/>
      <c r="F426" s="72"/>
      <c r="G426" s="72"/>
      <c r="H426" s="72"/>
      <c r="I426" s="72"/>
      <c r="J426" s="72"/>
      <c r="K426" s="72"/>
    </row>
    <row r="427" spans="1:11">
      <c r="A427" s="72"/>
      <c r="B427" s="72"/>
      <c r="C427" s="72"/>
      <c r="D427" s="72"/>
      <c r="E427" s="72"/>
      <c r="F427" s="72"/>
      <c r="G427" s="72"/>
      <c r="H427" s="72"/>
      <c r="I427" s="72"/>
      <c r="J427" s="72"/>
      <c r="K427" s="72"/>
    </row>
    <row r="428" spans="1:11">
      <c r="A428" s="72"/>
      <c r="B428" s="72"/>
      <c r="C428" s="72"/>
      <c r="D428" s="72"/>
      <c r="E428" s="72"/>
      <c r="F428" s="72"/>
      <c r="G428" s="72"/>
      <c r="H428" s="72"/>
      <c r="I428" s="72"/>
      <c r="J428" s="72"/>
      <c r="K428" s="72"/>
    </row>
    <row r="429" spans="1:11">
      <c r="A429" s="72"/>
      <c r="B429" s="72"/>
      <c r="C429" s="72"/>
      <c r="D429" s="72"/>
      <c r="E429" s="72"/>
      <c r="F429" s="72"/>
      <c r="G429" s="72"/>
      <c r="H429" s="72"/>
      <c r="I429" s="72"/>
      <c r="J429" s="72"/>
      <c r="K429" s="72"/>
    </row>
    <row r="430" spans="1:11">
      <c r="A430" s="72"/>
      <c r="B430" s="72"/>
      <c r="C430" s="72"/>
      <c r="D430" s="72"/>
      <c r="E430" s="72"/>
      <c r="F430" s="72"/>
      <c r="G430" s="72"/>
      <c r="H430" s="72"/>
      <c r="I430" s="72"/>
      <c r="J430" s="72"/>
      <c r="K430" s="72"/>
    </row>
    <row r="431" spans="1:11">
      <c r="A431" s="72"/>
      <c r="B431" s="72"/>
      <c r="C431" s="72"/>
      <c r="D431" s="72"/>
      <c r="E431" s="72"/>
      <c r="F431" s="72"/>
      <c r="G431" s="72"/>
      <c r="H431" s="72"/>
      <c r="I431" s="72"/>
      <c r="J431" s="72"/>
      <c r="K431" s="72"/>
    </row>
    <row r="432" spans="1:11">
      <c r="A432" s="72"/>
      <c r="B432" s="72"/>
      <c r="C432" s="72"/>
      <c r="D432" s="72"/>
      <c r="E432" s="72"/>
      <c r="F432" s="72"/>
      <c r="G432" s="72"/>
      <c r="H432" s="72"/>
      <c r="I432" s="72"/>
      <c r="J432" s="72"/>
      <c r="K432" s="72"/>
    </row>
    <row r="433" spans="1:11">
      <c r="A433" s="72"/>
      <c r="B433" s="72"/>
      <c r="C433" s="72"/>
      <c r="D433" s="72"/>
      <c r="E433" s="72"/>
      <c r="F433" s="72"/>
      <c r="G433" s="72"/>
      <c r="H433" s="72"/>
      <c r="I433" s="72"/>
      <c r="J433" s="72"/>
      <c r="K433" s="72"/>
    </row>
    <row r="434" spans="1:11">
      <c r="A434" s="72"/>
      <c r="B434" s="72"/>
      <c r="C434" s="72"/>
      <c r="D434" s="72"/>
      <c r="E434" s="72"/>
      <c r="F434" s="72"/>
      <c r="G434" s="72"/>
      <c r="H434" s="72"/>
      <c r="I434" s="72"/>
      <c r="J434" s="72"/>
      <c r="K434" s="72"/>
    </row>
    <row r="435" spans="1:11">
      <c r="A435" s="72"/>
      <c r="B435" s="72"/>
      <c r="C435" s="72"/>
      <c r="D435" s="72"/>
      <c r="E435" s="72"/>
      <c r="F435" s="72"/>
      <c r="G435" s="72"/>
      <c r="H435" s="72"/>
      <c r="I435" s="72"/>
      <c r="J435" s="72"/>
      <c r="K435" s="72"/>
    </row>
    <row r="436" spans="1:11">
      <c r="A436" s="72"/>
      <c r="B436" s="72"/>
      <c r="C436" s="72"/>
      <c r="D436" s="72"/>
      <c r="E436" s="72"/>
      <c r="F436" s="72"/>
      <c r="G436" s="72"/>
      <c r="H436" s="72"/>
      <c r="I436" s="72"/>
      <c r="J436" s="72"/>
      <c r="K436" s="72"/>
    </row>
    <row r="437" spans="1:11">
      <c r="A437" s="72"/>
      <c r="B437" s="72"/>
      <c r="C437" s="72"/>
      <c r="D437" s="72"/>
      <c r="E437" s="72"/>
      <c r="F437" s="72"/>
      <c r="G437" s="72"/>
      <c r="H437" s="72"/>
      <c r="I437" s="72"/>
      <c r="J437" s="72"/>
      <c r="K437" s="72"/>
    </row>
    <row r="438" spans="1:11">
      <c r="A438" s="72"/>
      <c r="B438" s="72"/>
      <c r="C438" s="72"/>
      <c r="D438" s="72"/>
      <c r="E438" s="72"/>
      <c r="F438" s="72"/>
      <c r="G438" s="72"/>
      <c r="H438" s="72"/>
      <c r="I438" s="72"/>
      <c r="J438" s="72"/>
      <c r="K438" s="72"/>
    </row>
    <row r="439" spans="1:11">
      <c r="A439" s="72"/>
      <c r="B439" s="72"/>
      <c r="C439" s="72"/>
      <c r="D439" s="72"/>
      <c r="E439" s="72"/>
      <c r="F439" s="72"/>
      <c r="G439" s="72"/>
      <c r="H439" s="72"/>
      <c r="I439" s="72"/>
      <c r="J439" s="72"/>
      <c r="K439" s="72"/>
    </row>
    <row r="440" spans="1:11">
      <c r="A440" s="72"/>
      <c r="B440" s="72"/>
      <c r="C440" s="72"/>
      <c r="D440" s="72"/>
      <c r="E440" s="72"/>
      <c r="F440" s="72"/>
      <c r="G440" s="72"/>
      <c r="H440" s="72"/>
      <c r="I440" s="72"/>
      <c r="J440" s="72"/>
      <c r="K440" s="72"/>
    </row>
    <row r="441" spans="1:11">
      <c r="A441" s="72"/>
      <c r="B441" s="72"/>
      <c r="C441" s="72"/>
      <c r="D441" s="72"/>
      <c r="E441" s="72"/>
      <c r="F441" s="72"/>
      <c r="G441" s="72"/>
      <c r="H441" s="72"/>
      <c r="I441" s="72"/>
      <c r="J441" s="72"/>
      <c r="K441" s="72"/>
    </row>
    <row r="442" spans="1:11">
      <c r="A442" s="72"/>
      <c r="B442" s="72"/>
      <c r="C442" s="72"/>
      <c r="D442" s="72"/>
      <c r="E442" s="72"/>
      <c r="F442" s="72"/>
      <c r="G442" s="72"/>
      <c r="H442" s="72"/>
      <c r="I442" s="72"/>
      <c r="J442" s="72"/>
      <c r="K442" s="72"/>
    </row>
    <row r="443" spans="1:11">
      <c r="A443" s="72"/>
      <c r="B443" s="72"/>
      <c r="C443" s="72"/>
      <c r="D443" s="72"/>
      <c r="E443" s="72"/>
      <c r="F443" s="72"/>
      <c r="G443" s="72"/>
      <c r="H443" s="72"/>
      <c r="I443" s="72"/>
      <c r="J443" s="72"/>
      <c r="K443" s="72"/>
    </row>
    <row r="444" spans="1:11">
      <c r="A444" s="72"/>
      <c r="B444" s="72"/>
      <c r="C444" s="72"/>
      <c r="D444" s="72"/>
      <c r="E444" s="72"/>
      <c r="F444" s="72"/>
      <c r="G444" s="72"/>
      <c r="H444" s="72"/>
      <c r="I444" s="72"/>
      <c r="J444" s="72"/>
      <c r="K444" s="72"/>
    </row>
    <row r="445" spans="1:11">
      <c r="A445" s="72"/>
      <c r="B445" s="72"/>
      <c r="C445" s="72"/>
      <c r="D445" s="72"/>
      <c r="E445" s="72"/>
      <c r="F445" s="72"/>
      <c r="G445" s="72"/>
      <c r="H445" s="72"/>
      <c r="I445" s="72"/>
      <c r="J445" s="72"/>
      <c r="K445" s="72"/>
    </row>
    <row r="446" spans="1:11">
      <c r="A446" s="72"/>
      <c r="B446" s="72"/>
      <c r="C446" s="72"/>
      <c r="D446" s="72"/>
      <c r="E446" s="72"/>
      <c r="F446" s="72"/>
      <c r="G446" s="72"/>
      <c r="H446" s="72"/>
      <c r="I446" s="72"/>
      <c r="J446" s="72"/>
      <c r="K446" s="72"/>
    </row>
    <row r="447" spans="1:11">
      <c r="A447" s="72"/>
      <c r="B447" s="72"/>
      <c r="C447" s="72"/>
      <c r="D447" s="72"/>
      <c r="E447" s="72"/>
      <c r="F447" s="72"/>
      <c r="G447" s="72"/>
      <c r="H447" s="72"/>
      <c r="I447" s="72"/>
      <c r="J447" s="72"/>
      <c r="K447" s="72"/>
    </row>
    <row r="448" spans="1:11">
      <c r="A448" s="72"/>
      <c r="B448" s="72"/>
      <c r="C448" s="72"/>
      <c r="D448" s="72"/>
      <c r="E448" s="72"/>
      <c r="F448" s="72"/>
      <c r="G448" s="72"/>
      <c r="H448" s="72"/>
      <c r="I448" s="72"/>
      <c r="J448" s="72"/>
      <c r="K448" s="72"/>
    </row>
    <row r="449" spans="1:11">
      <c r="A449" s="72"/>
      <c r="B449" s="72"/>
      <c r="C449" s="72"/>
      <c r="D449" s="72"/>
      <c r="E449" s="72"/>
      <c r="F449" s="72"/>
      <c r="G449" s="72"/>
      <c r="H449" s="72"/>
      <c r="I449" s="72"/>
      <c r="J449" s="72"/>
      <c r="K449" s="72"/>
    </row>
    <row r="450" spans="1:11">
      <c r="A450" s="72"/>
      <c r="B450" s="72"/>
      <c r="C450" s="72"/>
      <c r="D450" s="72"/>
      <c r="E450" s="72"/>
      <c r="F450" s="72"/>
      <c r="G450" s="72"/>
      <c r="H450" s="72"/>
      <c r="I450" s="72"/>
      <c r="J450" s="72"/>
      <c r="K450" s="72"/>
    </row>
    <row r="451" spans="1:11">
      <c r="A451" s="72"/>
      <c r="B451" s="72"/>
      <c r="C451" s="72"/>
      <c r="D451" s="72"/>
      <c r="E451" s="72"/>
      <c r="F451" s="72"/>
      <c r="G451" s="72"/>
      <c r="H451" s="72"/>
      <c r="I451" s="72"/>
      <c r="J451" s="72"/>
      <c r="K451" s="72"/>
    </row>
    <row r="452" spans="1:11">
      <c r="A452" s="72"/>
      <c r="B452" s="72"/>
      <c r="C452" s="72"/>
      <c r="D452" s="72"/>
      <c r="E452" s="72"/>
      <c r="F452" s="72"/>
      <c r="G452" s="72"/>
      <c r="H452" s="72"/>
      <c r="I452" s="72"/>
      <c r="J452" s="72"/>
      <c r="K452" s="72"/>
    </row>
    <row r="453" spans="1:11">
      <c r="A453" s="72"/>
      <c r="B453" s="72"/>
      <c r="C453" s="72"/>
      <c r="D453" s="72"/>
      <c r="E453" s="72"/>
      <c r="F453" s="72"/>
      <c r="G453" s="72"/>
      <c r="H453" s="72"/>
      <c r="I453" s="72"/>
      <c r="J453" s="72"/>
      <c r="K453" s="72"/>
    </row>
    <row r="454" spans="1:11">
      <c r="A454" s="72"/>
      <c r="B454" s="72"/>
      <c r="C454" s="72"/>
      <c r="D454" s="72"/>
      <c r="E454" s="72"/>
      <c r="F454" s="72"/>
      <c r="G454" s="72"/>
      <c r="H454" s="72"/>
      <c r="I454" s="72"/>
      <c r="J454" s="72"/>
      <c r="K454" s="72"/>
    </row>
    <row r="455" spans="1:11">
      <c r="A455" s="72"/>
      <c r="B455" s="72"/>
      <c r="C455" s="72"/>
      <c r="D455" s="72"/>
      <c r="E455" s="72"/>
      <c r="F455" s="72"/>
      <c r="G455" s="72"/>
      <c r="H455" s="72"/>
      <c r="I455" s="72"/>
      <c r="J455" s="72"/>
      <c r="K455" s="72"/>
    </row>
    <row r="456" spans="1:11">
      <c r="A456" s="72"/>
      <c r="B456" s="72"/>
      <c r="C456" s="72"/>
      <c r="D456" s="72"/>
      <c r="E456" s="72"/>
      <c r="F456" s="72"/>
      <c r="G456" s="72"/>
      <c r="H456" s="72"/>
      <c r="I456" s="72"/>
      <c r="J456" s="72"/>
      <c r="K456" s="72"/>
    </row>
    <row r="457" spans="1:11">
      <c r="A457" s="72"/>
      <c r="B457" s="72"/>
      <c r="C457" s="72"/>
      <c r="D457" s="72"/>
      <c r="E457" s="72"/>
      <c r="F457" s="72"/>
      <c r="G457" s="72"/>
      <c r="H457" s="72"/>
      <c r="I457" s="72"/>
      <c r="J457" s="72"/>
      <c r="K457" s="72"/>
    </row>
    <row r="458" spans="1:11">
      <c r="A458" s="72"/>
      <c r="B458" s="72"/>
      <c r="C458" s="72"/>
      <c r="D458" s="72"/>
      <c r="E458" s="72"/>
      <c r="F458" s="72"/>
      <c r="G458" s="72"/>
      <c r="H458" s="72"/>
      <c r="I458" s="72"/>
      <c r="J458" s="72"/>
      <c r="K458" s="72"/>
    </row>
    <row r="459" spans="1:11">
      <c r="A459" s="72"/>
      <c r="B459" s="72"/>
      <c r="C459" s="72"/>
      <c r="D459" s="72"/>
      <c r="E459" s="72"/>
      <c r="F459" s="72"/>
      <c r="G459" s="72"/>
      <c r="H459" s="72"/>
      <c r="I459" s="72"/>
      <c r="J459" s="72"/>
      <c r="K459" s="72"/>
    </row>
    <row r="460" spans="1:11">
      <c r="A460" s="72"/>
      <c r="B460" s="72"/>
      <c r="C460" s="72"/>
      <c r="D460" s="72"/>
      <c r="E460" s="72"/>
      <c r="F460" s="72"/>
      <c r="G460" s="72"/>
      <c r="H460" s="72"/>
      <c r="I460" s="72"/>
      <c r="J460" s="72"/>
      <c r="K460" s="72"/>
    </row>
    <row r="461" spans="1:11">
      <c r="A461" s="72"/>
      <c r="B461" s="72"/>
      <c r="C461" s="72"/>
      <c r="D461" s="72"/>
      <c r="E461" s="72"/>
      <c r="F461" s="72"/>
      <c r="G461" s="72"/>
      <c r="H461" s="72"/>
      <c r="I461" s="72"/>
      <c r="J461" s="72"/>
      <c r="K461" s="72"/>
    </row>
    <row r="462" spans="1:11">
      <c r="A462" s="72"/>
      <c r="B462" s="72"/>
      <c r="C462" s="72"/>
      <c r="D462" s="72"/>
      <c r="E462" s="72"/>
      <c r="F462" s="72"/>
      <c r="G462" s="72"/>
      <c r="H462" s="72"/>
      <c r="I462" s="72"/>
      <c r="J462" s="72"/>
      <c r="K462" s="72"/>
    </row>
    <row r="463" spans="1:11">
      <c r="A463" s="72"/>
      <c r="B463" s="72"/>
      <c r="C463" s="72"/>
      <c r="D463" s="72"/>
      <c r="E463" s="72"/>
      <c r="F463" s="72"/>
      <c r="G463" s="72"/>
      <c r="H463" s="72"/>
      <c r="I463" s="72"/>
      <c r="J463" s="72"/>
      <c r="K463" s="72"/>
    </row>
    <row r="464" spans="1:11">
      <c r="A464" s="72"/>
      <c r="B464" s="72"/>
      <c r="C464" s="72"/>
      <c r="D464" s="72"/>
      <c r="E464" s="72"/>
      <c r="F464" s="72"/>
      <c r="G464" s="72"/>
      <c r="H464" s="72"/>
      <c r="I464" s="72"/>
      <c r="J464" s="72"/>
      <c r="K464" s="72"/>
    </row>
    <row r="465" spans="1:11">
      <c r="A465" s="72"/>
      <c r="B465" s="72"/>
      <c r="C465" s="72"/>
      <c r="D465" s="72"/>
      <c r="E465" s="72"/>
      <c r="F465" s="72"/>
      <c r="G465" s="72"/>
      <c r="H465" s="72"/>
      <c r="I465" s="72"/>
      <c r="J465" s="72"/>
      <c r="K465" s="72"/>
    </row>
    <row r="466" spans="1:11">
      <c r="A466" s="72"/>
      <c r="B466" s="72"/>
      <c r="C466" s="72"/>
      <c r="D466" s="72"/>
      <c r="E466" s="72"/>
      <c r="F466" s="72"/>
      <c r="G466" s="72"/>
      <c r="H466" s="72"/>
      <c r="I466" s="72"/>
      <c r="J466" s="72"/>
      <c r="K466" s="72"/>
    </row>
    <row r="467" spans="1:11">
      <c r="A467" s="72"/>
      <c r="B467" s="72"/>
      <c r="C467" s="72"/>
      <c r="D467" s="72"/>
      <c r="E467" s="72"/>
      <c r="F467" s="72"/>
      <c r="G467" s="72"/>
      <c r="H467" s="72"/>
      <c r="I467" s="72"/>
      <c r="J467" s="72"/>
      <c r="K467" s="72"/>
    </row>
    <row r="468" spans="1:11">
      <c r="A468" s="72"/>
      <c r="B468" s="72"/>
      <c r="C468" s="72"/>
      <c r="D468" s="72"/>
      <c r="E468" s="72"/>
      <c r="F468" s="72"/>
      <c r="G468" s="72"/>
      <c r="H468" s="72"/>
      <c r="I468" s="72"/>
      <c r="J468" s="72"/>
      <c r="K468" s="72"/>
    </row>
    <row r="469" spans="1:11">
      <c r="A469" s="72"/>
      <c r="B469" s="72"/>
      <c r="C469" s="72"/>
      <c r="D469" s="72"/>
      <c r="E469" s="72"/>
      <c r="F469" s="72"/>
      <c r="G469" s="72"/>
      <c r="H469" s="72"/>
      <c r="I469" s="72"/>
      <c r="J469" s="72"/>
      <c r="K469" s="72"/>
    </row>
    <row r="470" spans="1:11">
      <c r="A470" s="72"/>
      <c r="B470" s="72"/>
      <c r="C470" s="72"/>
      <c r="D470" s="72"/>
      <c r="E470" s="72"/>
      <c r="F470" s="72"/>
      <c r="G470" s="72"/>
      <c r="H470" s="72"/>
      <c r="I470" s="72"/>
      <c r="J470" s="72"/>
      <c r="K470" s="72"/>
    </row>
    <row r="471" spans="1:11">
      <c r="A471" s="72"/>
      <c r="B471" s="72"/>
      <c r="C471" s="72"/>
      <c r="D471" s="72"/>
      <c r="E471" s="72"/>
      <c r="F471" s="72"/>
      <c r="G471" s="72"/>
      <c r="H471" s="72"/>
      <c r="I471" s="72"/>
      <c r="J471" s="72"/>
      <c r="K471" s="72"/>
    </row>
    <row r="472" spans="1:11">
      <c r="A472" s="72"/>
      <c r="B472" s="72"/>
      <c r="C472" s="72"/>
      <c r="D472" s="72"/>
      <c r="E472" s="72"/>
      <c r="F472" s="72"/>
      <c r="G472" s="72"/>
      <c r="H472" s="72"/>
      <c r="I472" s="72"/>
      <c r="J472" s="72"/>
      <c r="K472" s="72"/>
    </row>
    <row r="473" spans="1:11">
      <c r="A473" s="72"/>
      <c r="B473" s="72"/>
      <c r="C473" s="72"/>
      <c r="D473" s="72"/>
      <c r="E473" s="72"/>
      <c r="F473" s="72"/>
      <c r="G473" s="72"/>
      <c r="H473" s="72"/>
      <c r="I473" s="72"/>
      <c r="J473" s="72"/>
      <c r="K473" s="72"/>
    </row>
    <row r="474" spans="1:11">
      <c r="A474" s="72"/>
      <c r="B474" s="72"/>
      <c r="C474" s="72"/>
      <c r="D474" s="72"/>
      <c r="E474" s="72"/>
      <c r="F474" s="72"/>
      <c r="G474" s="72"/>
      <c r="H474" s="72"/>
      <c r="I474" s="72"/>
      <c r="J474" s="72"/>
      <c r="K474" s="72"/>
    </row>
    <row r="475" spans="1:11">
      <c r="A475" s="72"/>
      <c r="B475" s="72"/>
      <c r="C475" s="72"/>
      <c r="D475" s="72"/>
      <c r="E475" s="72"/>
      <c r="F475" s="72"/>
      <c r="G475" s="72"/>
      <c r="H475" s="72"/>
      <c r="I475" s="72"/>
      <c r="J475" s="72"/>
      <c r="K475" s="72"/>
    </row>
    <row r="476" spans="1:11">
      <c r="A476" s="72"/>
      <c r="B476" s="72"/>
      <c r="C476" s="72"/>
      <c r="D476" s="72"/>
      <c r="E476" s="72"/>
      <c r="F476" s="72"/>
      <c r="G476" s="72"/>
      <c r="H476" s="72"/>
      <c r="I476" s="72"/>
      <c r="J476" s="72"/>
      <c r="K476" s="72"/>
    </row>
    <row r="477" spans="1:11">
      <c r="A477" s="72"/>
      <c r="B477" s="72"/>
      <c r="C477" s="72"/>
      <c r="D477" s="72"/>
      <c r="E477" s="72"/>
      <c r="F477" s="72"/>
      <c r="G477" s="72"/>
      <c r="H477" s="72"/>
      <c r="I477" s="72"/>
      <c r="J477" s="72"/>
      <c r="K477" s="72"/>
    </row>
    <row r="478" spans="1:11">
      <c r="A478" s="72"/>
      <c r="B478" s="72"/>
      <c r="C478" s="72"/>
      <c r="D478" s="72"/>
      <c r="E478" s="72"/>
      <c r="F478" s="72"/>
      <c r="G478" s="72"/>
      <c r="H478" s="72"/>
      <c r="I478" s="72"/>
      <c r="J478" s="72"/>
      <c r="K478" s="72"/>
    </row>
    <row r="479" spans="1:11">
      <c r="A479" s="72"/>
      <c r="B479" s="72"/>
      <c r="C479" s="72"/>
      <c r="D479" s="72"/>
      <c r="E479" s="72"/>
      <c r="F479" s="72"/>
      <c r="G479" s="72"/>
      <c r="H479" s="72"/>
      <c r="I479" s="72"/>
      <c r="J479" s="72"/>
      <c r="K479" s="72"/>
    </row>
    <row r="480" spans="1:11">
      <c r="A480" s="72"/>
      <c r="B480" s="72"/>
      <c r="C480" s="72"/>
      <c r="D480" s="72"/>
      <c r="E480" s="72"/>
      <c r="F480" s="72"/>
      <c r="G480" s="72"/>
      <c r="H480" s="72"/>
      <c r="I480" s="72"/>
      <c r="J480" s="72"/>
      <c r="K480" s="72"/>
    </row>
    <row r="481" spans="1:11">
      <c r="A481" s="72"/>
      <c r="B481" s="72"/>
      <c r="C481" s="72"/>
      <c r="D481" s="72"/>
      <c r="E481" s="72"/>
      <c r="F481" s="72"/>
      <c r="G481" s="72"/>
      <c r="H481" s="72"/>
      <c r="I481" s="72"/>
      <c r="J481" s="72"/>
      <c r="K481" s="72"/>
    </row>
    <row r="482" spans="1:11">
      <c r="A482" s="72"/>
      <c r="B482" s="72"/>
      <c r="C482" s="72"/>
      <c r="D482" s="72"/>
      <c r="E482" s="72"/>
      <c r="F482" s="72"/>
      <c r="G482" s="72"/>
      <c r="H482" s="72"/>
      <c r="I482" s="72"/>
      <c r="J482" s="72"/>
      <c r="K482" s="72"/>
    </row>
    <row r="483" spans="1:11">
      <c r="A483" s="72"/>
      <c r="B483" s="72"/>
      <c r="C483" s="72"/>
      <c r="D483" s="72"/>
      <c r="E483" s="72"/>
      <c r="F483" s="72"/>
      <c r="G483" s="72"/>
      <c r="H483" s="72"/>
      <c r="I483" s="72"/>
      <c r="J483" s="72"/>
      <c r="K483" s="72"/>
    </row>
    <row r="484" spans="1:11">
      <c r="A484" s="72"/>
      <c r="B484" s="72"/>
      <c r="C484" s="72"/>
      <c r="D484" s="72"/>
      <c r="E484" s="72"/>
      <c r="F484" s="72"/>
      <c r="G484" s="72"/>
      <c r="H484" s="72"/>
      <c r="I484" s="72"/>
      <c r="J484" s="72"/>
      <c r="K484" s="72"/>
    </row>
    <row r="485" spans="1:11">
      <c r="A485" s="72"/>
      <c r="B485" s="72"/>
      <c r="C485" s="72"/>
      <c r="D485" s="72"/>
      <c r="E485" s="72"/>
      <c r="F485" s="72"/>
      <c r="G485" s="72"/>
      <c r="H485" s="72"/>
      <c r="I485" s="72"/>
      <c r="J485" s="72"/>
      <c r="K485" s="72"/>
    </row>
    <row r="486" spans="1:11">
      <c r="A486" s="72"/>
      <c r="B486" s="72"/>
      <c r="C486" s="72"/>
      <c r="D486" s="72"/>
      <c r="E486" s="72"/>
      <c r="F486" s="72"/>
      <c r="G486" s="72"/>
      <c r="H486" s="72"/>
      <c r="I486" s="72"/>
      <c r="J486" s="72"/>
      <c r="K486" s="72"/>
    </row>
    <row r="487" spans="1:11">
      <c r="A487" s="72"/>
      <c r="B487" s="72"/>
      <c r="C487" s="72"/>
      <c r="D487" s="72"/>
      <c r="E487" s="72"/>
      <c r="F487" s="72"/>
      <c r="G487" s="72"/>
      <c r="H487" s="72"/>
      <c r="I487" s="72"/>
      <c r="J487" s="72"/>
      <c r="K487" s="72"/>
    </row>
    <row r="488" spans="1:11">
      <c r="A488" s="72"/>
      <c r="B488" s="72"/>
      <c r="C488" s="72"/>
      <c r="D488" s="72"/>
      <c r="E488" s="72"/>
      <c r="F488" s="72"/>
      <c r="G488" s="72"/>
      <c r="H488" s="72"/>
      <c r="I488" s="72"/>
      <c r="J488" s="72"/>
      <c r="K488" s="72"/>
    </row>
    <row r="489" spans="1:11">
      <c r="A489" s="72"/>
      <c r="B489" s="72"/>
      <c r="C489" s="72"/>
      <c r="D489" s="72"/>
      <c r="E489" s="72"/>
      <c r="F489" s="72"/>
      <c r="G489" s="72"/>
      <c r="H489" s="72"/>
      <c r="I489" s="72"/>
      <c r="J489" s="72"/>
      <c r="K489" s="72"/>
    </row>
    <row r="490" spans="1:11">
      <c r="A490" s="72"/>
      <c r="B490" s="72"/>
      <c r="C490" s="72"/>
      <c r="D490" s="72"/>
      <c r="E490" s="72"/>
      <c r="F490" s="72"/>
      <c r="G490" s="72"/>
      <c r="H490" s="72"/>
      <c r="I490" s="72"/>
      <c r="J490" s="72"/>
      <c r="K490" s="72"/>
    </row>
    <row r="491" spans="1:11">
      <c r="A491" s="72"/>
      <c r="B491" s="72"/>
      <c r="C491" s="72"/>
      <c r="D491" s="72"/>
      <c r="E491" s="72"/>
      <c r="F491" s="72"/>
      <c r="G491" s="72"/>
      <c r="H491" s="72"/>
      <c r="I491" s="72"/>
      <c r="J491" s="72"/>
      <c r="K491" s="72"/>
    </row>
    <row r="492" spans="1:11">
      <c r="A492" s="72"/>
      <c r="B492" s="72"/>
      <c r="C492" s="72"/>
      <c r="D492" s="72"/>
      <c r="E492" s="72"/>
      <c r="F492" s="72"/>
      <c r="G492" s="72"/>
      <c r="H492" s="72"/>
      <c r="I492" s="72"/>
      <c r="J492" s="72"/>
      <c r="K492" s="72"/>
    </row>
    <row r="493" spans="1:11">
      <c r="A493" s="72"/>
      <c r="B493" s="72"/>
      <c r="C493" s="72"/>
      <c r="D493" s="72"/>
      <c r="E493" s="72"/>
      <c r="F493" s="72"/>
      <c r="G493" s="72"/>
      <c r="H493" s="72"/>
      <c r="I493" s="72"/>
      <c r="J493" s="72"/>
      <c r="K493" s="72"/>
    </row>
    <row r="494" spans="1:11">
      <c r="A494" s="72"/>
      <c r="B494" s="72"/>
      <c r="C494" s="72"/>
      <c r="D494" s="72"/>
      <c r="E494" s="72"/>
      <c r="F494" s="72"/>
      <c r="G494" s="72"/>
      <c r="H494" s="72"/>
      <c r="I494" s="72"/>
      <c r="J494" s="72"/>
      <c r="K494" s="72"/>
    </row>
    <row r="495" spans="1:11">
      <c r="A495" s="72"/>
      <c r="B495" s="72"/>
      <c r="C495" s="72"/>
      <c r="D495" s="72"/>
      <c r="E495" s="72"/>
      <c r="F495" s="72"/>
      <c r="G495" s="72"/>
      <c r="H495" s="72"/>
      <c r="I495" s="72"/>
      <c r="J495" s="72"/>
      <c r="K495" s="72"/>
    </row>
    <row r="496" spans="1:11">
      <c r="A496" s="72"/>
      <c r="B496" s="72"/>
      <c r="C496" s="72"/>
      <c r="D496" s="72"/>
      <c r="E496" s="72"/>
      <c r="F496" s="72"/>
      <c r="G496" s="72"/>
      <c r="H496" s="72"/>
      <c r="I496" s="72"/>
      <c r="J496" s="72"/>
      <c r="K496" s="72"/>
    </row>
    <row r="497" spans="1:11">
      <c r="A497" s="72"/>
      <c r="B497" s="72"/>
      <c r="C497" s="72"/>
      <c r="D497" s="72"/>
      <c r="E497" s="72"/>
      <c r="F497" s="72"/>
      <c r="G497" s="72"/>
      <c r="H497" s="72"/>
      <c r="I497" s="72"/>
      <c r="J497" s="72"/>
      <c r="K497" s="72"/>
    </row>
    <row r="498" spans="1:11">
      <c r="A498" s="72"/>
      <c r="B498" s="72"/>
      <c r="C498" s="72"/>
      <c r="D498" s="72"/>
      <c r="E498" s="72"/>
      <c r="F498" s="72"/>
      <c r="G498" s="72"/>
      <c r="H498" s="72"/>
      <c r="I498" s="72"/>
      <c r="J498" s="72"/>
      <c r="K498" s="72"/>
    </row>
    <row r="499" spans="1:11">
      <c r="A499" s="72"/>
      <c r="B499" s="72"/>
      <c r="C499" s="72"/>
      <c r="D499" s="72"/>
      <c r="E499" s="72"/>
      <c r="F499" s="72"/>
      <c r="G499" s="72"/>
      <c r="H499" s="72"/>
      <c r="I499" s="72"/>
      <c r="J499" s="72"/>
      <c r="K499" s="72"/>
    </row>
    <row r="500" spans="1:11">
      <c r="A500" s="72"/>
      <c r="B500" s="72"/>
      <c r="C500" s="72"/>
      <c r="D500" s="72"/>
      <c r="E500" s="72"/>
      <c r="F500" s="72"/>
      <c r="G500" s="72"/>
      <c r="H500" s="72"/>
      <c r="I500" s="72"/>
      <c r="J500" s="72"/>
      <c r="K500" s="72"/>
    </row>
    <row r="501" spans="1:11">
      <c r="A501" s="72"/>
      <c r="B501" s="72"/>
      <c r="C501" s="72"/>
      <c r="D501" s="72"/>
      <c r="E501" s="72"/>
      <c r="F501" s="72"/>
      <c r="G501" s="72"/>
      <c r="H501" s="72"/>
      <c r="I501" s="72"/>
      <c r="J501" s="72"/>
      <c r="K501" s="72"/>
    </row>
    <row r="502" spans="1:11">
      <c r="A502" s="72"/>
      <c r="B502" s="72"/>
      <c r="C502" s="72"/>
      <c r="D502" s="72"/>
      <c r="E502" s="72"/>
      <c r="F502" s="72"/>
      <c r="G502" s="72"/>
      <c r="H502" s="72"/>
      <c r="I502" s="72"/>
      <c r="J502" s="72"/>
      <c r="K502" s="72"/>
    </row>
    <row r="503" spans="1:11">
      <c r="A503" s="72"/>
      <c r="B503" s="72"/>
      <c r="C503" s="72"/>
      <c r="D503" s="72"/>
      <c r="E503" s="72"/>
      <c r="F503" s="72"/>
      <c r="G503" s="72"/>
      <c r="H503" s="72"/>
      <c r="I503" s="72"/>
      <c r="J503" s="72"/>
      <c r="K503" s="72"/>
    </row>
    <row r="504" spans="1:11">
      <c r="A504" s="72"/>
      <c r="B504" s="72"/>
      <c r="C504" s="72"/>
      <c r="D504" s="72"/>
      <c r="E504" s="72"/>
      <c r="F504" s="72"/>
      <c r="G504" s="72"/>
      <c r="H504" s="72"/>
      <c r="I504" s="72"/>
      <c r="J504" s="72"/>
      <c r="K504" s="72"/>
    </row>
    <row r="505" spans="1:11">
      <c r="A505" s="72"/>
      <c r="B505" s="72"/>
      <c r="C505" s="72"/>
      <c r="D505" s="72"/>
      <c r="E505" s="72"/>
      <c r="F505" s="72"/>
      <c r="G505" s="72"/>
      <c r="H505" s="72"/>
      <c r="I505" s="72"/>
      <c r="J505" s="72"/>
      <c r="K505" s="72"/>
    </row>
    <row r="506" spans="1:11">
      <c r="A506" s="72"/>
      <c r="B506" s="72"/>
      <c r="C506" s="72"/>
      <c r="D506" s="72"/>
      <c r="E506" s="72"/>
      <c r="F506" s="72"/>
      <c r="G506" s="72"/>
      <c r="H506" s="72"/>
      <c r="I506" s="72"/>
      <c r="J506" s="72"/>
      <c r="K506" s="72"/>
    </row>
    <row r="507" spans="1:11">
      <c r="A507" s="72"/>
      <c r="B507" s="72"/>
      <c r="C507" s="72"/>
      <c r="D507" s="72"/>
      <c r="E507" s="72"/>
      <c r="F507" s="72"/>
      <c r="G507" s="72"/>
      <c r="H507" s="72"/>
      <c r="I507" s="72"/>
      <c r="J507" s="72"/>
      <c r="K507" s="72"/>
    </row>
    <row r="508" spans="1:11">
      <c r="A508" s="72"/>
      <c r="B508" s="72"/>
      <c r="C508" s="72"/>
      <c r="D508" s="72"/>
      <c r="E508" s="72"/>
      <c r="F508" s="72"/>
      <c r="G508" s="72"/>
      <c r="H508" s="72"/>
      <c r="I508" s="72"/>
      <c r="J508" s="72"/>
      <c r="K508" s="72"/>
    </row>
    <row r="509" spans="1:11">
      <c r="A509" s="72"/>
      <c r="B509" s="72"/>
      <c r="C509" s="72"/>
      <c r="D509" s="72"/>
      <c r="E509" s="72"/>
      <c r="F509" s="72"/>
      <c r="G509" s="72"/>
      <c r="H509" s="72"/>
      <c r="I509" s="72"/>
      <c r="J509" s="72"/>
      <c r="K509" s="72"/>
    </row>
    <row r="510" spans="1:11">
      <c r="A510" s="72"/>
      <c r="B510" s="72"/>
      <c r="C510" s="72"/>
      <c r="D510" s="72"/>
      <c r="E510" s="72"/>
      <c r="F510" s="72"/>
      <c r="G510" s="72"/>
      <c r="H510" s="72"/>
      <c r="I510" s="72"/>
      <c r="J510" s="72"/>
      <c r="K510" s="72"/>
    </row>
    <row r="511" spans="1:11">
      <c r="A511" s="72"/>
      <c r="B511" s="72"/>
      <c r="C511" s="72"/>
      <c r="D511" s="72"/>
      <c r="E511" s="72"/>
      <c r="F511" s="72"/>
      <c r="G511" s="72"/>
      <c r="H511" s="72"/>
      <c r="I511" s="72"/>
      <c r="J511" s="72"/>
      <c r="K511" s="72"/>
    </row>
    <row r="512" spans="1:11">
      <c r="A512" s="72"/>
      <c r="B512" s="72"/>
      <c r="C512" s="72"/>
      <c r="D512" s="72"/>
      <c r="E512" s="72"/>
      <c r="F512" s="72"/>
      <c r="G512" s="72"/>
      <c r="H512" s="72"/>
      <c r="I512" s="72"/>
      <c r="J512" s="72"/>
      <c r="K512" s="72"/>
    </row>
    <row r="513" spans="1:11">
      <c r="A513" s="72"/>
      <c r="B513" s="72"/>
      <c r="C513" s="72"/>
      <c r="D513" s="72"/>
      <c r="E513" s="72"/>
      <c r="F513" s="72"/>
      <c r="G513" s="72"/>
      <c r="H513" s="72"/>
      <c r="I513" s="72"/>
      <c r="J513" s="72"/>
      <c r="K513" s="72"/>
    </row>
    <row r="514" spans="1:11">
      <c r="A514" s="72"/>
      <c r="B514" s="72"/>
      <c r="C514" s="72"/>
      <c r="D514" s="72"/>
      <c r="E514" s="72"/>
      <c r="F514" s="72"/>
      <c r="G514" s="72"/>
      <c r="H514" s="72"/>
      <c r="I514" s="72"/>
      <c r="J514" s="72"/>
      <c r="K514" s="72"/>
    </row>
    <row r="515" spans="1:11">
      <c r="A515" s="72"/>
      <c r="B515" s="72"/>
      <c r="C515" s="72"/>
      <c r="D515" s="72"/>
      <c r="E515" s="72"/>
      <c r="F515" s="72"/>
      <c r="G515" s="72"/>
      <c r="H515" s="72"/>
      <c r="I515" s="72"/>
      <c r="J515" s="72"/>
      <c r="K515" s="72"/>
    </row>
    <row r="516" spans="1:11">
      <c r="A516" s="72"/>
      <c r="B516" s="72"/>
      <c r="C516" s="72"/>
      <c r="D516" s="72"/>
      <c r="E516" s="72"/>
      <c r="F516" s="72"/>
      <c r="G516" s="72"/>
      <c r="H516" s="72"/>
      <c r="I516" s="72"/>
      <c r="J516" s="72"/>
      <c r="K516" s="72"/>
    </row>
    <row r="517" spans="1:11">
      <c r="A517" s="72"/>
      <c r="B517" s="72"/>
      <c r="C517" s="72"/>
      <c r="D517" s="72"/>
      <c r="E517" s="72"/>
      <c r="F517" s="72"/>
      <c r="G517" s="72"/>
      <c r="H517" s="72"/>
      <c r="I517" s="72"/>
      <c r="J517" s="72"/>
      <c r="K517" s="72"/>
    </row>
    <row r="518" spans="1:11">
      <c r="A518" s="72"/>
      <c r="B518" s="72"/>
      <c r="C518" s="72"/>
      <c r="D518" s="72"/>
      <c r="E518" s="72"/>
      <c r="F518" s="72"/>
      <c r="G518" s="72"/>
      <c r="H518" s="72"/>
      <c r="I518" s="72"/>
      <c r="J518" s="72"/>
      <c r="K518" s="72"/>
    </row>
    <row r="519" spans="1:11">
      <c r="A519" s="72"/>
      <c r="B519" s="72"/>
      <c r="C519" s="72"/>
      <c r="D519" s="72"/>
      <c r="E519" s="72"/>
      <c r="F519" s="72"/>
      <c r="G519" s="72"/>
      <c r="H519" s="72"/>
      <c r="I519" s="72"/>
      <c r="J519" s="72"/>
      <c r="K519" s="72"/>
    </row>
    <row r="520" spans="1:11">
      <c r="A520" s="72"/>
      <c r="B520" s="72"/>
      <c r="C520" s="72"/>
      <c r="D520" s="72"/>
      <c r="E520" s="72"/>
      <c r="F520" s="72"/>
      <c r="G520" s="72"/>
      <c r="H520" s="72"/>
      <c r="I520" s="72"/>
      <c r="J520" s="72"/>
      <c r="K520" s="72"/>
    </row>
    <row r="521" spans="1:11">
      <c r="A521" s="72"/>
      <c r="B521" s="72"/>
      <c r="C521" s="72"/>
      <c r="D521" s="72"/>
      <c r="E521" s="72"/>
      <c r="F521" s="72"/>
      <c r="G521" s="72"/>
      <c r="H521" s="72"/>
      <c r="I521" s="72"/>
      <c r="J521" s="72"/>
      <c r="K521" s="72"/>
    </row>
    <row r="522" spans="1:11">
      <c r="A522" s="72"/>
      <c r="B522" s="72"/>
      <c r="C522" s="72"/>
      <c r="D522" s="72"/>
      <c r="E522" s="72"/>
      <c r="F522" s="72"/>
      <c r="G522" s="72"/>
      <c r="H522" s="72"/>
      <c r="I522" s="72"/>
      <c r="J522" s="72"/>
      <c r="K522" s="72"/>
    </row>
    <row r="523" spans="1:11">
      <c r="A523" s="72"/>
      <c r="B523" s="72"/>
      <c r="C523" s="72"/>
      <c r="D523" s="72"/>
      <c r="E523" s="72"/>
      <c r="F523" s="72"/>
      <c r="G523" s="72"/>
      <c r="H523" s="72"/>
      <c r="I523" s="72"/>
      <c r="J523" s="72"/>
      <c r="K523" s="72"/>
    </row>
    <row r="524" spans="1:11">
      <c r="A524" s="72"/>
      <c r="B524" s="72"/>
      <c r="C524" s="72"/>
      <c r="D524" s="72"/>
      <c r="E524" s="72"/>
      <c r="F524" s="72"/>
      <c r="G524" s="72"/>
      <c r="H524" s="72"/>
      <c r="I524" s="72"/>
      <c r="J524" s="72"/>
      <c r="K524" s="72"/>
    </row>
    <row r="525" spans="1:11">
      <c r="A525" s="72"/>
      <c r="B525" s="72"/>
      <c r="C525" s="72"/>
      <c r="D525" s="72"/>
      <c r="E525" s="72"/>
      <c r="F525" s="72"/>
      <c r="G525" s="72"/>
      <c r="H525" s="72"/>
      <c r="I525" s="72"/>
      <c r="J525" s="72"/>
      <c r="K525" s="72"/>
    </row>
    <row r="526" spans="1:11">
      <c r="A526" s="72"/>
      <c r="B526" s="72"/>
      <c r="C526" s="72"/>
      <c r="D526" s="72"/>
      <c r="E526" s="72"/>
      <c r="F526" s="72"/>
      <c r="G526" s="72"/>
      <c r="H526" s="72"/>
      <c r="I526" s="72"/>
      <c r="J526" s="72"/>
      <c r="K526" s="72"/>
    </row>
    <row r="527" spans="1:11">
      <c r="A527" s="72"/>
      <c r="B527" s="72"/>
      <c r="C527" s="72"/>
      <c r="D527" s="72"/>
      <c r="E527" s="72"/>
      <c r="F527" s="72"/>
      <c r="G527" s="72"/>
      <c r="H527" s="72"/>
      <c r="I527" s="72"/>
      <c r="J527" s="72"/>
      <c r="K527" s="72"/>
    </row>
    <row r="528" spans="1:11">
      <c r="A528" s="72"/>
      <c r="B528" s="72"/>
      <c r="C528" s="72"/>
      <c r="D528" s="72"/>
      <c r="E528" s="72"/>
      <c r="F528" s="72"/>
      <c r="G528" s="72"/>
      <c r="H528" s="72"/>
      <c r="I528" s="72"/>
      <c r="J528" s="72"/>
      <c r="K528" s="72"/>
    </row>
    <row r="529" spans="1:11">
      <c r="A529" s="72"/>
      <c r="B529" s="72"/>
      <c r="C529" s="72"/>
      <c r="D529" s="72"/>
      <c r="E529" s="72"/>
      <c r="F529" s="72"/>
      <c r="G529" s="72"/>
      <c r="H529" s="72"/>
      <c r="I529" s="72"/>
      <c r="J529" s="72"/>
      <c r="K529" s="72"/>
    </row>
    <row r="530" spans="1:11">
      <c r="A530" s="72"/>
      <c r="B530" s="72"/>
      <c r="C530" s="72"/>
      <c r="D530" s="72"/>
      <c r="E530" s="72"/>
      <c r="F530" s="72"/>
      <c r="G530" s="72"/>
      <c r="H530" s="72"/>
      <c r="I530" s="72"/>
      <c r="J530" s="72"/>
      <c r="K530" s="72"/>
    </row>
    <row r="531" spans="1:11">
      <c r="A531" s="72"/>
      <c r="B531" s="72"/>
      <c r="C531" s="72"/>
      <c r="D531" s="72"/>
      <c r="E531" s="72"/>
      <c r="F531" s="72"/>
      <c r="G531" s="72"/>
      <c r="H531" s="72"/>
      <c r="I531" s="72"/>
      <c r="J531" s="72"/>
      <c r="K531" s="72"/>
    </row>
    <row r="532" spans="1:11">
      <c r="A532" s="72"/>
      <c r="B532" s="72"/>
      <c r="C532" s="72"/>
      <c r="D532" s="72"/>
      <c r="E532" s="72"/>
      <c r="F532" s="72"/>
      <c r="G532" s="72"/>
      <c r="H532" s="72"/>
      <c r="I532" s="72"/>
      <c r="J532" s="72"/>
      <c r="K532" s="72"/>
    </row>
    <row r="533" spans="1:11">
      <c r="A533" s="72"/>
      <c r="B533" s="72"/>
      <c r="C533" s="72"/>
      <c r="D533" s="72"/>
      <c r="E533" s="72"/>
      <c r="F533" s="72"/>
      <c r="G533" s="72"/>
      <c r="H533" s="72"/>
      <c r="I533" s="72"/>
      <c r="J533" s="72"/>
      <c r="K533" s="72"/>
    </row>
    <row r="534" spans="1:11">
      <c r="A534" s="72"/>
      <c r="B534" s="72"/>
      <c r="C534" s="72"/>
      <c r="D534" s="72"/>
      <c r="E534" s="72"/>
      <c r="F534" s="72"/>
      <c r="G534" s="72"/>
      <c r="H534" s="72"/>
      <c r="I534" s="72"/>
      <c r="J534" s="72"/>
      <c r="K534" s="72"/>
    </row>
    <row r="535" spans="1:11">
      <c r="A535" s="72"/>
      <c r="B535" s="72"/>
      <c r="C535" s="72"/>
      <c r="D535" s="72"/>
      <c r="E535" s="72"/>
      <c r="F535" s="72"/>
      <c r="G535" s="72"/>
      <c r="H535" s="72"/>
      <c r="I535" s="72"/>
      <c r="J535" s="72"/>
      <c r="K535" s="72"/>
    </row>
    <row r="536" spans="1:11">
      <c r="A536" s="72"/>
      <c r="B536" s="72"/>
      <c r="C536" s="72"/>
      <c r="D536" s="72"/>
      <c r="E536" s="72"/>
      <c r="F536" s="72"/>
      <c r="G536" s="72"/>
      <c r="H536" s="72"/>
      <c r="I536" s="72"/>
      <c r="J536" s="72"/>
      <c r="K536" s="72"/>
    </row>
    <row r="537" spans="1:11">
      <c r="A537" s="72"/>
      <c r="B537" s="72"/>
      <c r="C537" s="72"/>
      <c r="D537" s="72"/>
      <c r="E537" s="72"/>
      <c r="F537" s="72"/>
      <c r="G537" s="72"/>
      <c r="H537" s="72"/>
      <c r="I537" s="72"/>
      <c r="J537" s="72"/>
      <c r="K537" s="72"/>
    </row>
    <row r="538" spans="1:11">
      <c r="A538" s="72"/>
      <c r="B538" s="72"/>
      <c r="C538" s="72"/>
      <c r="D538" s="72"/>
      <c r="E538" s="72"/>
      <c r="F538" s="72"/>
      <c r="G538" s="72"/>
      <c r="H538" s="72"/>
      <c r="I538" s="72"/>
      <c r="J538" s="72"/>
      <c r="K538" s="72"/>
    </row>
    <row r="539" spans="1:11">
      <c r="A539" s="72"/>
      <c r="B539" s="72"/>
      <c r="C539" s="72"/>
      <c r="D539" s="72"/>
      <c r="E539" s="72"/>
      <c r="F539" s="72"/>
      <c r="G539" s="72"/>
      <c r="H539" s="72"/>
      <c r="I539" s="72"/>
      <c r="J539" s="72"/>
      <c r="K539" s="72"/>
    </row>
    <row r="540" spans="1:11">
      <c r="A540" s="72"/>
      <c r="B540" s="72"/>
      <c r="C540" s="72"/>
      <c r="D540" s="72"/>
      <c r="E540" s="72"/>
      <c r="F540" s="72"/>
      <c r="G540" s="72"/>
      <c r="H540" s="72"/>
      <c r="I540" s="72"/>
      <c r="J540" s="72"/>
      <c r="K540" s="72"/>
    </row>
    <row r="541" spans="1:11">
      <c r="A541" s="72"/>
      <c r="B541" s="72"/>
      <c r="C541" s="72"/>
      <c r="D541" s="72"/>
      <c r="E541" s="72"/>
      <c r="F541" s="72"/>
      <c r="G541" s="72"/>
      <c r="H541" s="72"/>
      <c r="I541" s="72"/>
      <c r="J541" s="72"/>
      <c r="K541" s="72"/>
    </row>
    <row r="542" spans="1:11">
      <c r="A542" s="72"/>
      <c r="B542" s="72"/>
      <c r="C542" s="72"/>
      <c r="D542" s="72"/>
      <c r="E542" s="72"/>
      <c r="F542" s="72"/>
      <c r="G542" s="72"/>
      <c r="H542" s="72"/>
      <c r="I542" s="72"/>
      <c r="J542" s="72"/>
      <c r="K542" s="72"/>
    </row>
    <row r="543" spans="1:11">
      <c r="A543" s="72"/>
      <c r="B543" s="72"/>
      <c r="C543" s="72"/>
      <c r="D543" s="72"/>
      <c r="E543" s="72"/>
      <c r="F543" s="72"/>
      <c r="G543" s="72"/>
      <c r="H543" s="72"/>
      <c r="I543" s="72"/>
      <c r="J543" s="72"/>
      <c r="K543" s="72"/>
    </row>
    <row r="544" spans="1:11">
      <c r="A544" s="72"/>
      <c r="B544" s="72"/>
      <c r="C544" s="72"/>
      <c r="D544" s="72"/>
      <c r="E544" s="72"/>
      <c r="F544" s="72"/>
      <c r="G544" s="72"/>
      <c r="H544" s="72"/>
      <c r="I544" s="72"/>
      <c r="J544" s="72"/>
      <c r="K544" s="72"/>
    </row>
    <row r="545" spans="1:11">
      <c r="A545" s="72"/>
      <c r="B545" s="72"/>
      <c r="C545" s="72"/>
      <c r="D545" s="72"/>
      <c r="E545" s="72"/>
      <c r="F545" s="72"/>
      <c r="G545" s="72"/>
      <c r="H545" s="72"/>
      <c r="I545" s="72"/>
      <c r="J545" s="72"/>
      <c r="K545" s="72"/>
    </row>
    <row r="546" spans="1:11">
      <c r="A546" s="72"/>
      <c r="B546" s="72"/>
      <c r="C546" s="72"/>
      <c r="D546" s="72"/>
      <c r="E546" s="72"/>
      <c r="F546" s="72"/>
      <c r="G546" s="72"/>
      <c r="H546" s="72"/>
      <c r="I546" s="72"/>
      <c r="J546" s="72"/>
      <c r="K546" s="72"/>
    </row>
    <row r="547" spans="1:11">
      <c r="A547" s="72"/>
      <c r="B547" s="72"/>
      <c r="C547" s="72"/>
      <c r="D547" s="72"/>
      <c r="E547" s="72"/>
      <c r="F547" s="72"/>
      <c r="G547" s="72"/>
      <c r="H547" s="72"/>
      <c r="I547" s="72"/>
      <c r="J547" s="72"/>
      <c r="K547" s="72"/>
    </row>
    <row r="548" spans="1:11">
      <c r="A548" s="72"/>
      <c r="B548" s="72"/>
      <c r="C548" s="72"/>
      <c r="D548" s="72"/>
      <c r="E548" s="72"/>
      <c r="F548" s="72"/>
      <c r="G548" s="72"/>
      <c r="H548" s="72"/>
      <c r="I548" s="72"/>
      <c r="J548" s="72"/>
      <c r="K548" s="72"/>
    </row>
    <row r="549" spans="1:11">
      <c r="A549" s="72"/>
      <c r="B549" s="72"/>
      <c r="C549" s="72"/>
      <c r="D549" s="72"/>
      <c r="E549" s="72"/>
      <c r="F549" s="72"/>
      <c r="G549" s="72"/>
      <c r="H549" s="72"/>
      <c r="I549" s="72"/>
      <c r="J549" s="72"/>
      <c r="K549" s="72"/>
    </row>
    <row r="550" spans="1:11">
      <c r="A550" s="72"/>
      <c r="B550" s="72"/>
      <c r="C550" s="72"/>
      <c r="D550" s="72"/>
      <c r="E550" s="72"/>
      <c r="F550" s="72"/>
      <c r="G550" s="72"/>
      <c r="H550" s="72"/>
      <c r="I550" s="72"/>
      <c r="J550" s="72"/>
      <c r="K550" s="72"/>
    </row>
    <row r="551" spans="1:11">
      <c r="A551" s="72"/>
      <c r="B551" s="72"/>
      <c r="C551" s="72"/>
      <c r="D551" s="72"/>
      <c r="E551" s="72"/>
      <c r="F551" s="72"/>
      <c r="G551" s="72"/>
      <c r="H551" s="72"/>
      <c r="I551" s="72"/>
      <c r="J551" s="72"/>
      <c r="K551" s="72"/>
    </row>
    <row r="552" spans="1:11">
      <c r="A552" s="72"/>
      <c r="B552" s="72"/>
      <c r="C552" s="72"/>
      <c r="D552" s="72"/>
      <c r="E552" s="72"/>
      <c r="F552" s="72"/>
      <c r="G552" s="72"/>
      <c r="H552" s="72"/>
      <c r="I552" s="72"/>
      <c r="J552" s="72"/>
      <c r="K552" s="72"/>
    </row>
    <row r="553" spans="1:11">
      <c r="A553" s="72"/>
      <c r="B553" s="72"/>
      <c r="C553" s="72"/>
      <c r="D553" s="72"/>
      <c r="E553" s="72"/>
      <c r="F553" s="72"/>
      <c r="G553" s="72"/>
      <c r="H553" s="72"/>
      <c r="I553" s="72"/>
      <c r="J553" s="72"/>
      <c r="K553" s="72"/>
    </row>
    <row r="554" spans="1:11">
      <c r="A554" s="72"/>
      <c r="B554" s="72"/>
      <c r="C554" s="72"/>
      <c r="D554" s="72"/>
      <c r="E554" s="72"/>
      <c r="F554" s="72"/>
      <c r="G554" s="72"/>
      <c r="H554" s="72"/>
      <c r="I554" s="72"/>
      <c r="J554" s="72"/>
      <c r="K554" s="72"/>
    </row>
    <row r="555" spans="1:11">
      <c r="A555" s="72"/>
      <c r="B555" s="72"/>
      <c r="C555" s="72"/>
      <c r="D555" s="72"/>
      <c r="E555" s="72"/>
      <c r="F555" s="72"/>
      <c r="G555" s="72"/>
      <c r="H555" s="72"/>
      <c r="I555" s="72"/>
      <c r="J555" s="72"/>
      <c r="K555" s="72"/>
    </row>
    <row r="556" spans="1:11">
      <c r="A556" s="72"/>
      <c r="B556" s="72"/>
      <c r="C556" s="72"/>
      <c r="D556" s="72"/>
      <c r="E556" s="72"/>
      <c r="F556" s="72"/>
      <c r="G556" s="72"/>
      <c r="H556" s="72"/>
      <c r="I556" s="72"/>
      <c r="J556" s="72"/>
      <c r="K556" s="72"/>
    </row>
    <row r="557" spans="1:11">
      <c r="A557" s="72"/>
      <c r="B557" s="72"/>
      <c r="C557" s="72"/>
      <c r="D557" s="72"/>
      <c r="E557" s="72"/>
      <c r="F557" s="72"/>
      <c r="G557" s="72"/>
      <c r="H557" s="72"/>
      <c r="I557" s="72"/>
      <c r="J557" s="72"/>
      <c r="K557" s="72"/>
    </row>
    <row r="558" spans="1:11">
      <c r="A558" s="72"/>
      <c r="B558" s="72"/>
      <c r="C558" s="72"/>
      <c r="D558" s="72"/>
      <c r="E558" s="72"/>
      <c r="F558" s="72"/>
      <c r="G558" s="72"/>
      <c r="H558" s="72"/>
      <c r="I558" s="72"/>
      <c r="J558" s="72"/>
      <c r="K558" s="72"/>
    </row>
    <row r="559" spans="1:11">
      <c r="A559" s="72"/>
      <c r="B559" s="72"/>
      <c r="C559" s="72"/>
      <c r="D559" s="72"/>
      <c r="E559" s="72"/>
      <c r="F559" s="72"/>
      <c r="G559" s="72"/>
      <c r="H559" s="72"/>
      <c r="I559" s="72"/>
      <c r="J559" s="72"/>
      <c r="K559" s="72"/>
    </row>
    <row r="560" spans="1:11">
      <c r="A560" s="72"/>
      <c r="B560" s="72"/>
      <c r="C560" s="72"/>
      <c r="D560" s="72"/>
      <c r="E560" s="72"/>
      <c r="F560" s="72"/>
      <c r="G560" s="72"/>
      <c r="H560" s="72"/>
      <c r="I560" s="72"/>
      <c r="J560" s="72"/>
      <c r="K560" s="72"/>
    </row>
    <row r="561" spans="1:11">
      <c r="A561" s="72"/>
      <c r="B561" s="72"/>
      <c r="C561" s="72"/>
      <c r="D561" s="72"/>
      <c r="E561" s="72"/>
      <c r="F561" s="72"/>
      <c r="G561" s="72"/>
      <c r="H561" s="72"/>
      <c r="I561" s="72"/>
      <c r="J561" s="72"/>
      <c r="K561" s="72"/>
    </row>
    <row r="562" spans="1:11">
      <c r="A562" s="72"/>
      <c r="B562" s="72"/>
      <c r="C562" s="72"/>
      <c r="D562" s="72"/>
      <c r="E562" s="72"/>
      <c r="F562" s="72"/>
      <c r="G562" s="72"/>
      <c r="H562" s="72"/>
      <c r="I562" s="72"/>
      <c r="J562" s="72"/>
      <c r="K562" s="72"/>
    </row>
    <row r="563" spans="1:11">
      <c r="A563" s="72"/>
      <c r="B563" s="72"/>
      <c r="C563" s="72"/>
      <c r="D563" s="72"/>
      <c r="E563" s="72"/>
      <c r="F563" s="72"/>
      <c r="G563" s="72"/>
      <c r="H563" s="72"/>
      <c r="I563" s="72"/>
      <c r="J563" s="72"/>
      <c r="K563" s="72"/>
    </row>
    <row r="564" spans="1:11">
      <c r="A564" s="72"/>
      <c r="B564" s="72"/>
      <c r="C564" s="72"/>
      <c r="D564" s="72"/>
      <c r="E564" s="72"/>
      <c r="F564" s="72"/>
      <c r="G564" s="72"/>
      <c r="H564" s="72"/>
      <c r="I564" s="72"/>
      <c r="J564" s="72"/>
      <c r="K564" s="72"/>
    </row>
    <row r="565" spans="1:11">
      <c r="A565" s="72"/>
      <c r="B565" s="72"/>
      <c r="C565" s="72"/>
      <c r="D565" s="72"/>
      <c r="E565" s="72"/>
      <c r="F565" s="72"/>
      <c r="G565" s="72"/>
      <c r="H565" s="72"/>
      <c r="I565" s="72"/>
      <c r="J565" s="72"/>
      <c r="K565" s="72"/>
    </row>
    <row r="566" spans="1:11">
      <c r="A566" s="72"/>
      <c r="B566" s="72"/>
      <c r="C566" s="72"/>
      <c r="D566" s="72"/>
      <c r="E566" s="72"/>
      <c r="F566" s="72"/>
      <c r="G566" s="72"/>
      <c r="H566" s="72"/>
      <c r="I566" s="72"/>
      <c r="J566" s="72"/>
      <c r="K566" s="72"/>
    </row>
    <row r="567" spans="1:11">
      <c r="A567" s="72"/>
      <c r="B567" s="72"/>
      <c r="C567" s="72"/>
      <c r="D567" s="72"/>
      <c r="E567" s="72"/>
      <c r="F567" s="72"/>
      <c r="G567" s="72"/>
      <c r="H567" s="72"/>
      <c r="I567" s="72"/>
      <c r="J567" s="72"/>
      <c r="K567" s="72"/>
    </row>
    <row r="568" spans="1:11">
      <c r="A568" s="72"/>
      <c r="B568" s="72"/>
      <c r="C568" s="72"/>
      <c r="D568" s="72"/>
      <c r="E568" s="72"/>
      <c r="F568" s="72"/>
      <c r="G568" s="72"/>
      <c r="H568" s="72"/>
      <c r="I568" s="72"/>
      <c r="J568" s="72"/>
      <c r="K568" s="72"/>
    </row>
    <row r="569" spans="1:11">
      <c r="A569" s="72"/>
      <c r="B569" s="72"/>
      <c r="C569" s="72"/>
      <c r="D569" s="72"/>
      <c r="E569" s="72"/>
      <c r="F569" s="72"/>
      <c r="G569" s="72"/>
      <c r="H569" s="72"/>
      <c r="I569" s="72"/>
      <c r="J569" s="72"/>
      <c r="K569" s="72"/>
    </row>
    <row r="570" spans="1:11">
      <c r="A570" s="72"/>
      <c r="B570" s="72"/>
      <c r="C570" s="72"/>
      <c r="D570" s="72"/>
      <c r="E570" s="72"/>
      <c r="F570" s="72"/>
      <c r="G570" s="72"/>
      <c r="H570" s="72"/>
      <c r="I570" s="72"/>
      <c r="J570" s="72"/>
      <c r="K570" s="72"/>
    </row>
    <row r="571" spans="1:11">
      <c r="A571" s="72"/>
      <c r="B571" s="72"/>
      <c r="C571" s="72"/>
      <c r="D571" s="72"/>
      <c r="E571" s="72"/>
      <c r="F571" s="72"/>
      <c r="G571" s="72"/>
      <c r="H571" s="72"/>
      <c r="I571" s="72"/>
      <c r="J571" s="72"/>
      <c r="K571" s="72"/>
    </row>
    <row r="572" spans="1:11">
      <c r="A572" s="72"/>
      <c r="B572" s="72"/>
      <c r="C572" s="72"/>
      <c r="D572" s="72"/>
      <c r="E572" s="72"/>
      <c r="F572" s="72"/>
      <c r="G572" s="72"/>
      <c r="H572" s="72"/>
      <c r="I572" s="72"/>
      <c r="J572" s="72"/>
      <c r="K572" s="72"/>
    </row>
    <row r="573" spans="1:11">
      <c r="A573" s="72"/>
      <c r="B573" s="72"/>
      <c r="C573" s="72"/>
      <c r="D573" s="72"/>
      <c r="E573" s="72"/>
      <c r="F573" s="72"/>
      <c r="G573" s="72"/>
      <c r="H573" s="72"/>
      <c r="I573" s="72"/>
      <c r="J573" s="72"/>
      <c r="K573" s="72"/>
    </row>
    <row r="574" spans="1:11">
      <c r="A574" s="72"/>
      <c r="B574" s="72"/>
      <c r="C574" s="72"/>
      <c r="D574" s="72"/>
      <c r="E574" s="72"/>
      <c r="F574" s="72"/>
      <c r="G574" s="72"/>
      <c r="H574" s="72"/>
      <c r="I574" s="72"/>
      <c r="J574" s="72"/>
      <c r="K574" s="72"/>
    </row>
    <row r="575" spans="1:11">
      <c r="A575" s="72"/>
      <c r="B575" s="72"/>
      <c r="C575" s="72"/>
      <c r="D575" s="72"/>
      <c r="E575" s="72"/>
      <c r="F575" s="72"/>
      <c r="G575" s="72"/>
      <c r="H575" s="72"/>
      <c r="I575" s="72"/>
      <c r="J575" s="72"/>
      <c r="K575" s="72"/>
    </row>
    <row r="576" spans="1:11">
      <c r="A576" s="72"/>
      <c r="B576" s="72"/>
      <c r="C576" s="72"/>
      <c r="D576" s="72"/>
      <c r="E576" s="72"/>
      <c r="F576" s="72"/>
      <c r="G576" s="72"/>
      <c r="H576" s="72"/>
      <c r="I576" s="72"/>
      <c r="J576" s="72"/>
      <c r="K576" s="72"/>
    </row>
    <row r="577" spans="1:11">
      <c r="A577" s="72"/>
      <c r="B577" s="72"/>
      <c r="C577" s="72"/>
      <c r="D577" s="72"/>
      <c r="E577" s="72"/>
      <c r="F577" s="72"/>
      <c r="G577" s="72"/>
      <c r="H577" s="72"/>
      <c r="I577" s="72"/>
      <c r="J577" s="72"/>
      <c r="K577" s="72"/>
    </row>
    <row r="578" spans="1:11">
      <c r="A578" s="72"/>
      <c r="B578" s="72"/>
      <c r="C578" s="72"/>
      <c r="D578" s="72"/>
      <c r="E578" s="72"/>
      <c r="F578" s="72"/>
      <c r="G578" s="72"/>
      <c r="H578" s="72"/>
      <c r="I578" s="72"/>
      <c r="J578" s="72"/>
      <c r="K578" s="72"/>
    </row>
    <row r="579" spans="1:11">
      <c r="A579" s="72"/>
      <c r="B579" s="72"/>
      <c r="C579" s="72"/>
      <c r="D579" s="72"/>
      <c r="E579" s="72"/>
      <c r="F579" s="72"/>
      <c r="G579" s="72"/>
      <c r="H579" s="72"/>
      <c r="I579" s="72"/>
      <c r="J579" s="72"/>
      <c r="K579" s="72"/>
    </row>
    <row r="580" spans="1:11">
      <c r="A580" s="72"/>
      <c r="B580" s="72"/>
      <c r="C580" s="72"/>
      <c r="D580" s="72"/>
      <c r="E580" s="72"/>
      <c r="F580" s="72"/>
      <c r="G580" s="72"/>
      <c r="H580" s="72"/>
      <c r="I580" s="72"/>
      <c r="J580" s="72"/>
      <c r="K580" s="72"/>
    </row>
    <row r="581" spans="1:11">
      <c r="A581" s="72"/>
      <c r="B581" s="72"/>
      <c r="C581" s="72"/>
      <c r="D581" s="72"/>
      <c r="E581" s="72"/>
      <c r="F581" s="72"/>
      <c r="G581" s="72"/>
      <c r="H581" s="72"/>
      <c r="I581" s="72"/>
      <c r="J581" s="72"/>
      <c r="K581" s="72"/>
    </row>
    <row r="582" spans="1:11">
      <c r="A582" s="72"/>
      <c r="B582" s="72"/>
      <c r="C582" s="72"/>
      <c r="D582" s="72"/>
      <c r="E582" s="72"/>
      <c r="F582" s="72"/>
      <c r="G582" s="72"/>
      <c r="H582" s="72"/>
      <c r="I582" s="72"/>
      <c r="J582" s="72"/>
      <c r="K582" s="72"/>
    </row>
    <row r="583" spans="1:11">
      <c r="A583" s="72"/>
      <c r="B583" s="72"/>
      <c r="C583" s="72"/>
      <c r="D583" s="72"/>
      <c r="E583" s="72"/>
      <c r="F583" s="72"/>
      <c r="G583" s="72"/>
      <c r="H583" s="72"/>
      <c r="I583" s="72"/>
      <c r="J583" s="72"/>
      <c r="K583" s="72"/>
    </row>
    <row r="584" spans="1:11">
      <c r="A584" s="72"/>
      <c r="B584" s="72"/>
      <c r="C584" s="72"/>
      <c r="D584" s="72"/>
      <c r="E584" s="72"/>
      <c r="F584" s="72"/>
      <c r="G584" s="72"/>
      <c r="H584" s="72"/>
      <c r="I584" s="72"/>
      <c r="J584" s="72"/>
      <c r="K584" s="72"/>
    </row>
    <row r="585" spans="1:11">
      <c r="A585" s="72"/>
      <c r="B585" s="72"/>
      <c r="C585" s="72"/>
      <c r="D585" s="72"/>
      <c r="E585" s="72"/>
      <c r="F585" s="72"/>
      <c r="G585" s="72"/>
      <c r="H585" s="72"/>
      <c r="I585" s="72"/>
      <c r="J585" s="72"/>
      <c r="K585" s="72"/>
    </row>
    <row r="586" spans="1:11">
      <c r="A586" s="72"/>
      <c r="B586" s="72"/>
      <c r="C586" s="72"/>
      <c r="D586" s="72"/>
      <c r="E586" s="72"/>
      <c r="F586" s="72"/>
      <c r="G586" s="72"/>
      <c r="H586" s="72"/>
      <c r="I586" s="72"/>
      <c r="J586" s="72"/>
      <c r="K586" s="72"/>
    </row>
    <row r="587" spans="1:11">
      <c r="A587" s="72"/>
      <c r="B587" s="72"/>
      <c r="C587" s="72"/>
      <c r="D587" s="72"/>
      <c r="E587" s="72"/>
      <c r="F587" s="72"/>
      <c r="G587" s="72"/>
      <c r="H587" s="72"/>
      <c r="I587" s="72"/>
      <c r="J587" s="72"/>
      <c r="K587" s="72"/>
    </row>
    <row r="588" spans="1:11">
      <c r="A588" s="72"/>
      <c r="B588" s="72"/>
      <c r="C588" s="72"/>
      <c r="D588" s="72"/>
      <c r="E588" s="72"/>
      <c r="F588" s="72"/>
      <c r="G588" s="72"/>
      <c r="H588" s="72"/>
      <c r="I588" s="72"/>
      <c r="J588" s="72"/>
      <c r="K588" s="72"/>
    </row>
    <row r="589" spans="1:11">
      <c r="A589" s="72"/>
      <c r="B589" s="72"/>
      <c r="C589" s="72"/>
      <c r="D589" s="72"/>
      <c r="E589" s="72"/>
      <c r="F589" s="72"/>
      <c r="G589" s="72"/>
      <c r="H589" s="72"/>
      <c r="I589" s="72"/>
      <c r="J589" s="72"/>
      <c r="K589" s="72"/>
    </row>
    <row r="590" spans="1:11">
      <c r="A590" s="72"/>
      <c r="B590" s="72"/>
      <c r="C590" s="72"/>
      <c r="D590" s="72"/>
      <c r="E590" s="72"/>
      <c r="F590" s="72"/>
      <c r="G590" s="72"/>
      <c r="H590" s="72"/>
      <c r="I590" s="72"/>
      <c r="J590" s="72"/>
      <c r="K590" s="72"/>
    </row>
    <row r="591" spans="1:11">
      <c r="A591" s="72"/>
      <c r="B591" s="72"/>
      <c r="C591" s="72"/>
      <c r="D591" s="72"/>
      <c r="E591" s="72"/>
      <c r="F591" s="72"/>
      <c r="G591" s="72"/>
      <c r="H591" s="72"/>
      <c r="I591" s="72"/>
      <c r="J591" s="72"/>
      <c r="K591" s="72"/>
    </row>
    <row r="592" spans="1:11">
      <c r="A592" s="72"/>
      <c r="B592" s="72"/>
      <c r="C592" s="72"/>
      <c r="D592" s="72"/>
      <c r="E592" s="72"/>
      <c r="F592" s="72"/>
      <c r="G592" s="72"/>
      <c r="H592" s="72"/>
      <c r="I592" s="72"/>
      <c r="J592" s="72"/>
      <c r="K592" s="72"/>
    </row>
    <row r="593" spans="1:11">
      <c r="A593" s="72"/>
      <c r="B593" s="72"/>
      <c r="C593" s="72"/>
      <c r="D593" s="72"/>
      <c r="E593" s="72"/>
      <c r="F593" s="72"/>
      <c r="G593" s="72"/>
      <c r="H593" s="72"/>
      <c r="I593" s="72"/>
      <c r="J593" s="72"/>
      <c r="K593" s="72"/>
    </row>
    <row r="594" spans="1:11">
      <c r="A594" s="72"/>
      <c r="B594" s="72"/>
      <c r="C594" s="72"/>
      <c r="D594" s="72"/>
      <c r="E594" s="72"/>
      <c r="F594" s="72"/>
      <c r="G594" s="72"/>
      <c r="H594" s="72"/>
      <c r="I594" s="72"/>
      <c r="J594" s="72"/>
      <c r="K594" s="72"/>
    </row>
    <row r="595" spans="1:11">
      <c r="A595" s="72"/>
      <c r="B595" s="72"/>
      <c r="C595" s="72"/>
      <c r="D595" s="72"/>
      <c r="E595" s="72"/>
      <c r="F595" s="72"/>
      <c r="G595" s="72"/>
      <c r="H595" s="72"/>
      <c r="I595" s="72"/>
      <c r="J595" s="72"/>
      <c r="K595" s="72"/>
    </row>
    <row r="596" spans="1:11">
      <c r="A596" s="72"/>
      <c r="B596" s="72"/>
      <c r="C596" s="72"/>
      <c r="D596" s="72"/>
      <c r="E596" s="72"/>
      <c r="F596" s="72"/>
      <c r="G596" s="72"/>
      <c r="H596" s="72"/>
      <c r="I596" s="72"/>
      <c r="J596" s="72"/>
      <c r="K596" s="72"/>
    </row>
    <row r="597" spans="1:11">
      <c r="A597" s="72"/>
      <c r="B597" s="72"/>
      <c r="C597" s="72"/>
      <c r="D597" s="72"/>
      <c r="E597" s="72"/>
      <c r="F597" s="72"/>
      <c r="G597" s="72"/>
      <c r="H597" s="72"/>
      <c r="I597" s="72"/>
      <c r="J597" s="72"/>
      <c r="K597" s="72"/>
    </row>
    <row r="598" spans="1:11">
      <c r="A598" s="72"/>
      <c r="B598" s="72"/>
      <c r="C598" s="72"/>
      <c r="D598" s="72"/>
      <c r="E598" s="72"/>
      <c r="F598" s="72"/>
      <c r="G598" s="72"/>
      <c r="H598" s="72"/>
      <c r="I598" s="72"/>
      <c r="J598" s="72"/>
      <c r="K598" s="72"/>
    </row>
    <row r="599" spans="1:11">
      <c r="A599" s="72"/>
      <c r="B599" s="72"/>
      <c r="C599" s="72"/>
      <c r="D599" s="72"/>
      <c r="E599" s="72"/>
      <c r="F599" s="72"/>
      <c r="G599" s="72"/>
      <c r="H599" s="72"/>
      <c r="I599" s="72"/>
      <c r="J599" s="72"/>
      <c r="K599" s="72"/>
    </row>
    <row r="600" spans="1:11">
      <c r="A600" s="72"/>
      <c r="B600" s="72"/>
      <c r="C600" s="72"/>
      <c r="D600" s="72"/>
      <c r="E600" s="72"/>
      <c r="F600" s="72"/>
      <c r="G600" s="72"/>
      <c r="H600" s="72"/>
      <c r="I600" s="72"/>
      <c r="J600" s="72"/>
      <c r="K600" s="72"/>
    </row>
    <row r="601" spans="1:11">
      <c r="A601" s="72"/>
      <c r="B601" s="72"/>
      <c r="C601" s="72"/>
      <c r="D601" s="72"/>
      <c r="E601" s="72"/>
      <c r="F601" s="72"/>
      <c r="G601" s="72"/>
      <c r="H601" s="72"/>
      <c r="I601" s="72"/>
      <c r="J601" s="72"/>
      <c r="K601" s="72"/>
    </row>
    <row r="602" spans="1:11">
      <c r="A602" s="72"/>
      <c r="B602" s="72"/>
      <c r="C602" s="72"/>
      <c r="D602" s="72"/>
      <c r="E602" s="72"/>
      <c r="F602" s="72"/>
      <c r="G602" s="72"/>
      <c r="H602" s="72"/>
      <c r="I602" s="72"/>
      <c r="J602" s="72"/>
      <c r="K602" s="72"/>
    </row>
    <row r="603" spans="1:11">
      <c r="A603" s="72"/>
      <c r="B603" s="72"/>
      <c r="C603" s="72"/>
      <c r="D603" s="72"/>
      <c r="E603" s="72"/>
      <c r="F603" s="72"/>
      <c r="G603" s="72"/>
      <c r="H603" s="72"/>
      <c r="I603" s="72"/>
      <c r="J603" s="72"/>
      <c r="K603" s="72"/>
    </row>
    <row r="604" spans="1:11">
      <c r="A604" s="72"/>
      <c r="B604" s="72"/>
      <c r="C604" s="72"/>
      <c r="D604" s="72"/>
      <c r="E604" s="72"/>
      <c r="F604" s="72"/>
      <c r="G604" s="72"/>
      <c r="H604" s="72"/>
      <c r="I604" s="72"/>
      <c r="J604" s="72"/>
      <c r="K604" s="72"/>
    </row>
    <row r="605" spans="1:11">
      <c r="A605" s="72"/>
      <c r="B605" s="72"/>
      <c r="C605" s="72"/>
      <c r="D605" s="72"/>
      <c r="E605" s="72"/>
      <c r="F605" s="72"/>
      <c r="G605" s="72"/>
      <c r="H605" s="72"/>
      <c r="I605" s="72"/>
      <c r="J605" s="72"/>
      <c r="K605" s="72"/>
    </row>
    <row r="606" spans="1:11">
      <c r="A606" s="72"/>
      <c r="B606" s="72"/>
      <c r="C606" s="72"/>
      <c r="D606" s="72"/>
      <c r="E606" s="72"/>
      <c r="F606" s="72"/>
      <c r="G606" s="72"/>
      <c r="H606" s="72"/>
      <c r="I606" s="72"/>
      <c r="J606" s="72"/>
      <c r="K606" s="72"/>
    </row>
    <row r="607" spans="1:11">
      <c r="A607" s="72"/>
      <c r="B607" s="72"/>
      <c r="C607" s="72"/>
      <c r="D607" s="72"/>
      <c r="E607" s="72"/>
      <c r="F607" s="72"/>
      <c r="G607" s="72"/>
      <c r="H607" s="72"/>
      <c r="I607" s="72"/>
      <c r="J607" s="72"/>
      <c r="K607" s="72"/>
    </row>
    <row r="608" spans="1:11">
      <c r="A608" s="72"/>
      <c r="B608" s="72"/>
      <c r="C608" s="72"/>
      <c r="D608" s="72"/>
      <c r="E608" s="72"/>
      <c r="F608" s="72"/>
      <c r="G608" s="72"/>
      <c r="H608" s="72"/>
      <c r="I608" s="72"/>
      <c r="J608" s="72"/>
      <c r="K608" s="72"/>
    </row>
    <row r="609" spans="1:11">
      <c r="A609" s="72"/>
      <c r="B609" s="72"/>
      <c r="C609" s="72"/>
      <c r="D609" s="72"/>
      <c r="E609" s="72"/>
      <c r="F609" s="72"/>
      <c r="G609" s="72"/>
      <c r="H609" s="72"/>
      <c r="I609" s="72"/>
      <c r="J609" s="72"/>
      <c r="K609" s="72"/>
    </row>
    <row r="610" spans="1:11">
      <c r="A610" s="72"/>
      <c r="B610" s="72"/>
      <c r="C610" s="72"/>
      <c r="D610" s="72"/>
      <c r="E610" s="72"/>
      <c r="F610" s="72"/>
      <c r="G610" s="72"/>
      <c r="H610" s="72"/>
      <c r="I610" s="72"/>
      <c r="J610" s="72"/>
      <c r="K610" s="72"/>
    </row>
    <row r="611" spans="1:11">
      <c r="A611" s="72"/>
      <c r="B611" s="72"/>
      <c r="C611" s="72"/>
      <c r="D611" s="72"/>
      <c r="E611" s="72"/>
      <c r="F611" s="72"/>
      <c r="G611" s="72"/>
      <c r="H611" s="72"/>
      <c r="I611" s="72"/>
      <c r="J611" s="72"/>
      <c r="K611" s="72"/>
    </row>
    <row r="612" spans="1:11">
      <c r="A612" s="72"/>
      <c r="B612" s="72"/>
      <c r="C612" s="72"/>
      <c r="D612" s="72"/>
      <c r="E612" s="72"/>
      <c r="F612" s="72"/>
      <c r="G612" s="72"/>
      <c r="H612" s="72"/>
      <c r="I612" s="72"/>
      <c r="J612" s="72"/>
      <c r="K612" s="72"/>
    </row>
    <row r="613" spans="1:11">
      <c r="A613" s="72"/>
      <c r="B613" s="72"/>
      <c r="C613" s="72"/>
      <c r="D613" s="72"/>
      <c r="E613" s="72"/>
      <c r="F613" s="72"/>
      <c r="G613" s="72"/>
      <c r="H613" s="72"/>
      <c r="I613" s="72"/>
      <c r="J613" s="72"/>
      <c r="K613" s="72"/>
    </row>
    <row r="614" spans="1:11">
      <c r="A614" s="72"/>
      <c r="B614" s="72"/>
      <c r="C614" s="72"/>
      <c r="D614" s="72"/>
      <c r="E614" s="72"/>
      <c r="F614" s="72"/>
      <c r="G614" s="72"/>
      <c r="H614" s="72"/>
      <c r="I614" s="72"/>
      <c r="J614" s="72"/>
      <c r="K614" s="72"/>
    </row>
    <row r="615" spans="1:11">
      <c r="A615" s="72"/>
      <c r="B615" s="72"/>
      <c r="C615" s="72"/>
      <c r="D615" s="72"/>
      <c r="E615" s="72"/>
      <c r="F615" s="72"/>
      <c r="G615" s="72"/>
      <c r="H615" s="72"/>
      <c r="I615" s="72"/>
      <c r="J615" s="72"/>
      <c r="K615" s="72"/>
    </row>
    <row r="616" spans="1:11">
      <c r="A616" s="72"/>
      <c r="B616" s="72"/>
      <c r="C616" s="72"/>
      <c r="D616" s="72"/>
      <c r="E616" s="72"/>
      <c r="F616" s="72"/>
      <c r="G616" s="72"/>
      <c r="H616" s="72"/>
      <c r="I616" s="72"/>
      <c r="J616" s="72"/>
      <c r="K616" s="72"/>
    </row>
    <row r="617" spans="1:11">
      <c r="A617" s="72"/>
      <c r="B617" s="72"/>
      <c r="C617" s="72"/>
      <c r="D617" s="72"/>
      <c r="E617" s="72"/>
      <c r="F617" s="72"/>
      <c r="G617" s="72"/>
      <c r="H617" s="72"/>
      <c r="I617" s="72"/>
      <c r="J617" s="72"/>
      <c r="K617" s="72"/>
    </row>
    <row r="618" spans="1:11">
      <c r="A618" s="72"/>
      <c r="B618" s="72"/>
      <c r="C618" s="72"/>
      <c r="D618" s="72"/>
      <c r="E618" s="72"/>
      <c r="F618" s="72"/>
      <c r="G618" s="72"/>
      <c r="H618" s="72"/>
      <c r="I618" s="72"/>
      <c r="J618" s="72"/>
      <c r="K618" s="72"/>
    </row>
    <row r="619" spans="1:11">
      <c r="A619" s="72"/>
      <c r="B619" s="72"/>
      <c r="C619" s="72"/>
      <c r="D619" s="72"/>
      <c r="E619" s="72"/>
      <c r="F619" s="72"/>
      <c r="G619" s="72"/>
      <c r="H619" s="72"/>
      <c r="I619" s="72"/>
      <c r="J619" s="72"/>
      <c r="K619" s="72"/>
    </row>
    <row r="620" spans="1:11">
      <c r="A620" s="72"/>
      <c r="B620" s="72"/>
      <c r="C620" s="72"/>
      <c r="D620" s="72"/>
      <c r="E620" s="72"/>
      <c r="F620" s="72"/>
      <c r="G620" s="72"/>
      <c r="H620" s="72"/>
      <c r="I620" s="72"/>
      <c r="J620" s="72"/>
      <c r="K620" s="72"/>
    </row>
    <row r="621" spans="1:11">
      <c r="A621" s="72"/>
      <c r="B621" s="72"/>
      <c r="C621" s="72"/>
      <c r="D621" s="72"/>
      <c r="E621" s="72"/>
      <c r="F621" s="72"/>
      <c r="G621" s="72"/>
      <c r="H621" s="72"/>
      <c r="I621" s="72"/>
      <c r="J621" s="72"/>
      <c r="K621" s="72"/>
    </row>
    <row r="622" spans="1:11">
      <c r="A622" s="72"/>
      <c r="B622" s="72"/>
      <c r="C622" s="72"/>
      <c r="D622" s="72"/>
      <c r="E622" s="72"/>
      <c r="F622" s="72"/>
      <c r="G622" s="72"/>
      <c r="H622" s="72"/>
      <c r="I622" s="72"/>
      <c r="J622" s="72"/>
      <c r="K622" s="72"/>
    </row>
    <row r="623" spans="1:11">
      <c r="A623" s="72"/>
      <c r="B623" s="72"/>
      <c r="C623" s="72"/>
      <c r="D623" s="72"/>
      <c r="E623" s="72"/>
      <c r="F623" s="72"/>
      <c r="G623" s="72"/>
      <c r="H623" s="72"/>
      <c r="I623" s="72"/>
      <c r="J623" s="72"/>
      <c r="K623" s="72"/>
    </row>
    <row r="624" spans="1:11">
      <c r="A624" s="72"/>
      <c r="B624" s="72"/>
      <c r="C624" s="72"/>
      <c r="D624" s="72"/>
      <c r="E624" s="72"/>
      <c r="F624" s="72"/>
      <c r="G624" s="72"/>
      <c r="H624" s="72"/>
      <c r="I624" s="72"/>
      <c r="J624" s="72"/>
      <c r="K624" s="72"/>
    </row>
    <row r="625" spans="1:11">
      <c r="A625" s="72"/>
      <c r="B625" s="72"/>
      <c r="C625" s="72"/>
      <c r="D625" s="72"/>
      <c r="E625" s="72"/>
      <c r="F625" s="72"/>
      <c r="G625" s="72"/>
      <c r="H625" s="72"/>
      <c r="I625" s="72"/>
      <c r="J625" s="72"/>
      <c r="K625" s="72"/>
    </row>
    <row r="626" spans="1:11">
      <c r="A626" s="72"/>
      <c r="B626" s="72"/>
      <c r="C626" s="72"/>
      <c r="D626" s="72"/>
      <c r="E626" s="72"/>
      <c r="F626" s="72"/>
      <c r="G626" s="72"/>
      <c r="H626" s="72"/>
      <c r="I626" s="72"/>
      <c r="J626" s="72"/>
      <c r="K626" s="72"/>
    </row>
    <row r="627" spans="1:11">
      <c r="A627" s="72"/>
      <c r="B627" s="72"/>
      <c r="C627" s="72"/>
      <c r="D627" s="72"/>
      <c r="E627" s="72"/>
      <c r="F627" s="72"/>
      <c r="G627" s="72"/>
      <c r="H627" s="72"/>
      <c r="I627" s="72"/>
      <c r="J627" s="72"/>
      <c r="K627" s="72"/>
    </row>
    <row r="628" spans="1:11">
      <c r="A628" s="72"/>
      <c r="B628" s="72"/>
      <c r="C628" s="72"/>
      <c r="D628" s="72"/>
      <c r="E628" s="72"/>
      <c r="F628" s="72"/>
      <c r="G628" s="72"/>
      <c r="H628" s="72"/>
      <c r="I628" s="72"/>
      <c r="J628" s="72"/>
      <c r="K628" s="72"/>
    </row>
    <row r="629" spans="1:11">
      <c r="A629" s="72"/>
      <c r="B629" s="72"/>
      <c r="C629" s="72"/>
      <c r="D629" s="72"/>
      <c r="E629" s="72"/>
      <c r="F629" s="72"/>
      <c r="G629" s="72"/>
      <c r="H629" s="72"/>
      <c r="I629" s="72"/>
      <c r="J629" s="72"/>
      <c r="K629" s="72"/>
    </row>
    <row r="630" spans="1:11">
      <c r="A630" s="72"/>
      <c r="B630" s="72"/>
      <c r="C630" s="72"/>
      <c r="D630" s="72"/>
      <c r="E630" s="72"/>
      <c r="F630" s="72"/>
      <c r="G630" s="72"/>
      <c r="H630" s="72"/>
      <c r="I630" s="72"/>
      <c r="J630" s="72"/>
      <c r="K630" s="72"/>
    </row>
    <row r="631" spans="1:11">
      <c r="A631" s="72"/>
      <c r="B631" s="72"/>
      <c r="C631" s="72"/>
      <c r="D631" s="72"/>
      <c r="E631" s="72"/>
      <c r="F631" s="72"/>
      <c r="G631" s="72"/>
      <c r="H631" s="72"/>
      <c r="I631" s="72"/>
      <c r="J631" s="72"/>
      <c r="K631" s="72"/>
    </row>
    <row r="632" spans="1:11">
      <c r="A632" s="72"/>
      <c r="B632" s="72"/>
      <c r="C632" s="72"/>
      <c r="D632" s="72"/>
      <c r="E632" s="72"/>
      <c r="F632" s="72"/>
      <c r="G632" s="72"/>
      <c r="H632" s="72"/>
      <c r="I632" s="72"/>
      <c r="J632" s="72"/>
      <c r="K632" s="72"/>
    </row>
    <row r="633" spans="1:11">
      <c r="A633" s="72"/>
      <c r="B633" s="72"/>
      <c r="C633" s="72"/>
      <c r="D633" s="72"/>
      <c r="E633" s="72"/>
      <c r="F633" s="72"/>
      <c r="G633" s="72"/>
      <c r="H633" s="72"/>
      <c r="I633" s="72"/>
      <c r="J633" s="72"/>
      <c r="K633" s="72"/>
    </row>
    <row r="634" spans="1:11">
      <c r="A634" s="72"/>
      <c r="B634" s="72"/>
      <c r="C634" s="72"/>
      <c r="D634" s="72"/>
      <c r="E634" s="72"/>
      <c r="F634" s="72"/>
      <c r="G634" s="72"/>
      <c r="H634" s="72"/>
      <c r="I634" s="72"/>
      <c r="J634" s="72"/>
      <c r="K634" s="72"/>
    </row>
    <row r="635" spans="1:11">
      <c r="A635" s="72"/>
      <c r="B635" s="72"/>
      <c r="C635" s="72"/>
      <c r="D635" s="72"/>
      <c r="E635" s="72"/>
      <c r="F635" s="72"/>
      <c r="G635" s="72"/>
      <c r="H635" s="72"/>
      <c r="I635" s="72"/>
      <c r="J635" s="72"/>
      <c r="K635" s="72"/>
    </row>
    <row r="636" spans="1:11">
      <c r="A636" s="72"/>
      <c r="B636" s="72"/>
      <c r="C636" s="72"/>
      <c r="D636" s="72"/>
      <c r="E636" s="72"/>
      <c r="F636" s="72"/>
      <c r="G636" s="72"/>
      <c r="H636" s="72"/>
      <c r="I636" s="72"/>
      <c r="J636" s="72"/>
      <c r="K636" s="72"/>
    </row>
    <row r="637" spans="1:11">
      <c r="A637" s="72"/>
      <c r="B637" s="72"/>
      <c r="C637" s="72"/>
      <c r="D637" s="72"/>
      <c r="E637" s="72"/>
      <c r="F637" s="72"/>
      <c r="G637" s="72"/>
      <c r="H637" s="72"/>
      <c r="I637" s="72"/>
      <c r="J637" s="72"/>
      <c r="K637" s="72"/>
    </row>
    <row r="638" spans="1:11">
      <c r="A638" s="72"/>
      <c r="B638" s="72"/>
      <c r="C638" s="72"/>
      <c r="D638" s="72"/>
      <c r="E638" s="72"/>
      <c r="F638" s="72"/>
      <c r="G638" s="72"/>
      <c r="H638" s="72"/>
      <c r="I638" s="72"/>
      <c r="J638" s="72"/>
      <c r="K638" s="72"/>
    </row>
    <row r="639" spans="1:11">
      <c r="A639" s="72"/>
      <c r="B639" s="72"/>
      <c r="C639" s="72"/>
      <c r="D639" s="72"/>
      <c r="E639" s="72"/>
      <c r="F639" s="72"/>
      <c r="G639" s="72"/>
      <c r="H639" s="72"/>
      <c r="I639" s="72"/>
      <c r="J639" s="72"/>
      <c r="K639" s="72"/>
    </row>
    <row r="640" spans="1:11">
      <c r="A640" s="72"/>
      <c r="B640" s="72"/>
      <c r="C640" s="72"/>
      <c r="D640" s="72"/>
      <c r="E640" s="72"/>
      <c r="F640" s="72"/>
      <c r="G640" s="72"/>
      <c r="H640" s="72"/>
      <c r="I640" s="72"/>
      <c r="J640" s="72"/>
      <c r="K640" s="72"/>
    </row>
    <row r="641" spans="1:11">
      <c r="A641" s="72"/>
      <c r="B641" s="72"/>
      <c r="C641" s="72"/>
      <c r="D641" s="72"/>
      <c r="E641" s="72"/>
      <c r="F641" s="72"/>
      <c r="G641" s="72"/>
      <c r="H641" s="72"/>
      <c r="I641" s="72"/>
      <c r="J641" s="72"/>
      <c r="K641" s="72"/>
    </row>
    <row r="642" spans="1:11">
      <c r="A642" s="72"/>
      <c r="B642" s="72"/>
      <c r="C642" s="72"/>
      <c r="D642" s="72"/>
      <c r="E642" s="72"/>
      <c r="F642" s="72"/>
      <c r="G642" s="72"/>
      <c r="H642" s="72"/>
      <c r="I642" s="72"/>
      <c r="J642" s="72"/>
      <c r="K642" s="72"/>
    </row>
    <row r="643" spans="1:11">
      <c r="A643" s="72"/>
      <c r="B643" s="72"/>
      <c r="C643" s="72"/>
      <c r="D643" s="72"/>
      <c r="E643" s="72"/>
      <c r="F643" s="72"/>
      <c r="G643" s="72"/>
      <c r="H643" s="72"/>
      <c r="I643" s="72"/>
      <c r="J643" s="72"/>
      <c r="K643" s="72"/>
    </row>
    <row r="644" spans="1:11">
      <c r="A644" s="72"/>
      <c r="B644" s="72"/>
      <c r="C644" s="72"/>
      <c r="D644" s="72"/>
      <c r="E644" s="72"/>
      <c r="F644" s="72"/>
      <c r="G644" s="72"/>
      <c r="H644" s="72"/>
      <c r="I644" s="72"/>
      <c r="J644" s="72"/>
      <c r="K644" s="72"/>
    </row>
    <row r="645" spans="1:11">
      <c r="A645" s="72"/>
      <c r="B645" s="72"/>
      <c r="C645" s="72"/>
      <c r="D645" s="72"/>
      <c r="E645" s="72"/>
      <c r="F645" s="72"/>
      <c r="G645" s="72"/>
      <c r="H645" s="72"/>
      <c r="I645" s="72"/>
      <c r="J645" s="72"/>
      <c r="K645" s="72"/>
    </row>
    <row r="646" spans="1:11">
      <c r="A646" s="72"/>
      <c r="B646" s="72"/>
      <c r="C646" s="72"/>
      <c r="D646" s="72"/>
      <c r="E646" s="72"/>
      <c r="F646" s="72"/>
      <c r="G646" s="72"/>
      <c r="H646" s="72"/>
      <c r="I646" s="72"/>
      <c r="J646" s="72"/>
      <c r="K646" s="72"/>
    </row>
    <row r="647" spans="1:11">
      <c r="A647" s="72"/>
      <c r="B647" s="72"/>
      <c r="C647" s="72"/>
      <c r="D647" s="72"/>
      <c r="E647" s="72"/>
      <c r="F647" s="72"/>
      <c r="G647" s="72"/>
      <c r="H647" s="72"/>
      <c r="I647" s="72"/>
      <c r="J647" s="72"/>
      <c r="K647" s="72"/>
    </row>
    <row r="648" spans="1:11">
      <c r="A648" s="72"/>
      <c r="B648" s="72"/>
      <c r="C648" s="72"/>
      <c r="D648" s="72"/>
      <c r="E648" s="72"/>
      <c r="F648" s="72"/>
      <c r="G648" s="72"/>
      <c r="H648" s="72"/>
      <c r="I648" s="72"/>
      <c r="J648" s="72"/>
      <c r="K648" s="72"/>
    </row>
    <row r="649" spans="1:11">
      <c r="A649" s="72"/>
      <c r="B649" s="72"/>
      <c r="C649" s="72"/>
      <c r="D649" s="72"/>
      <c r="E649" s="72"/>
      <c r="F649" s="72"/>
      <c r="G649" s="72"/>
      <c r="H649" s="72"/>
      <c r="I649" s="72"/>
      <c r="J649" s="72"/>
      <c r="K649" s="72"/>
    </row>
    <row r="650" spans="1:11">
      <c r="A650" s="72"/>
      <c r="B650" s="72"/>
      <c r="C650" s="72"/>
      <c r="D650" s="72"/>
      <c r="E650" s="72"/>
      <c r="F650" s="72"/>
      <c r="G650" s="72"/>
      <c r="H650" s="72"/>
      <c r="I650" s="72"/>
      <c r="J650" s="72"/>
      <c r="K650" s="72"/>
    </row>
    <row r="651" spans="1:11">
      <c r="A651" s="72"/>
      <c r="B651" s="72"/>
      <c r="C651" s="72"/>
      <c r="D651" s="72"/>
      <c r="E651" s="72"/>
      <c r="F651" s="72"/>
      <c r="G651" s="72"/>
      <c r="H651" s="72"/>
      <c r="I651" s="72"/>
      <c r="J651" s="72"/>
      <c r="K651" s="72"/>
    </row>
    <row r="652" spans="1:11">
      <c r="A652" s="72"/>
      <c r="B652" s="72"/>
      <c r="C652" s="72"/>
      <c r="D652" s="72"/>
      <c r="E652" s="72"/>
      <c r="F652" s="72"/>
      <c r="G652" s="72"/>
      <c r="H652" s="72"/>
      <c r="I652" s="72"/>
      <c r="J652" s="72"/>
      <c r="K652" s="72"/>
    </row>
    <row r="653" spans="1:11">
      <c r="A653" s="72"/>
      <c r="B653" s="72"/>
      <c r="C653" s="72"/>
      <c r="D653" s="72"/>
      <c r="E653" s="72"/>
      <c r="F653" s="72"/>
      <c r="G653" s="72"/>
      <c r="H653" s="72"/>
      <c r="I653" s="72"/>
      <c r="J653" s="72"/>
      <c r="K653" s="72"/>
    </row>
    <row r="654" spans="1:11">
      <c r="A654" s="72"/>
      <c r="B654" s="72"/>
      <c r="C654" s="72"/>
      <c r="D654" s="72"/>
      <c r="E654" s="72"/>
      <c r="F654" s="72"/>
      <c r="G654" s="72"/>
      <c r="H654" s="72"/>
      <c r="I654" s="72"/>
      <c r="J654" s="72"/>
      <c r="K654" s="72"/>
    </row>
    <row r="655" spans="1:11">
      <c r="A655" s="72"/>
      <c r="B655" s="72"/>
      <c r="C655" s="72"/>
      <c r="D655" s="72"/>
      <c r="E655" s="72"/>
      <c r="F655" s="72"/>
      <c r="G655" s="72"/>
      <c r="H655" s="72"/>
      <c r="I655" s="72"/>
      <c r="J655" s="72"/>
      <c r="K655" s="72"/>
    </row>
    <row r="656" spans="1:11">
      <c r="A656" s="72"/>
      <c r="B656" s="72"/>
      <c r="C656" s="72"/>
      <c r="D656" s="72"/>
      <c r="E656" s="72"/>
      <c r="F656" s="72"/>
      <c r="G656" s="72"/>
      <c r="H656" s="72"/>
      <c r="I656" s="72"/>
      <c r="J656" s="72"/>
      <c r="K656" s="72"/>
    </row>
    <row r="657" spans="1:11">
      <c r="A657" s="72"/>
      <c r="B657" s="72"/>
      <c r="C657" s="72"/>
      <c r="D657" s="72"/>
      <c r="E657" s="72"/>
      <c r="F657" s="72"/>
      <c r="G657" s="72"/>
      <c r="H657" s="72"/>
      <c r="I657" s="72"/>
      <c r="J657" s="72"/>
      <c r="K657" s="72"/>
    </row>
    <row r="658" spans="1:11">
      <c r="A658" s="72"/>
      <c r="B658" s="72"/>
      <c r="C658" s="72"/>
      <c r="D658" s="72"/>
      <c r="E658" s="72"/>
      <c r="F658" s="72"/>
      <c r="G658" s="72"/>
      <c r="H658" s="72"/>
      <c r="I658" s="72"/>
      <c r="J658" s="72"/>
      <c r="K658" s="72"/>
    </row>
    <row r="659" spans="1:11">
      <c r="A659" s="72"/>
      <c r="B659" s="72"/>
      <c r="C659" s="72"/>
      <c r="D659" s="72"/>
      <c r="E659" s="72"/>
      <c r="F659" s="72"/>
      <c r="G659" s="72"/>
      <c r="H659" s="72"/>
      <c r="I659" s="72"/>
      <c r="J659" s="72"/>
      <c r="K659" s="72"/>
    </row>
    <row r="660" spans="1:11">
      <c r="A660" s="72"/>
      <c r="B660" s="72"/>
      <c r="C660" s="72"/>
      <c r="D660" s="72"/>
      <c r="E660" s="72"/>
      <c r="F660" s="72"/>
      <c r="G660" s="72"/>
      <c r="H660" s="72"/>
      <c r="I660" s="72"/>
      <c r="J660" s="72"/>
      <c r="K660" s="72"/>
    </row>
    <row r="661" spans="1:11">
      <c r="A661" s="72"/>
      <c r="B661" s="72"/>
      <c r="C661" s="72"/>
      <c r="D661" s="72"/>
      <c r="E661" s="72"/>
      <c r="F661" s="72"/>
      <c r="G661" s="72"/>
      <c r="H661" s="72"/>
      <c r="I661" s="72"/>
      <c r="J661" s="72"/>
      <c r="K661" s="72"/>
    </row>
    <row r="662" spans="1:11">
      <c r="A662" s="72"/>
      <c r="B662" s="72"/>
      <c r="C662" s="72"/>
      <c r="D662" s="72"/>
      <c r="E662" s="72"/>
      <c r="F662" s="72"/>
      <c r="G662" s="72"/>
      <c r="H662" s="72"/>
      <c r="I662" s="72"/>
      <c r="J662" s="72"/>
      <c r="K662" s="72"/>
    </row>
    <row r="663" spans="1:11">
      <c r="A663" s="72"/>
      <c r="B663" s="72"/>
      <c r="C663" s="72"/>
      <c r="D663" s="72"/>
      <c r="E663" s="72"/>
      <c r="F663" s="72"/>
      <c r="G663" s="72"/>
      <c r="H663" s="72"/>
      <c r="I663" s="72"/>
      <c r="J663" s="72"/>
      <c r="K663" s="72"/>
    </row>
    <row r="664" spans="1:11">
      <c r="A664" s="72"/>
      <c r="B664" s="72"/>
      <c r="C664" s="72"/>
      <c r="D664" s="72"/>
      <c r="E664" s="72"/>
      <c r="F664" s="72"/>
      <c r="G664" s="72"/>
      <c r="H664" s="72"/>
      <c r="I664" s="72"/>
      <c r="J664" s="72"/>
      <c r="K664" s="72"/>
    </row>
    <row r="665" spans="1:11">
      <c r="A665" s="72"/>
      <c r="B665" s="72"/>
      <c r="C665" s="72"/>
      <c r="D665" s="72"/>
      <c r="E665" s="72"/>
      <c r="F665" s="72"/>
      <c r="G665" s="72"/>
      <c r="H665" s="72"/>
      <c r="I665" s="72"/>
      <c r="J665" s="72"/>
      <c r="K665" s="72"/>
    </row>
    <row r="666" spans="1:11">
      <c r="A666" s="72"/>
      <c r="B666" s="72"/>
      <c r="C666" s="72"/>
      <c r="D666" s="72"/>
      <c r="E666" s="72"/>
      <c r="F666" s="72"/>
      <c r="G666" s="72"/>
      <c r="H666" s="72"/>
      <c r="I666" s="72"/>
      <c r="J666" s="72"/>
      <c r="K666" s="72"/>
    </row>
    <row r="667" spans="1:11">
      <c r="A667" s="72"/>
      <c r="B667" s="72"/>
      <c r="C667" s="72"/>
      <c r="D667" s="72"/>
      <c r="E667" s="72"/>
      <c r="F667" s="72"/>
      <c r="G667" s="72"/>
      <c r="H667" s="72"/>
      <c r="I667" s="72"/>
      <c r="J667" s="72"/>
      <c r="K667" s="72"/>
    </row>
    <row r="668" spans="1:11">
      <c r="A668" s="72"/>
      <c r="B668" s="72"/>
      <c r="C668" s="72"/>
      <c r="D668" s="72"/>
      <c r="E668" s="72"/>
      <c r="F668" s="72"/>
      <c r="G668" s="72"/>
      <c r="H668" s="72"/>
      <c r="I668" s="72"/>
      <c r="J668" s="72"/>
      <c r="K668" s="72"/>
    </row>
    <row r="669" spans="1:11">
      <c r="A669" s="72"/>
      <c r="B669" s="72"/>
      <c r="C669" s="72"/>
      <c r="D669" s="72"/>
      <c r="E669" s="72"/>
      <c r="F669" s="72"/>
      <c r="G669" s="72"/>
      <c r="H669" s="72"/>
      <c r="I669" s="72"/>
      <c r="J669" s="72"/>
      <c r="K669" s="72"/>
    </row>
    <row r="670" spans="1:11">
      <c r="A670" s="72"/>
      <c r="B670" s="72"/>
      <c r="C670" s="72"/>
      <c r="D670" s="72"/>
      <c r="E670" s="72"/>
      <c r="F670" s="72"/>
      <c r="G670" s="72"/>
      <c r="H670" s="72"/>
      <c r="I670" s="72"/>
      <c r="J670" s="72"/>
      <c r="K670" s="72"/>
    </row>
    <row r="671" spans="1:11">
      <c r="A671" s="72"/>
      <c r="B671" s="72"/>
      <c r="C671" s="72"/>
      <c r="D671" s="72"/>
      <c r="E671" s="72"/>
      <c r="F671" s="72"/>
      <c r="G671" s="72"/>
      <c r="H671" s="72"/>
      <c r="I671" s="72"/>
      <c r="J671" s="72"/>
      <c r="K671" s="72"/>
    </row>
    <row r="672" spans="1:11">
      <c r="A672" s="72"/>
      <c r="B672" s="72"/>
      <c r="C672" s="72"/>
      <c r="D672" s="72"/>
      <c r="E672" s="72"/>
      <c r="F672" s="72"/>
      <c r="G672" s="72"/>
      <c r="H672" s="72"/>
      <c r="I672" s="72"/>
      <c r="J672" s="72"/>
      <c r="K672" s="72"/>
    </row>
    <row r="673" spans="1:11">
      <c r="A673" s="72"/>
      <c r="B673" s="72"/>
      <c r="C673" s="72"/>
      <c r="D673" s="72"/>
      <c r="E673" s="72"/>
      <c r="F673" s="72"/>
      <c r="G673" s="72"/>
      <c r="H673" s="72"/>
      <c r="I673" s="72"/>
      <c r="J673" s="72"/>
      <c r="K673" s="72"/>
    </row>
    <row r="674" spans="1:11">
      <c r="A674" s="72"/>
      <c r="B674" s="72"/>
      <c r="C674" s="72"/>
      <c r="D674" s="72"/>
      <c r="E674" s="72"/>
      <c r="F674" s="72"/>
      <c r="G674" s="72"/>
      <c r="H674" s="72"/>
      <c r="I674" s="72"/>
      <c r="J674" s="72"/>
      <c r="K674" s="72"/>
    </row>
    <row r="675" spans="1:11">
      <c r="A675" s="72"/>
      <c r="B675" s="72"/>
      <c r="C675" s="72"/>
      <c r="D675" s="72"/>
      <c r="E675" s="72"/>
      <c r="F675" s="72"/>
      <c r="G675" s="72"/>
      <c r="H675" s="72"/>
      <c r="I675" s="72"/>
      <c r="J675" s="72"/>
      <c r="K675" s="72"/>
    </row>
    <row r="676" spans="1:11">
      <c r="A676" s="72"/>
      <c r="B676" s="72"/>
      <c r="C676" s="72"/>
      <c r="D676" s="72"/>
      <c r="E676" s="72"/>
      <c r="F676" s="72"/>
      <c r="G676" s="72"/>
      <c r="H676" s="72"/>
      <c r="I676" s="72"/>
      <c r="J676" s="72"/>
      <c r="K676" s="72"/>
    </row>
    <row r="677" spans="1:11">
      <c r="A677" s="72"/>
      <c r="B677" s="72"/>
      <c r="C677" s="72"/>
      <c r="D677" s="72"/>
      <c r="E677" s="72"/>
      <c r="F677" s="72"/>
      <c r="G677" s="72"/>
      <c r="H677" s="72"/>
      <c r="I677" s="72"/>
      <c r="J677" s="72"/>
      <c r="K677" s="72"/>
    </row>
    <row r="678" spans="1:11">
      <c r="A678" s="72"/>
      <c r="B678" s="72"/>
      <c r="C678" s="72"/>
      <c r="D678" s="72"/>
      <c r="E678" s="72"/>
      <c r="F678" s="72"/>
      <c r="G678" s="72"/>
      <c r="H678" s="72"/>
      <c r="I678" s="72"/>
      <c r="J678" s="72"/>
      <c r="K678" s="72"/>
    </row>
    <row r="679" spans="1:11">
      <c r="A679" s="72"/>
      <c r="B679" s="72"/>
      <c r="C679" s="72"/>
      <c r="D679" s="72"/>
      <c r="E679" s="72"/>
      <c r="F679" s="72"/>
      <c r="G679" s="72"/>
      <c r="H679" s="72"/>
      <c r="I679" s="72"/>
      <c r="J679" s="72"/>
      <c r="K679" s="72"/>
    </row>
    <row r="680" spans="1:11">
      <c r="A680" s="72"/>
      <c r="B680" s="72"/>
      <c r="C680" s="72"/>
      <c r="D680" s="72"/>
      <c r="E680" s="72"/>
      <c r="F680" s="72"/>
      <c r="G680" s="72"/>
      <c r="H680" s="72"/>
      <c r="I680" s="72"/>
      <c r="J680" s="72"/>
      <c r="K680" s="72"/>
    </row>
    <row r="681" spans="1:11">
      <c r="A681" s="72"/>
      <c r="B681" s="72"/>
      <c r="C681" s="72"/>
      <c r="D681" s="72"/>
      <c r="E681" s="72"/>
      <c r="F681" s="72"/>
      <c r="G681" s="72"/>
      <c r="H681" s="72"/>
      <c r="I681" s="72"/>
      <c r="J681" s="72"/>
      <c r="K681" s="72"/>
    </row>
    <row r="682" spans="1:11">
      <c r="A682" s="72"/>
      <c r="B682" s="72"/>
      <c r="C682" s="72"/>
      <c r="D682" s="72"/>
      <c r="E682" s="72"/>
      <c r="F682" s="72"/>
      <c r="G682" s="72"/>
      <c r="H682" s="72"/>
      <c r="I682" s="72"/>
      <c r="J682" s="72"/>
      <c r="K682" s="72"/>
    </row>
    <row r="683" spans="1:11">
      <c r="A683" s="72"/>
      <c r="B683" s="72"/>
      <c r="C683" s="72"/>
      <c r="D683" s="72"/>
      <c r="E683" s="72"/>
      <c r="F683" s="72"/>
      <c r="G683" s="72"/>
      <c r="H683" s="72"/>
      <c r="I683" s="72"/>
      <c r="J683" s="72"/>
      <c r="K683" s="72"/>
    </row>
    <row r="684" spans="1:11">
      <c r="A684" s="72"/>
      <c r="B684" s="72"/>
      <c r="C684" s="72"/>
      <c r="D684" s="72"/>
      <c r="E684" s="72"/>
      <c r="F684" s="72"/>
      <c r="G684" s="72"/>
      <c r="H684" s="72"/>
      <c r="I684" s="72"/>
      <c r="J684" s="72"/>
      <c r="K684" s="72"/>
    </row>
    <row r="685" spans="1:11">
      <c r="A685" s="72"/>
      <c r="B685" s="72"/>
      <c r="C685" s="72"/>
      <c r="D685" s="72"/>
      <c r="E685" s="72"/>
      <c r="F685" s="72"/>
      <c r="G685" s="72"/>
      <c r="H685" s="72"/>
      <c r="I685" s="72"/>
      <c r="J685" s="72"/>
      <c r="K685" s="72"/>
    </row>
    <row r="686" spans="1:11">
      <c r="A686" s="72"/>
      <c r="B686" s="72"/>
      <c r="C686" s="72"/>
      <c r="D686" s="72"/>
      <c r="E686" s="72"/>
      <c r="F686" s="72"/>
      <c r="G686" s="72"/>
      <c r="H686" s="72"/>
      <c r="I686" s="72"/>
      <c r="J686" s="72"/>
      <c r="K686" s="72"/>
    </row>
    <row r="687" spans="1:11">
      <c r="A687" s="72"/>
      <c r="B687" s="72"/>
      <c r="C687" s="72"/>
      <c r="D687" s="72"/>
      <c r="E687" s="72"/>
      <c r="F687" s="72"/>
      <c r="G687" s="72"/>
      <c r="H687" s="72"/>
      <c r="I687" s="72"/>
      <c r="J687" s="72"/>
      <c r="K687" s="72"/>
    </row>
    <row r="688" spans="1:11">
      <c r="A688" s="72"/>
      <c r="B688" s="72"/>
      <c r="C688" s="72"/>
      <c r="D688" s="72"/>
      <c r="E688" s="72"/>
      <c r="F688" s="72"/>
      <c r="G688" s="72"/>
      <c r="H688" s="72"/>
      <c r="I688" s="72"/>
      <c r="J688" s="72"/>
      <c r="K688" s="72"/>
    </row>
    <row r="689" spans="1:11">
      <c r="A689" s="72"/>
      <c r="B689" s="72"/>
      <c r="C689" s="72"/>
      <c r="D689" s="72"/>
      <c r="E689" s="72"/>
      <c r="F689" s="72"/>
      <c r="G689" s="72"/>
      <c r="H689" s="72"/>
      <c r="I689" s="72"/>
      <c r="J689" s="72"/>
      <c r="K689" s="72"/>
    </row>
    <row r="690" spans="1:11">
      <c r="A690" s="72"/>
      <c r="B690" s="72"/>
      <c r="C690" s="72"/>
      <c r="D690" s="72"/>
      <c r="E690" s="72"/>
      <c r="F690" s="72"/>
      <c r="G690" s="72"/>
      <c r="H690" s="72"/>
      <c r="I690" s="72"/>
      <c r="J690" s="72"/>
      <c r="K690" s="72"/>
    </row>
    <row r="691" spans="1:11">
      <c r="A691" s="72"/>
      <c r="B691" s="72"/>
      <c r="C691" s="72"/>
      <c r="D691" s="72"/>
      <c r="E691" s="72"/>
      <c r="F691" s="72"/>
      <c r="G691" s="72"/>
      <c r="H691" s="72"/>
      <c r="I691" s="72"/>
      <c r="J691" s="72"/>
      <c r="K691" s="72"/>
    </row>
    <row r="692" spans="1:11">
      <c r="A692" s="72"/>
      <c r="B692" s="72"/>
      <c r="C692" s="72"/>
      <c r="D692" s="72"/>
      <c r="E692" s="72"/>
      <c r="F692" s="72"/>
      <c r="G692" s="72"/>
      <c r="H692" s="72"/>
      <c r="I692" s="72"/>
      <c r="J692" s="72"/>
      <c r="K692" s="72"/>
    </row>
    <row r="693" spans="1:11">
      <c r="A693" s="72"/>
      <c r="B693" s="72"/>
      <c r="C693" s="72"/>
      <c r="D693" s="72"/>
      <c r="E693" s="72"/>
      <c r="F693" s="72"/>
      <c r="G693" s="72"/>
      <c r="H693" s="72"/>
      <c r="I693" s="72"/>
      <c r="J693" s="72"/>
      <c r="K693" s="72"/>
    </row>
    <row r="694" spans="1:11">
      <c r="A694" s="72"/>
      <c r="B694" s="72"/>
      <c r="C694" s="72"/>
      <c r="D694" s="72"/>
      <c r="E694" s="72"/>
      <c r="F694" s="72"/>
      <c r="G694" s="72"/>
      <c r="H694" s="72"/>
      <c r="I694" s="72"/>
      <c r="J694" s="72"/>
      <c r="K694" s="72"/>
    </row>
    <row r="695" spans="1:11">
      <c r="A695" s="72"/>
      <c r="B695" s="72"/>
      <c r="C695" s="72"/>
      <c r="D695" s="72"/>
      <c r="E695" s="72"/>
      <c r="F695" s="72"/>
      <c r="G695" s="72"/>
      <c r="H695" s="72"/>
      <c r="I695" s="72"/>
      <c r="J695" s="72"/>
      <c r="K695" s="72"/>
    </row>
    <row r="696" spans="1:11">
      <c r="A696" s="72"/>
      <c r="B696" s="72"/>
      <c r="C696" s="72"/>
      <c r="D696" s="72"/>
      <c r="E696" s="72"/>
      <c r="F696" s="72"/>
      <c r="G696" s="72"/>
      <c r="H696" s="72"/>
      <c r="I696" s="72"/>
      <c r="J696" s="72"/>
      <c r="K696" s="72"/>
    </row>
    <row r="697" spans="1:11">
      <c r="A697" s="72"/>
      <c r="B697" s="72"/>
      <c r="C697" s="72"/>
      <c r="D697" s="72"/>
      <c r="E697" s="72"/>
      <c r="F697" s="72"/>
      <c r="G697" s="72"/>
      <c r="H697" s="72"/>
      <c r="I697" s="72"/>
      <c r="J697" s="72"/>
      <c r="K697" s="72"/>
    </row>
    <row r="698" spans="1:11">
      <c r="A698" s="72"/>
      <c r="B698" s="72"/>
      <c r="C698" s="72"/>
      <c r="D698" s="72"/>
      <c r="E698" s="72"/>
      <c r="F698" s="72"/>
      <c r="G698" s="72"/>
      <c r="H698" s="72"/>
      <c r="I698" s="72"/>
      <c r="J698" s="72"/>
      <c r="K698" s="72"/>
    </row>
    <row r="699" spans="1:11">
      <c r="A699" s="72"/>
      <c r="B699" s="72"/>
      <c r="C699" s="72"/>
      <c r="D699" s="72"/>
      <c r="E699" s="72"/>
      <c r="F699" s="72"/>
      <c r="G699" s="72"/>
      <c r="H699" s="72"/>
      <c r="I699" s="72"/>
      <c r="J699" s="72"/>
      <c r="K699" s="72"/>
    </row>
    <row r="700" spans="1:11">
      <c r="A700" s="72"/>
      <c r="B700" s="72"/>
      <c r="C700" s="72"/>
      <c r="D700" s="72"/>
      <c r="E700" s="72"/>
      <c r="F700" s="72"/>
      <c r="G700" s="72"/>
      <c r="H700" s="72"/>
      <c r="I700" s="72"/>
      <c r="J700" s="72"/>
      <c r="K700" s="72"/>
    </row>
    <row r="701" spans="1:11">
      <c r="A701" s="72"/>
      <c r="B701" s="72"/>
      <c r="C701" s="72"/>
      <c r="D701" s="72"/>
      <c r="E701" s="72"/>
      <c r="F701" s="72"/>
      <c r="G701" s="72"/>
      <c r="H701" s="72"/>
      <c r="I701" s="72"/>
      <c r="J701" s="72"/>
      <c r="K701" s="72"/>
    </row>
    <row r="702" spans="1:11">
      <c r="A702" s="72"/>
      <c r="B702" s="72"/>
      <c r="C702" s="72"/>
      <c r="D702" s="72"/>
      <c r="E702" s="72"/>
      <c r="F702" s="72"/>
      <c r="G702" s="72"/>
      <c r="H702" s="72"/>
      <c r="I702" s="72"/>
      <c r="J702" s="72"/>
      <c r="K702" s="72"/>
    </row>
    <row r="703" spans="1:11">
      <c r="A703" s="72"/>
      <c r="B703" s="72"/>
      <c r="C703" s="72"/>
      <c r="D703" s="72"/>
      <c r="E703" s="72"/>
      <c r="F703" s="72"/>
      <c r="G703" s="72"/>
      <c r="H703" s="72"/>
      <c r="I703" s="72"/>
      <c r="J703" s="72"/>
      <c r="K703" s="72"/>
    </row>
    <row r="704" spans="1:11">
      <c r="A704" s="72"/>
      <c r="B704" s="72"/>
      <c r="C704" s="72"/>
      <c r="D704" s="72"/>
      <c r="E704" s="72"/>
      <c r="F704" s="72"/>
      <c r="G704" s="72"/>
      <c r="H704" s="72"/>
      <c r="I704" s="72"/>
      <c r="J704" s="72"/>
      <c r="K704" s="72"/>
    </row>
    <row r="705" spans="1:11">
      <c r="A705" s="72"/>
      <c r="B705" s="72"/>
      <c r="C705" s="72"/>
      <c r="D705" s="72"/>
      <c r="E705" s="72"/>
      <c r="F705" s="72"/>
      <c r="G705" s="72"/>
      <c r="H705" s="72"/>
      <c r="I705" s="72"/>
      <c r="J705" s="72"/>
      <c r="K705" s="72"/>
    </row>
    <row r="706" spans="1:11">
      <c r="A706" s="72"/>
      <c r="B706" s="72"/>
      <c r="C706" s="72"/>
      <c r="D706" s="72"/>
      <c r="E706" s="72"/>
      <c r="F706" s="72"/>
      <c r="G706" s="72"/>
      <c r="H706" s="72"/>
      <c r="I706" s="72"/>
      <c r="J706" s="72"/>
      <c r="K706" s="72"/>
    </row>
    <row r="707" spans="1:11">
      <c r="A707" s="72"/>
      <c r="B707" s="72"/>
      <c r="C707" s="72"/>
      <c r="D707" s="72"/>
      <c r="E707" s="72"/>
      <c r="F707" s="72"/>
      <c r="G707" s="72"/>
      <c r="H707" s="72"/>
      <c r="I707" s="72"/>
      <c r="J707" s="72"/>
      <c r="K707" s="72"/>
    </row>
    <row r="708" spans="1:11">
      <c r="A708" s="72"/>
      <c r="B708" s="72"/>
      <c r="C708" s="72"/>
      <c r="D708" s="72"/>
      <c r="E708" s="72"/>
      <c r="F708" s="72"/>
      <c r="G708" s="72"/>
      <c r="H708" s="72"/>
      <c r="I708" s="72"/>
      <c r="J708" s="72"/>
      <c r="K708" s="72"/>
    </row>
    <row r="709" spans="1:11">
      <c r="A709" s="72"/>
      <c r="B709" s="72"/>
      <c r="C709" s="72"/>
      <c r="D709" s="72"/>
      <c r="E709" s="72"/>
      <c r="F709" s="72"/>
      <c r="G709" s="72"/>
      <c r="H709" s="72"/>
      <c r="I709" s="72"/>
      <c r="J709" s="72"/>
      <c r="K709" s="72"/>
    </row>
    <row r="710" spans="1:11">
      <c r="A710" s="72"/>
      <c r="B710" s="72"/>
      <c r="C710" s="72"/>
      <c r="D710" s="72"/>
      <c r="E710" s="72"/>
      <c r="F710" s="72"/>
      <c r="G710" s="72"/>
      <c r="H710" s="72"/>
      <c r="I710" s="72"/>
      <c r="J710" s="72"/>
      <c r="K710" s="72"/>
    </row>
    <row r="711" spans="1:11">
      <c r="A711" s="72"/>
      <c r="B711" s="72"/>
      <c r="C711" s="72"/>
      <c r="D711" s="72"/>
      <c r="E711" s="72"/>
      <c r="F711" s="72"/>
      <c r="G711" s="72"/>
      <c r="H711" s="72"/>
      <c r="I711" s="72"/>
      <c r="J711" s="72"/>
      <c r="K711" s="72"/>
    </row>
    <row r="712" spans="1:11">
      <c r="A712" s="72"/>
      <c r="B712" s="72"/>
      <c r="C712" s="72"/>
      <c r="D712" s="72"/>
      <c r="E712" s="72"/>
      <c r="F712" s="72"/>
      <c r="G712" s="72"/>
      <c r="H712" s="72"/>
      <c r="I712" s="72"/>
      <c r="J712" s="72"/>
      <c r="K712" s="72"/>
    </row>
    <row r="713" spans="1:11">
      <c r="A713" s="72"/>
      <c r="B713" s="72"/>
      <c r="C713" s="72"/>
      <c r="D713" s="72"/>
      <c r="E713" s="72"/>
      <c r="F713" s="72"/>
      <c r="G713" s="72"/>
      <c r="H713" s="72"/>
      <c r="I713" s="72"/>
      <c r="J713" s="72"/>
      <c r="K713" s="72"/>
    </row>
    <row r="714" spans="1:11">
      <c r="A714" s="72"/>
      <c r="B714" s="72"/>
      <c r="C714" s="72"/>
      <c r="D714" s="72"/>
      <c r="E714" s="72"/>
      <c r="F714" s="72"/>
      <c r="G714" s="72"/>
      <c r="H714" s="72"/>
      <c r="I714" s="72"/>
      <c r="J714" s="72"/>
      <c r="K714" s="72"/>
    </row>
    <row r="715" spans="1:11">
      <c r="A715" s="72"/>
      <c r="B715" s="72"/>
      <c r="C715" s="72"/>
      <c r="D715" s="72"/>
      <c r="E715" s="72"/>
      <c r="F715" s="72"/>
      <c r="G715" s="72"/>
      <c r="H715" s="72"/>
      <c r="I715" s="72"/>
      <c r="J715" s="72"/>
      <c r="K715" s="72"/>
    </row>
    <row r="716" spans="1:11">
      <c r="A716" s="72"/>
      <c r="B716" s="72"/>
      <c r="C716" s="72"/>
      <c r="D716" s="72"/>
      <c r="E716" s="72"/>
      <c r="F716" s="72"/>
      <c r="G716" s="72"/>
      <c r="H716" s="72"/>
      <c r="I716" s="72"/>
      <c r="J716" s="72"/>
      <c r="K716" s="72"/>
    </row>
    <row r="717" spans="1:11">
      <c r="A717" s="72"/>
      <c r="B717" s="72"/>
      <c r="C717" s="72"/>
      <c r="D717" s="72"/>
      <c r="E717" s="72"/>
      <c r="F717" s="72"/>
      <c r="G717" s="72"/>
      <c r="H717" s="72"/>
      <c r="I717" s="72"/>
      <c r="J717" s="72"/>
      <c r="K717" s="72"/>
    </row>
    <row r="718" spans="1:11">
      <c r="A718" s="72"/>
      <c r="B718" s="72"/>
      <c r="C718" s="72"/>
      <c r="D718" s="72"/>
      <c r="E718" s="72"/>
      <c r="F718" s="72"/>
      <c r="G718" s="72"/>
      <c r="H718" s="72"/>
      <c r="I718" s="72"/>
      <c r="J718" s="72"/>
      <c r="K718" s="72"/>
    </row>
    <row r="719" spans="1:11">
      <c r="A719" s="72"/>
      <c r="B719" s="72"/>
      <c r="C719" s="72"/>
      <c r="D719" s="72"/>
      <c r="E719" s="72"/>
      <c r="F719" s="72"/>
      <c r="G719" s="72"/>
      <c r="H719" s="72"/>
      <c r="I719" s="72"/>
      <c r="J719" s="72"/>
      <c r="K719" s="72"/>
    </row>
    <row r="720" spans="1:11">
      <c r="A720" s="72"/>
      <c r="B720" s="72"/>
      <c r="C720" s="72"/>
      <c r="D720" s="72"/>
      <c r="E720" s="72"/>
      <c r="F720" s="72"/>
      <c r="G720" s="72"/>
      <c r="H720" s="72"/>
      <c r="I720" s="72"/>
      <c r="J720" s="72"/>
      <c r="K720" s="72"/>
    </row>
    <row r="721" spans="1:11">
      <c r="A721" s="72"/>
      <c r="B721" s="72"/>
      <c r="C721" s="72"/>
      <c r="D721" s="72"/>
      <c r="E721" s="72"/>
      <c r="F721" s="72"/>
      <c r="G721" s="72"/>
      <c r="H721" s="72"/>
      <c r="I721" s="72"/>
      <c r="J721" s="72"/>
      <c r="K721" s="72"/>
    </row>
    <row r="722" spans="1:11">
      <c r="A722" s="72"/>
      <c r="B722" s="72"/>
      <c r="C722" s="72"/>
      <c r="D722" s="72"/>
      <c r="E722" s="72"/>
      <c r="F722" s="72"/>
      <c r="G722" s="72"/>
      <c r="H722" s="72"/>
      <c r="I722" s="72"/>
      <c r="J722" s="72"/>
      <c r="K722" s="72"/>
    </row>
    <row r="723" spans="1:11">
      <c r="A723" s="72"/>
      <c r="B723" s="72"/>
      <c r="C723" s="72"/>
      <c r="D723" s="72"/>
      <c r="E723" s="72"/>
      <c r="F723" s="72"/>
      <c r="G723" s="72"/>
      <c r="H723" s="72"/>
      <c r="I723" s="72"/>
      <c r="J723" s="72"/>
      <c r="K723" s="72"/>
    </row>
    <row r="724" spans="1:11">
      <c r="A724" s="72"/>
      <c r="B724" s="72"/>
      <c r="C724" s="72"/>
      <c r="D724" s="72"/>
      <c r="E724" s="72"/>
      <c r="F724" s="72"/>
      <c r="G724" s="72"/>
      <c r="H724" s="72"/>
      <c r="I724" s="72"/>
      <c r="J724" s="72"/>
      <c r="K724" s="72"/>
    </row>
    <row r="725" spans="1:11">
      <c r="A725" s="72"/>
      <c r="B725" s="72"/>
      <c r="C725" s="72"/>
      <c r="D725" s="72"/>
      <c r="E725" s="72"/>
      <c r="F725" s="72"/>
      <c r="G725" s="72"/>
      <c r="H725" s="72"/>
      <c r="I725" s="72"/>
      <c r="J725" s="72"/>
      <c r="K725" s="72"/>
    </row>
    <row r="726" spans="1:11">
      <c r="A726" s="72"/>
      <c r="B726" s="72"/>
      <c r="C726" s="72"/>
      <c r="D726" s="72"/>
      <c r="E726" s="72"/>
      <c r="F726" s="72"/>
      <c r="G726" s="72"/>
      <c r="H726" s="72"/>
      <c r="I726" s="72"/>
      <c r="J726" s="72"/>
      <c r="K726" s="72"/>
    </row>
    <row r="727" spans="1:11">
      <c r="A727" s="72"/>
      <c r="B727" s="72"/>
      <c r="C727" s="72"/>
      <c r="D727" s="72"/>
      <c r="E727" s="72"/>
      <c r="F727" s="72"/>
      <c r="G727" s="72"/>
      <c r="H727" s="72"/>
      <c r="I727" s="72"/>
      <c r="J727" s="72"/>
      <c r="K727" s="72"/>
    </row>
    <row r="728" spans="1:11">
      <c r="A728" s="72"/>
      <c r="B728" s="72"/>
      <c r="C728" s="72"/>
      <c r="D728" s="72"/>
      <c r="E728" s="72"/>
      <c r="F728" s="72"/>
      <c r="G728" s="72"/>
      <c r="H728" s="72"/>
      <c r="I728" s="72"/>
      <c r="J728" s="72"/>
      <c r="K728" s="72"/>
    </row>
    <row r="729" spans="1:11">
      <c r="A729" s="72"/>
      <c r="B729" s="72"/>
      <c r="C729" s="72"/>
      <c r="D729" s="72"/>
      <c r="E729" s="72"/>
      <c r="F729" s="72"/>
      <c r="G729" s="72"/>
      <c r="H729" s="72"/>
      <c r="I729" s="72"/>
      <c r="J729" s="72"/>
      <c r="K729" s="72"/>
    </row>
    <row r="730" spans="1:11">
      <c r="A730" s="72"/>
      <c r="B730" s="72"/>
      <c r="C730" s="72"/>
      <c r="D730" s="72"/>
      <c r="E730" s="72"/>
      <c r="F730" s="72"/>
      <c r="G730" s="72"/>
      <c r="H730" s="72"/>
      <c r="I730" s="72"/>
      <c r="J730" s="72"/>
      <c r="K730" s="72"/>
    </row>
    <row r="731" spans="1:11">
      <c r="A731" s="72"/>
      <c r="B731" s="72"/>
      <c r="C731" s="72"/>
      <c r="D731" s="72"/>
      <c r="E731" s="72"/>
      <c r="F731" s="72"/>
      <c r="G731" s="72"/>
      <c r="H731" s="72"/>
      <c r="I731" s="72"/>
      <c r="J731" s="72"/>
      <c r="K731" s="72"/>
    </row>
    <row r="732" spans="1:11">
      <c r="A732" s="72"/>
      <c r="B732" s="72"/>
      <c r="C732" s="72"/>
      <c r="D732" s="72"/>
      <c r="E732" s="72"/>
      <c r="F732" s="72"/>
      <c r="G732" s="72"/>
      <c r="H732" s="72"/>
      <c r="I732" s="72"/>
      <c r="J732" s="72"/>
      <c r="K732" s="72"/>
    </row>
    <row r="733" spans="1:11">
      <c r="A733" s="72"/>
      <c r="B733" s="72"/>
      <c r="C733" s="72"/>
      <c r="D733" s="72"/>
      <c r="E733" s="72"/>
      <c r="F733" s="72"/>
      <c r="G733" s="72"/>
      <c r="H733" s="72"/>
      <c r="I733" s="72"/>
      <c r="J733" s="72"/>
      <c r="K733" s="72"/>
    </row>
    <row r="734" spans="1:11">
      <c r="A734" s="72"/>
      <c r="B734" s="72"/>
      <c r="C734" s="72"/>
      <c r="D734" s="72"/>
      <c r="E734" s="72"/>
      <c r="F734" s="72"/>
      <c r="G734" s="72"/>
      <c r="H734" s="72"/>
      <c r="I734" s="72"/>
      <c r="J734" s="72"/>
      <c r="K734" s="72"/>
    </row>
    <row r="735" spans="1:11">
      <c r="A735" s="72"/>
      <c r="B735" s="72"/>
      <c r="C735" s="72"/>
      <c r="D735" s="72"/>
      <c r="E735" s="72"/>
      <c r="F735" s="72"/>
      <c r="G735" s="72"/>
      <c r="H735" s="72"/>
      <c r="I735" s="72"/>
      <c r="J735" s="72"/>
      <c r="K735" s="72"/>
    </row>
    <row r="736" spans="1:11">
      <c r="A736" s="72"/>
      <c r="B736" s="72"/>
      <c r="C736" s="72"/>
      <c r="D736" s="72"/>
      <c r="E736" s="72"/>
      <c r="F736" s="72"/>
      <c r="G736" s="72"/>
      <c r="H736" s="72"/>
      <c r="I736" s="72"/>
      <c r="J736" s="72"/>
      <c r="K736" s="72"/>
    </row>
    <row r="737" spans="1:11">
      <c r="A737" s="72"/>
      <c r="B737" s="72"/>
      <c r="C737" s="72"/>
      <c r="D737" s="72"/>
      <c r="E737" s="72"/>
      <c r="F737" s="72"/>
      <c r="G737" s="72"/>
      <c r="H737" s="72"/>
      <c r="I737" s="72"/>
      <c r="J737" s="72"/>
      <c r="K737" s="72"/>
    </row>
    <row r="738" spans="1:11">
      <c r="A738" s="72"/>
      <c r="B738" s="72"/>
      <c r="C738" s="72"/>
      <c r="D738" s="72"/>
      <c r="E738" s="72"/>
      <c r="F738" s="72"/>
      <c r="G738" s="72"/>
      <c r="H738" s="72"/>
      <c r="I738" s="72"/>
      <c r="J738" s="72"/>
      <c r="K738" s="72"/>
    </row>
    <row r="739" spans="1:11">
      <c r="A739" s="72"/>
      <c r="B739" s="72"/>
      <c r="C739" s="72"/>
      <c r="D739" s="72"/>
      <c r="E739" s="72"/>
      <c r="F739" s="72"/>
      <c r="G739" s="72"/>
      <c r="H739" s="72"/>
      <c r="I739" s="72"/>
      <c r="J739" s="72"/>
      <c r="K739" s="72"/>
    </row>
    <row r="740" spans="1:11">
      <c r="A740" s="72"/>
      <c r="B740" s="72"/>
      <c r="C740" s="72"/>
      <c r="D740" s="72"/>
      <c r="E740" s="72"/>
      <c r="F740" s="72"/>
      <c r="G740" s="72"/>
      <c r="H740" s="72"/>
      <c r="I740" s="72"/>
      <c r="J740" s="72"/>
      <c r="K740" s="72"/>
    </row>
    <row r="741" spans="1:11">
      <c r="A741" s="72"/>
      <c r="B741" s="72"/>
      <c r="C741" s="72"/>
      <c r="D741" s="72"/>
      <c r="E741" s="72"/>
      <c r="F741" s="72"/>
      <c r="G741" s="72"/>
      <c r="H741" s="72"/>
      <c r="I741" s="72"/>
      <c r="J741" s="72"/>
      <c r="K741" s="72"/>
    </row>
    <row r="742" spans="1:11">
      <c r="A742" s="72"/>
      <c r="B742" s="72"/>
      <c r="C742" s="72"/>
      <c r="D742" s="72"/>
      <c r="E742" s="72"/>
      <c r="F742" s="72"/>
      <c r="G742" s="72"/>
      <c r="H742" s="72"/>
      <c r="I742" s="72"/>
      <c r="J742" s="72"/>
      <c r="K742" s="72"/>
    </row>
    <row r="743" spans="1:11">
      <c r="A743" s="72"/>
      <c r="B743" s="72"/>
      <c r="C743" s="72"/>
      <c r="D743" s="72"/>
      <c r="E743" s="72"/>
      <c r="F743" s="72"/>
      <c r="G743" s="72"/>
      <c r="H743" s="72"/>
      <c r="I743" s="72"/>
      <c r="J743" s="72"/>
      <c r="K743" s="72"/>
    </row>
    <row r="744" spans="1:11">
      <c r="A744" s="72"/>
      <c r="B744" s="72"/>
      <c r="C744" s="72"/>
      <c r="D744" s="72"/>
      <c r="E744" s="72"/>
      <c r="F744" s="72"/>
      <c r="G744" s="72"/>
      <c r="H744" s="72"/>
      <c r="I744" s="72"/>
      <c r="J744" s="72"/>
      <c r="K744" s="72"/>
    </row>
    <row r="745" spans="1:11">
      <c r="A745" s="72"/>
      <c r="B745" s="72"/>
      <c r="C745" s="72"/>
      <c r="D745" s="72"/>
      <c r="E745" s="72"/>
      <c r="F745" s="72"/>
      <c r="G745" s="72"/>
      <c r="H745" s="72"/>
      <c r="I745" s="72"/>
      <c r="J745" s="72"/>
      <c r="K745" s="72"/>
    </row>
    <row r="746" spans="1:11">
      <c r="A746" s="72"/>
      <c r="B746" s="72"/>
      <c r="C746" s="72"/>
      <c r="D746" s="72"/>
      <c r="E746" s="72"/>
      <c r="F746" s="72"/>
      <c r="G746" s="72"/>
      <c r="H746" s="72"/>
      <c r="I746" s="72"/>
      <c r="J746" s="72"/>
      <c r="K746" s="72"/>
    </row>
    <row r="747" spans="1:11">
      <c r="A747" s="72"/>
      <c r="B747" s="72"/>
      <c r="C747" s="72"/>
      <c r="D747" s="72"/>
      <c r="E747" s="72"/>
      <c r="F747" s="72"/>
      <c r="G747" s="72"/>
      <c r="H747" s="72"/>
      <c r="I747" s="72"/>
      <c r="J747" s="72"/>
      <c r="K747" s="72"/>
    </row>
    <row r="748" spans="1:11">
      <c r="A748" s="72"/>
      <c r="B748" s="72"/>
      <c r="C748" s="72"/>
      <c r="D748" s="72"/>
      <c r="E748" s="72"/>
      <c r="F748" s="72"/>
      <c r="G748" s="72"/>
      <c r="H748" s="72"/>
      <c r="I748" s="72"/>
      <c r="J748" s="72"/>
      <c r="K748" s="72"/>
    </row>
    <row r="749" spans="1:11">
      <c r="A749" s="72"/>
      <c r="B749" s="72"/>
      <c r="C749" s="72"/>
      <c r="D749" s="72"/>
      <c r="E749" s="72"/>
      <c r="F749" s="72"/>
      <c r="G749" s="72"/>
      <c r="H749" s="72"/>
      <c r="I749" s="72"/>
      <c r="J749" s="72"/>
      <c r="K749" s="72"/>
    </row>
    <row r="750" spans="1:11">
      <c r="A750" s="72"/>
      <c r="B750" s="72"/>
      <c r="C750" s="72"/>
      <c r="D750" s="72"/>
      <c r="E750" s="72"/>
      <c r="F750" s="72"/>
      <c r="G750" s="72"/>
      <c r="H750" s="72"/>
      <c r="I750" s="72"/>
      <c r="J750" s="72"/>
      <c r="K750" s="72"/>
    </row>
    <row r="751" spans="1:11">
      <c r="A751" s="72"/>
      <c r="B751" s="72"/>
      <c r="C751" s="72"/>
      <c r="D751" s="72"/>
      <c r="E751" s="72"/>
      <c r="F751" s="72"/>
      <c r="G751" s="72"/>
      <c r="H751" s="72"/>
      <c r="I751" s="72"/>
      <c r="J751" s="72"/>
      <c r="K751" s="72"/>
    </row>
    <row r="752" spans="1:11">
      <c r="A752" s="72"/>
      <c r="B752" s="72"/>
      <c r="C752" s="72"/>
      <c r="D752" s="72"/>
      <c r="E752" s="72"/>
      <c r="F752" s="72"/>
      <c r="G752" s="72"/>
      <c r="H752" s="72"/>
      <c r="I752" s="72"/>
      <c r="J752" s="72"/>
      <c r="K752" s="72"/>
    </row>
    <row r="753" spans="1:11">
      <c r="A753" s="72"/>
      <c r="B753" s="72"/>
      <c r="C753" s="72"/>
      <c r="D753" s="72"/>
      <c r="E753" s="72"/>
      <c r="F753" s="72"/>
      <c r="G753" s="72"/>
      <c r="H753" s="72"/>
      <c r="I753" s="72"/>
      <c r="J753" s="72"/>
      <c r="K753" s="72"/>
    </row>
    <row r="754" spans="1:11">
      <c r="A754" s="72"/>
      <c r="B754" s="72"/>
      <c r="C754" s="72"/>
      <c r="D754" s="72"/>
      <c r="E754" s="72"/>
      <c r="F754" s="72"/>
      <c r="G754" s="72"/>
      <c r="H754" s="72"/>
      <c r="I754" s="72"/>
      <c r="J754" s="72"/>
      <c r="K754" s="72"/>
    </row>
    <row r="755" spans="1:11">
      <c r="A755" s="72"/>
      <c r="B755" s="72"/>
      <c r="C755" s="72"/>
      <c r="D755" s="72"/>
      <c r="E755" s="72"/>
      <c r="F755" s="72"/>
      <c r="G755" s="72"/>
      <c r="H755" s="72"/>
      <c r="I755" s="72"/>
      <c r="J755" s="72"/>
      <c r="K755" s="72"/>
    </row>
    <row r="756" spans="1:11">
      <c r="A756" s="72"/>
      <c r="B756" s="72"/>
      <c r="C756" s="72"/>
      <c r="D756" s="72"/>
      <c r="E756" s="72"/>
      <c r="F756" s="72"/>
      <c r="G756" s="72"/>
      <c r="H756" s="72"/>
      <c r="I756" s="72"/>
      <c r="J756" s="72"/>
      <c r="K756" s="72"/>
    </row>
    <row r="757" spans="1:11">
      <c r="A757" s="72"/>
      <c r="B757" s="72"/>
      <c r="C757" s="72"/>
      <c r="D757" s="72"/>
      <c r="E757" s="72"/>
      <c r="F757" s="72"/>
      <c r="G757" s="72"/>
      <c r="H757" s="72"/>
      <c r="I757" s="72"/>
      <c r="J757" s="72"/>
      <c r="K757" s="72"/>
    </row>
    <row r="758" spans="1:11">
      <c r="A758" s="72"/>
      <c r="B758" s="72"/>
      <c r="C758" s="72"/>
      <c r="D758" s="72"/>
      <c r="E758" s="72"/>
      <c r="F758" s="72"/>
      <c r="G758" s="72"/>
      <c r="H758" s="72"/>
      <c r="I758" s="72"/>
      <c r="J758" s="72"/>
      <c r="K758" s="72"/>
    </row>
    <row r="759" spans="1:11">
      <c r="A759" s="72"/>
      <c r="B759" s="72"/>
      <c r="C759" s="72"/>
      <c r="D759" s="72"/>
      <c r="E759" s="72"/>
      <c r="F759" s="72"/>
      <c r="G759" s="72"/>
      <c r="H759" s="72"/>
      <c r="I759" s="72"/>
      <c r="J759" s="72"/>
      <c r="K759" s="72"/>
    </row>
    <row r="760" spans="1:11">
      <c r="A760" s="72"/>
      <c r="B760" s="72"/>
      <c r="C760" s="72"/>
      <c r="D760" s="72"/>
      <c r="E760" s="72"/>
      <c r="F760" s="72"/>
      <c r="G760" s="72"/>
      <c r="H760" s="72"/>
      <c r="I760" s="72"/>
      <c r="J760" s="72"/>
      <c r="K760" s="72"/>
    </row>
    <row r="761" spans="1:11">
      <c r="A761" s="72"/>
      <c r="B761" s="72"/>
      <c r="C761" s="72"/>
      <c r="D761" s="72"/>
      <c r="E761" s="72"/>
      <c r="F761" s="72"/>
      <c r="G761" s="72"/>
      <c r="H761" s="72"/>
      <c r="I761" s="72"/>
      <c r="J761" s="72"/>
      <c r="K761" s="72"/>
    </row>
    <row r="762" spans="1:11">
      <c r="A762" s="72"/>
      <c r="B762" s="72"/>
      <c r="C762" s="72"/>
      <c r="D762" s="72"/>
      <c r="E762" s="72"/>
      <c r="F762" s="72"/>
      <c r="G762" s="72"/>
      <c r="H762" s="72"/>
      <c r="I762" s="72"/>
      <c r="J762" s="72"/>
      <c r="K762" s="72"/>
    </row>
    <row r="763" spans="1:11">
      <c r="A763" s="72"/>
      <c r="B763" s="72"/>
      <c r="C763" s="72"/>
      <c r="D763" s="72"/>
      <c r="E763" s="72"/>
      <c r="F763" s="72"/>
      <c r="G763" s="72"/>
      <c r="H763" s="72"/>
      <c r="I763" s="72"/>
      <c r="J763" s="72"/>
      <c r="K763" s="72"/>
    </row>
    <row r="764" spans="1:11">
      <c r="A764" s="72"/>
      <c r="B764" s="72"/>
      <c r="C764" s="72"/>
      <c r="D764" s="72"/>
      <c r="E764" s="72"/>
      <c r="F764" s="72"/>
      <c r="G764" s="72"/>
      <c r="H764" s="72"/>
      <c r="I764" s="72"/>
      <c r="J764" s="72"/>
      <c r="K764" s="72"/>
    </row>
    <row r="765" spans="1:11">
      <c r="A765" s="72"/>
      <c r="B765" s="72"/>
      <c r="C765" s="72"/>
      <c r="D765" s="72"/>
      <c r="E765" s="72"/>
      <c r="F765" s="72"/>
      <c r="G765" s="72"/>
      <c r="H765" s="72"/>
      <c r="I765" s="72"/>
      <c r="J765" s="72"/>
      <c r="K765" s="72"/>
    </row>
    <row r="766" spans="1:11">
      <c r="A766" s="72"/>
      <c r="B766" s="72"/>
      <c r="C766" s="72"/>
      <c r="D766" s="72"/>
      <c r="E766" s="72"/>
      <c r="F766" s="72"/>
      <c r="G766" s="72"/>
      <c r="H766" s="72"/>
      <c r="I766" s="72"/>
      <c r="J766" s="72"/>
      <c r="K766" s="72"/>
    </row>
    <row r="767" spans="1:11">
      <c r="A767" s="72"/>
      <c r="B767" s="72"/>
      <c r="C767" s="72"/>
      <c r="D767" s="72"/>
      <c r="E767" s="72"/>
      <c r="F767" s="72"/>
      <c r="G767" s="72"/>
      <c r="H767" s="72"/>
      <c r="I767" s="72"/>
      <c r="J767" s="72"/>
      <c r="K767" s="72"/>
    </row>
    <row r="768" spans="1:11">
      <c r="A768" s="72"/>
      <c r="B768" s="72"/>
      <c r="C768" s="72"/>
      <c r="D768" s="72"/>
      <c r="E768" s="72"/>
      <c r="F768" s="72"/>
      <c r="G768" s="72"/>
      <c r="H768" s="72"/>
      <c r="I768" s="72"/>
      <c r="J768" s="72"/>
      <c r="K768" s="72"/>
    </row>
    <row r="769" spans="1:11">
      <c r="A769" s="72"/>
      <c r="B769" s="72"/>
      <c r="C769" s="72"/>
      <c r="D769" s="72"/>
      <c r="E769" s="72"/>
      <c r="F769" s="72"/>
      <c r="G769" s="72"/>
      <c r="H769" s="72"/>
      <c r="I769" s="72"/>
      <c r="J769" s="72"/>
      <c r="K769" s="72"/>
    </row>
    <row r="770" spans="1:11">
      <c r="A770" s="72"/>
      <c r="B770" s="72"/>
      <c r="C770" s="72"/>
      <c r="D770" s="72"/>
      <c r="E770" s="72"/>
      <c r="F770" s="72"/>
      <c r="G770" s="72"/>
      <c r="H770" s="72"/>
      <c r="I770" s="72"/>
      <c r="J770" s="72"/>
      <c r="K770" s="72"/>
    </row>
    <row r="771" spans="1:11">
      <c r="A771" s="72"/>
      <c r="B771" s="72"/>
      <c r="C771" s="72"/>
      <c r="D771" s="72"/>
      <c r="E771" s="72"/>
      <c r="F771" s="72"/>
      <c r="G771" s="72"/>
      <c r="H771" s="72"/>
      <c r="I771" s="72"/>
      <c r="J771" s="72"/>
      <c r="K771" s="72"/>
    </row>
    <row r="772" spans="1:11">
      <c r="A772" s="72"/>
      <c r="B772" s="72"/>
      <c r="C772" s="72"/>
      <c r="D772" s="72"/>
      <c r="E772" s="72"/>
      <c r="F772" s="72"/>
      <c r="G772" s="72"/>
      <c r="H772" s="72"/>
      <c r="I772" s="72"/>
      <c r="J772" s="72"/>
      <c r="K772" s="72"/>
    </row>
    <row r="773" spans="1:11">
      <c r="A773" s="72"/>
      <c r="B773" s="72"/>
      <c r="C773" s="72"/>
      <c r="D773" s="72"/>
      <c r="E773" s="72"/>
      <c r="F773" s="72"/>
      <c r="G773" s="72"/>
      <c r="H773" s="72"/>
      <c r="I773" s="72"/>
      <c r="J773" s="72"/>
      <c r="K773" s="72"/>
    </row>
    <row r="774" spans="1:11">
      <c r="A774" s="72"/>
      <c r="B774" s="72"/>
      <c r="C774" s="72"/>
      <c r="D774" s="72"/>
      <c r="E774" s="72"/>
      <c r="F774" s="72"/>
      <c r="G774" s="72"/>
      <c r="H774" s="72"/>
      <c r="I774" s="72"/>
      <c r="J774" s="72"/>
      <c r="K774" s="72"/>
    </row>
    <row r="775" spans="1:11">
      <c r="A775" s="72"/>
      <c r="B775" s="72"/>
      <c r="C775" s="72"/>
      <c r="D775" s="72"/>
      <c r="E775" s="72"/>
      <c r="F775" s="72"/>
      <c r="G775" s="72"/>
      <c r="H775" s="72"/>
      <c r="I775" s="72"/>
      <c r="J775" s="72"/>
      <c r="K775" s="72"/>
    </row>
    <row r="776" spans="1:11">
      <c r="A776" s="72"/>
      <c r="B776" s="72"/>
      <c r="C776" s="72"/>
      <c r="D776" s="72"/>
      <c r="E776" s="72"/>
      <c r="F776" s="72"/>
      <c r="G776" s="72"/>
      <c r="H776" s="72"/>
      <c r="I776" s="72"/>
      <c r="J776" s="72"/>
      <c r="K776" s="72"/>
    </row>
    <row r="777" spans="1:11">
      <c r="A777" s="72"/>
      <c r="B777" s="72"/>
      <c r="C777" s="72"/>
      <c r="D777" s="72"/>
      <c r="E777" s="72"/>
      <c r="F777" s="72"/>
      <c r="G777" s="72"/>
      <c r="H777" s="72"/>
      <c r="I777" s="72"/>
      <c r="J777" s="72"/>
      <c r="K777" s="72"/>
    </row>
    <row r="778" spans="1:11">
      <c r="A778" s="72"/>
      <c r="B778" s="72"/>
      <c r="C778" s="72"/>
      <c r="D778" s="72"/>
      <c r="E778" s="72"/>
      <c r="F778" s="72"/>
      <c r="G778" s="72"/>
      <c r="H778" s="72"/>
      <c r="I778" s="72"/>
      <c r="J778" s="72"/>
      <c r="K778" s="72"/>
    </row>
    <row r="779" spans="1:11">
      <c r="A779" s="72"/>
      <c r="B779" s="72"/>
      <c r="C779" s="72"/>
      <c r="D779" s="72"/>
      <c r="E779" s="72"/>
      <c r="F779" s="72"/>
      <c r="G779" s="72"/>
      <c r="H779" s="72"/>
      <c r="I779" s="72"/>
      <c r="J779" s="72"/>
      <c r="K779" s="72"/>
    </row>
    <row r="780" spans="1:11">
      <c r="A780" s="72"/>
      <c r="B780" s="72"/>
      <c r="C780" s="72"/>
      <c r="D780" s="72"/>
      <c r="E780" s="72"/>
      <c r="F780" s="72"/>
      <c r="G780" s="72"/>
      <c r="H780" s="72"/>
      <c r="I780" s="72"/>
      <c r="J780" s="72"/>
      <c r="K780" s="72"/>
    </row>
    <row r="781" spans="1:11">
      <c r="A781" s="72"/>
      <c r="B781" s="72"/>
      <c r="C781" s="72"/>
      <c r="D781" s="72"/>
      <c r="E781" s="72"/>
      <c r="F781" s="72"/>
      <c r="G781" s="72"/>
      <c r="H781" s="72"/>
      <c r="I781" s="72"/>
      <c r="J781" s="72"/>
      <c r="K781" s="72"/>
    </row>
    <row r="782" spans="1:11">
      <c r="A782" s="72"/>
      <c r="B782" s="72"/>
      <c r="C782" s="72"/>
      <c r="D782" s="72"/>
      <c r="E782" s="72"/>
      <c r="F782" s="72"/>
      <c r="G782" s="72"/>
      <c r="H782" s="72"/>
      <c r="I782" s="72"/>
      <c r="J782" s="72"/>
      <c r="K782" s="72"/>
    </row>
    <row r="783" spans="1:11">
      <c r="A783" s="72"/>
      <c r="B783" s="72"/>
      <c r="C783" s="72"/>
      <c r="D783" s="72"/>
      <c r="E783" s="72"/>
      <c r="F783" s="72"/>
      <c r="G783" s="72"/>
      <c r="H783" s="72"/>
      <c r="I783" s="72"/>
      <c r="J783" s="72"/>
      <c r="K783" s="72"/>
    </row>
    <row r="784" spans="1:11">
      <c r="A784" s="72"/>
      <c r="B784" s="72"/>
      <c r="C784" s="72"/>
      <c r="D784" s="72"/>
      <c r="E784" s="72"/>
      <c r="F784" s="72"/>
      <c r="G784" s="72"/>
      <c r="H784" s="72"/>
      <c r="I784" s="72"/>
      <c r="J784" s="72"/>
      <c r="K784" s="72"/>
    </row>
    <row r="785" spans="1:11">
      <c r="A785" s="72"/>
      <c r="B785" s="72"/>
      <c r="C785" s="72"/>
      <c r="D785" s="72"/>
      <c r="E785" s="72"/>
      <c r="F785" s="72"/>
      <c r="G785" s="72"/>
      <c r="H785" s="72"/>
      <c r="I785" s="72"/>
      <c r="J785" s="72"/>
      <c r="K785" s="72"/>
    </row>
    <row r="786" spans="1:11">
      <c r="A786" s="72"/>
      <c r="B786" s="72"/>
      <c r="C786" s="72"/>
      <c r="D786" s="72"/>
      <c r="E786" s="72"/>
      <c r="F786" s="72"/>
      <c r="G786" s="72"/>
      <c r="H786" s="72"/>
      <c r="I786" s="72"/>
      <c r="J786" s="72"/>
      <c r="K786" s="72"/>
    </row>
    <row r="787" spans="1:11">
      <c r="A787" s="72"/>
      <c r="B787" s="72"/>
      <c r="C787" s="72"/>
      <c r="D787" s="72"/>
      <c r="E787" s="72"/>
      <c r="F787" s="72"/>
      <c r="G787" s="72"/>
      <c r="H787" s="72"/>
      <c r="I787" s="72"/>
      <c r="J787" s="72"/>
      <c r="K787" s="72"/>
    </row>
    <row r="788" spans="1:11">
      <c r="A788" s="72"/>
      <c r="B788" s="72"/>
      <c r="C788" s="72"/>
      <c r="D788" s="72"/>
      <c r="E788" s="72"/>
      <c r="F788" s="72"/>
      <c r="G788" s="72"/>
      <c r="H788" s="72"/>
      <c r="I788" s="72"/>
      <c r="J788" s="72"/>
      <c r="K788" s="72"/>
    </row>
    <row r="789" spans="1:11">
      <c r="A789" s="72"/>
      <c r="B789" s="72"/>
      <c r="C789" s="72"/>
      <c r="D789" s="72"/>
      <c r="E789" s="72"/>
      <c r="F789" s="72"/>
      <c r="G789" s="72"/>
      <c r="H789" s="72"/>
      <c r="I789" s="72"/>
      <c r="J789" s="72"/>
      <c r="K789" s="72"/>
    </row>
    <row r="790" spans="1:11">
      <c r="A790" s="72"/>
      <c r="B790" s="72"/>
      <c r="C790" s="72"/>
      <c r="D790" s="72"/>
      <c r="E790" s="72"/>
      <c r="F790" s="72"/>
      <c r="G790" s="72"/>
      <c r="H790" s="72"/>
      <c r="I790" s="72"/>
      <c r="J790" s="72"/>
      <c r="K790" s="72"/>
    </row>
    <row r="791" spans="1:11">
      <c r="A791" s="72"/>
      <c r="B791" s="72"/>
      <c r="C791" s="72"/>
      <c r="D791" s="72"/>
      <c r="E791" s="72"/>
      <c r="F791" s="72"/>
      <c r="G791" s="72"/>
      <c r="H791" s="72"/>
      <c r="I791" s="72"/>
      <c r="J791" s="72"/>
      <c r="K791" s="72"/>
    </row>
    <row r="792" spans="1:11">
      <c r="A792" s="72"/>
      <c r="B792" s="72"/>
      <c r="C792" s="72"/>
      <c r="D792" s="72"/>
      <c r="E792" s="72"/>
      <c r="F792" s="72"/>
      <c r="G792" s="72"/>
      <c r="H792" s="72"/>
      <c r="I792" s="72"/>
      <c r="J792" s="72"/>
      <c r="K792" s="72"/>
    </row>
    <row r="793" spans="1:11">
      <c r="A793" s="72"/>
      <c r="B793" s="72"/>
      <c r="C793" s="72"/>
      <c r="D793" s="72"/>
      <c r="E793" s="72"/>
      <c r="F793" s="72"/>
      <c r="G793" s="72"/>
      <c r="H793" s="72"/>
      <c r="I793" s="72"/>
      <c r="J793" s="72"/>
      <c r="K793" s="72"/>
    </row>
    <row r="794" spans="1:11">
      <c r="A794" s="72"/>
      <c r="B794" s="72"/>
      <c r="C794" s="72"/>
      <c r="D794" s="72"/>
      <c r="E794" s="72"/>
      <c r="F794" s="72"/>
      <c r="G794" s="72"/>
      <c r="H794" s="72"/>
      <c r="I794" s="72"/>
      <c r="J794" s="72"/>
      <c r="K794" s="72"/>
    </row>
    <row r="795" spans="1:11">
      <c r="A795" s="72"/>
      <c r="B795" s="72"/>
      <c r="C795" s="72"/>
      <c r="D795" s="72"/>
      <c r="E795" s="72"/>
      <c r="F795" s="72"/>
      <c r="G795" s="72"/>
      <c r="H795" s="72"/>
      <c r="I795" s="72"/>
      <c r="J795" s="72"/>
      <c r="K795" s="72"/>
    </row>
    <row r="796" spans="1:11">
      <c r="A796" s="72"/>
      <c r="B796" s="72"/>
      <c r="C796" s="72"/>
      <c r="D796" s="72"/>
      <c r="E796" s="72"/>
      <c r="F796" s="72"/>
      <c r="G796" s="72"/>
      <c r="H796" s="72"/>
      <c r="I796" s="72"/>
      <c r="J796" s="72"/>
      <c r="K796" s="72"/>
    </row>
    <row r="797" spans="1:11">
      <c r="A797" s="72"/>
      <c r="B797" s="72"/>
      <c r="C797" s="72"/>
      <c r="D797" s="72"/>
      <c r="E797" s="72"/>
      <c r="F797" s="72"/>
      <c r="G797" s="72"/>
      <c r="H797" s="72"/>
      <c r="I797" s="72"/>
      <c r="J797" s="72"/>
      <c r="K797" s="72"/>
    </row>
    <row r="798" spans="1:11">
      <c r="A798" s="72"/>
      <c r="B798" s="72"/>
      <c r="C798" s="72"/>
      <c r="D798" s="72"/>
      <c r="E798" s="72"/>
      <c r="F798" s="72"/>
      <c r="G798" s="72"/>
      <c r="H798" s="72"/>
      <c r="I798" s="72"/>
      <c r="J798" s="72"/>
      <c r="K798" s="72"/>
    </row>
    <row r="799" spans="1:11">
      <c r="A799" s="72"/>
      <c r="B799" s="72"/>
      <c r="C799" s="72"/>
      <c r="D799" s="72"/>
      <c r="E799" s="72"/>
      <c r="F799" s="72"/>
      <c r="G799" s="72"/>
      <c r="H799" s="72"/>
      <c r="I799" s="72"/>
      <c r="J799" s="72"/>
      <c r="K799" s="72"/>
    </row>
    <row r="800" spans="1:11">
      <c r="A800" s="72"/>
      <c r="B800" s="72"/>
      <c r="C800" s="72"/>
      <c r="D800" s="72"/>
      <c r="E800" s="72"/>
      <c r="F800" s="72"/>
      <c r="G800" s="72"/>
      <c r="H800" s="72"/>
      <c r="I800" s="72"/>
      <c r="J800" s="72"/>
      <c r="K800" s="72"/>
    </row>
    <row r="801" spans="1:11">
      <c r="A801" s="72"/>
      <c r="B801" s="72"/>
      <c r="C801" s="72"/>
      <c r="D801" s="72"/>
      <c r="E801" s="72"/>
      <c r="F801" s="72"/>
      <c r="G801" s="72"/>
      <c r="H801" s="72"/>
      <c r="I801" s="72"/>
      <c r="J801" s="72"/>
      <c r="K801" s="72"/>
    </row>
    <row r="802" spans="1:11">
      <c r="A802" s="72"/>
      <c r="B802" s="72"/>
      <c r="C802" s="72"/>
      <c r="D802" s="72"/>
      <c r="E802" s="72"/>
      <c r="F802" s="72"/>
      <c r="G802" s="72"/>
      <c r="H802" s="72"/>
      <c r="I802" s="72"/>
      <c r="J802" s="72"/>
      <c r="K802" s="72"/>
    </row>
    <row r="803" spans="1:11">
      <c r="A803" s="72"/>
      <c r="B803" s="72"/>
      <c r="C803" s="72"/>
      <c r="D803" s="72"/>
      <c r="E803" s="72"/>
      <c r="F803" s="72"/>
      <c r="G803" s="72"/>
      <c r="H803" s="72"/>
      <c r="I803" s="72"/>
      <c r="J803" s="72"/>
      <c r="K803" s="72"/>
    </row>
    <row r="804" spans="1:11">
      <c r="A804" s="72"/>
      <c r="B804" s="72"/>
      <c r="C804" s="72"/>
      <c r="D804" s="72"/>
      <c r="E804" s="72"/>
      <c r="F804" s="72"/>
      <c r="G804" s="72"/>
      <c r="H804" s="72"/>
      <c r="I804" s="72"/>
      <c r="J804" s="72"/>
      <c r="K804" s="72"/>
    </row>
    <row r="805" spans="1:11">
      <c r="A805" s="72"/>
      <c r="B805" s="72"/>
      <c r="C805" s="72"/>
      <c r="D805" s="72"/>
      <c r="E805" s="72"/>
      <c r="F805" s="72"/>
      <c r="G805" s="72"/>
      <c r="H805" s="72"/>
      <c r="I805" s="72"/>
      <c r="J805" s="72"/>
      <c r="K805" s="72"/>
    </row>
    <row r="806" spans="1:11">
      <c r="A806" s="72"/>
      <c r="B806" s="72"/>
      <c r="C806" s="72"/>
      <c r="D806" s="72"/>
      <c r="E806" s="72"/>
      <c r="F806" s="72"/>
      <c r="G806" s="72"/>
      <c r="H806" s="72"/>
      <c r="I806" s="72"/>
      <c r="J806" s="72"/>
      <c r="K806" s="72"/>
    </row>
    <row r="807" spans="1:11">
      <c r="A807" s="72"/>
      <c r="B807" s="72"/>
      <c r="C807" s="72"/>
      <c r="D807" s="72"/>
      <c r="E807" s="72"/>
      <c r="F807" s="72"/>
      <c r="G807" s="72"/>
      <c r="H807" s="72"/>
      <c r="I807" s="72"/>
      <c r="J807" s="72"/>
      <c r="K807" s="72"/>
    </row>
    <row r="808" spans="1:11">
      <c r="A808" s="72"/>
      <c r="B808" s="72"/>
      <c r="C808" s="72"/>
      <c r="D808" s="72"/>
      <c r="E808" s="72"/>
      <c r="F808" s="72"/>
      <c r="G808" s="72"/>
      <c r="H808" s="72"/>
      <c r="I808" s="72"/>
      <c r="J808" s="72"/>
      <c r="K808" s="72"/>
    </row>
    <row r="809" spans="1:11">
      <c r="A809" s="72"/>
      <c r="B809" s="72"/>
      <c r="C809" s="72"/>
      <c r="D809" s="72"/>
      <c r="E809" s="72"/>
      <c r="F809" s="72"/>
      <c r="G809" s="72"/>
      <c r="H809" s="72"/>
      <c r="I809" s="72"/>
      <c r="J809" s="72"/>
      <c r="K809" s="72"/>
    </row>
    <row r="810" spans="1:11">
      <c r="A810" s="72"/>
      <c r="B810" s="72"/>
      <c r="C810" s="72"/>
      <c r="D810" s="72"/>
      <c r="E810" s="72"/>
      <c r="F810" s="72"/>
      <c r="G810" s="72"/>
      <c r="H810" s="72"/>
      <c r="I810" s="72"/>
      <c r="J810" s="72"/>
      <c r="K810" s="72"/>
    </row>
    <row r="811" spans="1:11">
      <c r="A811" s="72"/>
      <c r="B811" s="72"/>
      <c r="C811" s="72"/>
      <c r="D811" s="72"/>
      <c r="E811" s="72"/>
      <c r="F811" s="72"/>
      <c r="G811" s="72"/>
      <c r="H811" s="72"/>
      <c r="I811" s="72"/>
      <c r="J811" s="72"/>
      <c r="K811" s="72"/>
    </row>
    <row r="812" spans="1:11">
      <c r="A812" s="72"/>
      <c r="B812" s="72"/>
      <c r="C812" s="72"/>
      <c r="D812" s="72"/>
      <c r="E812" s="72"/>
      <c r="F812" s="72"/>
      <c r="G812" s="72"/>
      <c r="H812" s="72"/>
      <c r="I812" s="72"/>
      <c r="J812" s="72"/>
      <c r="K812" s="72"/>
    </row>
    <row r="813" spans="1:11">
      <c r="A813" s="72"/>
      <c r="B813" s="72"/>
      <c r="C813" s="72"/>
      <c r="D813" s="72"/>
      <c r="E813" s="72"/>
      <c r="F813" s="72"/>
      <c r="G813" s="72"/>
      <c r="H813" s="72"/>
      <c r="I813" s="72"/>
      <c r="J813" s="72"/>
      <c r="K813" s="72"/>
    </row>
    <row r="814" spans="1:11">
      <c r="A814" s="72"/>
      <c r="B814" s="72"/>
      <c r="C814" s="72"/>
      <c r="D814" s="72"/>
      <c r="E814" s="72"/>
      <c r="F814" s="72"/>
      <c r="G814" s="72"/>
      <c r="H814" s="72"/>
      <c r="I814" s="72"/>
      <c r="J814" s="72"/>
      <c r="K814" s="72"/>
    </row>
    <row r="815" spans="1:11">
      <c r="A815" s="72"/>
      <c r="B815" s="72"/>
      <c r="C815" s="72"/>
      <c r="D815" s="72"/>
      <c r="E815" s="72"/>
      <c r="F815" s="72"/>
      <c r="G815" s="72"/>
      <c r="H815" s="72"/>
      <c r="I815" s="72"/>
      <c r="J815" s="72"/>
      <c r="K815" s="72"/>
    </row>
    <row r="816" spans="1:11">
      <c r="A816" s="72"/>
      <c r="B816" s="72"/>
      <c r="C816" s="72"/>
      <c r="D816" s="72"/>
      <c r="E816" s="72"/>
      <c r="F816" s="72"/>
      <c r="G816" s="72"/>
      <c r="H816" s="72"/>
      <c r="I816" s="72"/>
      <c r="J816" s="72"/>
      <c r="K816" s="72"/>
    </row>
    <row r="817" spans="1:11">
      <c r="A817" s="72"/>
      <c r="B817" s="72"/>
      <c r="C817" s="72"/>
      <c r="D817" s="72"/>
      <c r="E817" s="72"/>
      <c r="F817" s="72"/>
      <c r="G817" s="72"/>
      <c r="H817" s="72"/>
      <c r="I817" s="72"/>
      <c r="J817" s="72"/>
      <c r="K817" s="72"/>
    </row>
    <row r="818" spans="1:11">
      <c r="A818" s="72"/>
      <c r="B818" s="72"/>
      <c r="C818" s="72"/>
      <c r="D818" s="72"/>
      <c r="E818" s="72"/>
      <c r="F818" s="72"/>
      <c r="G818" s="72"/>
      <c r="H818" s="72"/>
      <c r="I818" s="72"/>
      <c r="J818" s="72"/>
      <c r="K818" s="72"/>
    </row>
    <row r="819" spans="1:11">
      <c r="A819" s="72"/>
      <c r="B819" s="72"/>
      <c r="C819" s="72"/>
      <c r="D819" s="72"/>
      <c r="E819" s="72"/>
      <c r="F819" s="72"/>
      <c r="G819" s="72"/>
      <c r="H819" s="72"/>
      <c r="I819" s="72"/>
      <c r="J819" s="72"/>
      <c r="K819" s="72"/>
    </row>
    <row r="820" spans="1:11">
      <c r="A820" s="72"/>
      <c r="B820" s="72"/>
      <c r="C820" s="72"/>
      <c r="D820" s="72"/>
      <c r="E820" s="72"/>
      <c r="F820" s="72"/>
      <c r="G820" s="72"/>
      <c r="H820" s="72"/>
      <c r="I820" s="72"/>
      <c r="J820" s="72"/>
      <c r="K820" s="72"/>
    </row>
    <row r="821" spans="1:11">
      <c r="A821" s="72"/>
      <c r="B821" s="72"/>
      <c r="C821" s="72"/>
      <c r="D821" s="72"/>
      <c r="E821" s="72"/>
      <c r="F821" s="72"/>
      <c r="G821" s="72"/>
      <c r="H821" s="72"/>
      <c r="I821" s="72"/>
      <c r="J821" s="72"/>
      <c r="K821" s="72"/>
    </row>
    <row r="822" spans="1:11">
      <c r="A822" s="72"/>
      <c r="B822" s="72"/>
      <c r="C822" s="72"/>
      <c r="D822" s="72"/>
      <c r="E822" s="72"/>
      <c r="F822" s="72"/>
      <c r="G822" s="72"/>
      <c r="H822" s="72"/>
      <c r="I822" s="72"/>
      <c r="J822" s="72"/>
      <c r="K822" s="72"/>
    </row>
    <row r="823" spans="1:11">
      <c r="A823" s="72"/>
      <c r="B823" s="72"/>
      <c r="C823" s="72"/>
      <c r="D823" s="72"/>
      <c r="E823" s="72"/>
      <c r="F823" s="72"/>
      <c r="G823" s="72"/>
      <c r="H823" s="72"/>
      <c r="I823" s="72"/>
      <c r="J823" s="72"/>
      <c r="K823" s="72"/>
    </row>
    <row r="824" spans="1:11">
      <c r="A824" s="72"/>
      <c r="B824" s="72"/>
      <c r="C824" s="72"/>
      <c r="D824" s="72"/>
      <c r="E824" s="72"/>
      <c r="F824" s="72"/>
      <c r="G824" s="72"/>
      <c r="H824" s="72"/>
      <c r="I824" s="72"/>
      <c r="J824" s="72"/>
      <c r="K824" s="72"/>
    </row>
    <row r="825" spans="1:11">
      <c r="A825" s="72"/>
      <c r="B825" s="72"/>
      <c r="C825" s="72"/>
      <c r="D825" s="72"/>
      <c r="E825" s="72"/>
      <c r="F825" s="72"/>
      <c r="G825" s="72"/>
      <c r="H825" s="72"/>
      <c r="I825" s="72"/>
      <c r="J825" s="72"/>
      <c r="K825" s="72"/>
    </row>
    <row r="826" spans="1:11">
      <c r="A826" s="72"/>
      <c r="B826" s="72"/>
      <c r="C826" s="72"/>
      <c r="D826" s="72"/>
      <c r="E826" s="72"/>
      <c r="F826" s="72"/>
      <c r="G826" s="72"/>
      <c r="H826" s="72"/>
      <c r="I826" s="72"/>
      <c r="J826" s="72"/>
      <c r="K826" s="72"/>
    </row>
    <row r="827" spans="1:11">
      <c r="A827" s="72"/>
      <c r="B827" s="72"/>
      <c r="C827" s="72"/>
      <c r="D827" s="72"/>
      <c r="E827" s="72"/>
      <c r="F827" s="72"/>
      <c r="G827" s="72"/>
      <c r="H827" s="72"/>
      <c r="I827" s="72"/>
      <c r="J827" s="72"/>
      <c r="K827" s="72"/>
    </row>
    <row r="828" spans="1:11">
      <c r="A828" s="72"/>
      <c r="B828" s="72"/>
      <c r="C828" s="72"/>
      <c r="D828" s="72"/>
      <c r="E828" s="72"/>
      <c r="F828" s="72"/>
      <c r="G828" s="72"/>
      <c r="H828" s="72"/>
      <c r="I828" s="72"/>
      <c r="J828" s="72"/>
      <c r="K828" s="72"/>
    </row>
    <row r="829" spans="1:11">
      <c r="A829" s="72"/>
      <c r="B829" s="72"/>
      <c r="C829" s="72"/>
      <c r="D829" s="72"/>
      <c r="E829" s="72"/>
      <c r="F829" s="72"/>
      <c r="G829" s="72"/>
      <c r="H829" s="72"/>
      <c r="I829" s="72"/>
      <c r="J829" s="72"/>
      <c r="K829" s="72"/>
    </row>
    <row r="830" spans="1:11">
      <c r="A830" s="72"/>
      <c r="B830" s="72"/>
      <c r="C830" s="72"/>
      <c r="D830" s="72"/>
      <c r="E830" s="72"/>
      <c r="F830" s="72"/>
      <c r="G830" s="72"/>
      <c r="H830" s="72"/>
      <c r="I830" s="72"/>
      <c r="J830" s="72"/>
      <c r="K830" s="72"/>
    </row>
    <row r="831" spans="1:11">
      <c r="A831" s="72"/>
      <c r="B831" s="72"/>
      <c r="C831" s="72"/>
      <c r="D831" s="72"/>
      <c r="E831" s="72"/>
      <c r="F831" s="72"/>
      <c r="G831" s="72"/>
      <c r="H831" s="72"/>
      <c r="I831" s="72"/>
      <c r="J831" s="72"/>
      <c r="K831" s="72"/>
    </row>
    <row r="832" spans="1:11">
      <c r="A832" s="72"/>
      <c r="B832" s="72"/>
      <c r="C832" s="72"/>
      <c r="D832" s="72"/>
      <c r="E832" s="72"/>
      <c r="F832" s="72"/>
      <c r="G832" s="72"/>
      <c r="H832" s="72"/>
      <c r="I832" s="72"/>
      <c r="J832" s="72"/>
      <c r="K832" s="72"/>
    </row>
    <row r="833" spans="1:11">
      <c r="A833" s="72"/>
      <c r="B833" s="72"/>
      <c r="C833" s="72"/>
      <c r="D833" s="72"/>
      <c r="E833" s="72"/>
      <c r="F833" s="72"/>
      <c r="G833" s="72"/>
      <c r="H833" s="72"/>
      <c r="I833" s="72"/>
      <c r="J833" s="72"/>
      <c r="K833" s="72"/>
    </row>
    <row r="834" spans="1:11">
      <c r="A834" s="72"/>
      <c r="B834" s="72"/>
      <c r="C834" s="72"/>
      <c r="D834" s="72"/>
      <c r="E834" s="72"/>
      <c r="F834" s="72"/>
      <c r="G834" s="72"/>
      <c r="H834" s="72"/>
      <c r="I834" s="72"/>
      <c r="J834" s="72"/>
      <c r="K834" s="72"/>
    </row>
    <row r="835" spans="1:11">
      <c r="A835" s="72"/>
      <c r="B835" s="72"/>
      <c r="C835" s="72"/>
      <c r="D835" s="72"/>
      <c r="E835" s="72"/>
      <c r="F835" s="72"/>
      <c r="G835" s="72"/>
      <c r="H835" s="72"/>
      <c r="I835" s="72"/>
      <c r="J835" s="72"/>
      <c r="K835" s="72"/>
    </row>
    <row r="836" spans="1:11">
      <c r="A836" s="72"/>
      <c r="B836" s="72"/>
      <c r="C836" s="72"/>
      <c r="D836" s="72"/>
      <c r="E836" s="72"/>
      <c r="F836" s="72"/>
      <c r="G836" s="72"/>
      <c r="H836" s="72"/>
      <c r="I836" s="72"/>
      <c r="J836" s="72"/>
      <c r="K836" s="72"/>
    </row>
    <row r="837" spans="1:11">
      <c r="A837" s="72"/>
      <c r="B837" s="72"/>
      <c r="C837" s="72"/>
      <c r="D837" s="72"/>
      <c r="E837" s="72"/>
      <c r="F837" s="72"/>
      <c r="G837" s="72"/>
      <c r="H837" s="72"/>
      <c r="I837" s="72"/>
      <c r="J837" s="72"/>
      <c r="K837" s="72"/>
    </row>
    <row r="838" spans="1:11">
      <c r="A838" s="72"/>
      <c r="B838" s="72"/>
      <c r="C838" s="72"/>
      <c r="D838" s="72"/>
      <c r="E838" s="72"/>
      <c r="F838" s="72"/>
      <c r="G838" s="72"/>
      <c r="H838" s="72"/>
      <c r="I838" s="72"/>
      <c r="J838" s="72"/>
      <c r="K838" s="72"/>
    </row>
    <row r="839" spans="1:11">
      <c r="A839" s="72"/>
      <c r="B839" s="72"/>
      <c r="C839" s="72"/>
      <c r="D839" s="72"/>
      <c r="E839" s="72"/>
      <c r="F839" s="72"/>
      <c r="G839" s="72"/>
      <c r="H839" s="72"/>
      <c r="I839" s="72"/>
      <c r="J839" s="72"/>
      <c r="K839" s="72"/>
    </row>
    <row r="840" spans="1:11">
      <c r="A840" s="72"/>
      <c r="B840" s="72"/>
      <c r="C840" s="72"/>
      <c r="D840" s="72"/>
      <c r="E840" s="72"/>
      <c r="F840" s="72"/>
      <c r="G840" s="72"/>
      <c r="H840" s="72"/>
      <c r="I840" s="72"/>
      <c r="J840" s="72"/>
      <c r="K840" s="72"/>
    </row>
    <row r="841" spans="1:11">
      <c r="A841" s="72"/>
      <c r="B841" s="72"/>
      <c r="C841" s="72"/>
      <c r="D841" s="72"/>
      <c r="E841" s="72"/>
      <c r="F841" s="72"/>
      <c r="G841" s="72"/>
      <c r="H841" s="72"/>
      <c r="I841" s="72"/>
      <c r="J841" s="72"/>
      <c r="K841" s="72"/>
    </row>
    <row r="842" spans="1:11">
      <c r="A842" s="72"/>
      <c r="B842" s="72"/>
      <c r="C842" s="72"/>
      <c r="D842" s="72"/>
      <c r="E842" s="72"/>
      <c r="F842" s="72"/>
      <c r="G842" s="72"/>
      <c r="H842" s="72"/>
      <c r="I842" s="72"/>
      <c r="J842" s="72"/>
      <c r="K842" s="72"/>
    </row>
    <row r="843" spans="1:11">
      <c r="A843" s="72"/>
      <c r="B843" s="72"/>
      <c r="C843" s="72"/>
      <c r="D843" s="72"/>
      <c r="E843" s="72"/>
      <c r="F843" s="72"/>
      <c r="G843" s="72"/>
      <c r="H843" s="72"/>
      <c r="I843" s="72"/>
      <c r="J843" s="72"/>
      <c r="K843" s="72"/>
    </row>
    <row r="844" spans="1:11">
      <c r="A844" s="72"/>
      <c r="B844" s="72"/>
      <c r="C844" s="72"/>
      <c r="D844" s="72"/>
      <c r="E844" s="72"/>
      <c r="F844" s="72"/>
      <c r="G844" s="72"/>
      <c r="H844" s="72"/>
      <c r="I844" s="72"/>
      <c r="J844" s="72"/>
      <c r="K844" s="72"/>
    </row>
    <row r="845" spans="1:11">
      <c r="A845" s="72"/>
      <c r="B845" s="72"/>
      <c r="C845" s="72"/>
      <c r="D845" s="72"/>
      <c r="E845" s="72"/>
      <c r="F845" s="72"/>
      <c r="G845" s="72"/>
      <c r="H845" s="72"/>
      <c r="I845" s="72"/>
      <c r="J845" s="72"/>
      <c r="K845" s="72"/>
    </row>
    <row r="846" spans="1:11">
      <c r="A846" s="72"/>
      <c r="B846" s="72"/>
      <c r="C846" s="72"/>
      <c r="D846" s="72"/>
      <c r="E846" s="72"/>
      <c r="F846" s="72"/>
      <c r="G846" s="72"/>
      <c r="H846" s="72"/>
      <c r="I846" s="72"/>
      <c r="J846" s="72"/>
      <c r="K846" s="72"/>
    </row>
    <row r="847" spans="1:11">
      <c r="A847" s="72"/>
      <c r="B847" s="72"/>
      <c r="C847" s="72"/>
      <c r="D847" s="72"/>
      <c r="E847" s="72"/>
      <c r="F847" s="72"/>
      <c r="G847" s="72"/>
      <c r="H847" s="72"/>
      <c r="I847" s="72"/>
      <c r="J847" s="72"/>
      <c r="K847" s="72"/>
    </row>
    <row r="848" spans="1:11">
      <c r="A848" s="72"/>
      <c r="B848" s="72"/>
      <c r="C848" s="72"/>
      <c r="D848" s="72"/>
      <c r="E848" s="72"/>
      <c r="F848" s="72"/>
      <c r="G848" s="72"/>
      <c r="H848" s="72"/>
      <c r="I848" s="72"/>
      <c r="J848" s="72"/>
      <c r="K848" s="72"/>
    </row>
    <row r="849" spans="1:11">
      <c r="A849" s="72"/>
      <c r="B849" s="72"/>
      <c r="C849" s="72"/>
      <c r="D849" s="72"/>
      <c r="E849" s="72"/>
      <c r="F849" s="72"/>
      <c r="G849" s="72"/>
      <c r="H849" s="72"/>
      <c r="I849" s="72"/>
      <c r="J849" s="72"/>
      <c r="K849" s="72"/>
    </row>
    <row r="850" spans="1:11">
      <c r="A850" s="72"/>
      <c r="B850" s="72"/>
      <c r="C850" s="72"/>
      <c r="D850" s="72"/>
      <c r="E850" s="72"/>
      <c r="F850" s="72"/>
      <c r="G850" s="72"/>
      <c r="H850" s="72"/>
      <c r="I850" s="72"/>
      <c r="J850" s="72"/>
      <c r="K850" s="72"/>
    </row>
    <row r="851" spans="1:11">
      <c r="A851" s="72"/>
      <c r="B851" s="72"/>
      <c r="C851" s="72"/>
      <c r="D851" s="72"/>
      <c r="E851" s="72"/>
      <c r="F851" s="72"/>
      <c r="G851" s="72"/>
      <c r="H851" s="72"/>
      <c r="I851" s="72"/>
      <c r="J851" s="72"/>
      <c r="K851" s="72"/>
    </row>
    <row r="852" spans="1:11">
      <c r="A852" s="72"/>
      <c r="B852" s="72"/>
      <c r="C852" s="72"/>
      <c r="D852" s="72"/>
      <c r="E852" s="72"/>
      <c r="F852" s="72"/>
      <c r="G852" s="72"/>
      <c r="H852" s="72"/>
      <c r="I852" s="72"/>
      <c r="J852" s="72"/>
      <c r="K852" s="72"/>
    </row>
    <row r="853" spans="1:11">
      <c r="A853" s="72"/>
      <c r="B853" s="72"/>
      <c r="C853" s="72"/>
      <c r="D853" s="72"/>
      <c r="E853" s="72"/>
      <c r="F853" s="72"/>
      <c r="G853" s="72"/>
      <c r="H853" s="72"/>
      <c r="I853" s="72"/>
      <c r="J853" s="72"/>
      <c r="K853" s="72"/>
    </row>
    <row r="854" spans="1:11">
      <c r="A854" s="72"/>
      <c r="B854" s="72"/>
      <c r="C854" s="72"/>
      <c r="D854" s="72"/>
      <c r="E854" s="72"/>
      <c r="F854" s="72"/>
      <c r="G854" s="72"/>
      <c r="H854" s="72"/>
      <c r="I854" s="72"/>
      <c r="J854" s="72"/>
      <c r="K854" s="72"/>
    </row>
    <row r="855" spans="1:11">
      <c r="A855" s="72"/>
      <c r="B855" s="72"/>
      <c r="C855" s="72"/>
      <c r="D855" s="72"/>
      <c r="E855" s="72"/>
      <c r="F855" s="72"/>
      <c r="G855" s="72"/>
      <c r="H855" s="72"/>
      <c r="I855" s="72"/>
      <c r="J855" s="72"/>
      <c r="K855" s="72"/>
    </row>
    <row r="856" spans="1:11">
      <c r="A856" s="72"/>
      <c r="B856" s="72"/>
      <c r="C856" s="72"/>
      <c r="D856" s="72"/>
      <c r="E856" s="72"/>
      <c r="F856" s="72"/>
      <c r="G856" s="72"/>
      <c r="H856" s="72"/>
      <c r="I856" s="72"/>
      <c r="J856" s="72"/>
      <c r="K856" s="72"/>
    </row>
    <row r="857" spans="1:11">
      <c r="A857" s="72"/>
      <c r="B857" s="72"/>
      <c r="C857" s="72"/>
      <c r="D857" s="72"/>
      <c r="E857" s="72"/>
      <c r="F857" s="72"/>
      <c r="G857" s="72"/>
      <c r="H857" s="72"/>
      <c r="I857" s="72"/>
      <c r="J857" s="72"/>
      <c r="K857" s="72"/>
    </row>
    <row r="858" spans="1:11">
      <c r="A858" s="72"/>
      <c r="B858" s="72"/>
      <c r="C858" s="72"/>
      <c r="D858" s="72"/>
      <c r="E858" s="72"/>
      <c r="F858" s="72"/>
      <c r="G858" s="72"/>
      <c r="H858" s="72"/>
      <c r="I858" s="72"/>
      <c r="J858" s="72"/>
      <c r="K858" s="72"/>
    </row>
    <row r="859" spans="1:11">
      <c r="A859" s="72"/>
      <c r="B859" s="72"/>
      <c r="C859" s="72"/>
      <c r="D859" s="72"/>
      <c r="E859" s="72"/>
      <c r="F859" s="72"/>
      <c r="G859" s="72"/>
      <c r="H859" s="72"/>
      <c r="I859" s="72"/>
      <c r="J859" s="72"/>
      <c r="K859" s="72"/>
    </row>
    <row r="860" spans="1:11">
      <c r="A860" s="72"/>
      <c r="B860" s="72"/>
      <c r="C860" s="72"/>
      <c r="D860" s="72"/>
      <c r="E860" s="72"/>
      <c r="F860" s="72"/>
      <c r="G860" s="72"/>
      <c r="H860" s="72"/>
      <c r="I860" s="72"/>
      <c r="J860" s="72"/>
      <c r="K860" s="72"/>
    </row>
    <row r="861" spans="1:11">
      <c r="A861" s="72"/>
      <c r="B861" s="72"/>
      <c r="C861" s="72"/>
      <c r="D861" s="72"/>
      <c r="E861" s="72"/>
      <c r="F861" s="72"/>
      <c r="G861" s="72"/>
      <c r="H861" s="72"/>
      <c r="I861" s="72"/>
      <c r="J861" s="72"/>
      <c r="K861" s="72"/>
    </row>
    <row r="862" spans="1:11">
      <c r="A862" s="72"/>
      <c r="B862" s="72"/>
      <c r="C862" s="72"/>
      <c r="D862" s="72"/>
      <c r="E862" s="72"/>
      <c r="F862" s="72"/>
      <c r="G862" s="72"/>
      <c r="H862" s="72"/>
      <c r="I862" s="72"/>
      <c r="J862" s="72"/>
      <c r="K862" s="72"/>
    </row>
    <row r="863" spans="1:11">
      <c r="A863" s="72"/>
      <c r="B863" s="72"/>
      <c r="C863" s="72"/>
      <c r="D863" s="72"/>
      <c r="E863" s="72"/>
      <c r="F863" s="72"/>
      <c r="G863" s="72"/>
      <c r="H863" s="72"/>
      <c r="I863" s="72"/>
      <c r="J863" s="72"/>
      <c r="K863" s="72"/>
    </row>
    <row r="864" spans="1:11">
      <c r="A864" s="72"/>
      <c r="B864" s="72"/>
      <c r="C864" s="72"/>
      <c r="D864" s="72"/>
      <c r="E864" s="72"/>
      <c r="F864" s="72"/>
      <c r="G864" s="72"/>
      <c r="H864" s="72"/>
      <c r="I864" s="72"/>
      <c r="J864" s="72"/>
      <c r="K864" s="72"/>
    </row>
    <row r="865" spans="1:11">
      <c r="A865" s="72"/>
      <c r="B865" s="72"/>
      <c r="C865" s="72"/>
      <c r="D865" s="72"/>
      <c r="E865" s="72"/>
      <c r="F865" s="72"/>
      <c r="G865" s="72"/>
      <c r="H865" s="72"/>
      <c r="I865" s="72"/>
      <c r="J865" s="72"/>
      <c r="K865" s="72"/>
    </row>
    <row r="866" spans="1:11">
      <c r="A866" s="72"/>
      <c r="B866" s="72"/>
      <c r="C866" s="72"/>
      <c r="D866" s="72"/>
      <c r="E866" s="72"/>
      <c r="F866" s="72"/>
      <c r="G866" s="72"/>
      <c r="H866" s="72"/>
      <c r="I866" s="72"/>
      <c r="J866" s="72"/>
      <c r="K866" s="72"/>
    </row>
    <row r="867" spans="1:11">
      <c r="A867" s="72"/>
      <c r="B867" s="72"/>
      <c r="C867" s="72"/>
      <c r="D867" s="72"/>
      <c r="E867" s="72"/>
      <c r="F867" s="72"/>
      <c r="G867" s="72"/>
      <c r="H867" s="72"/>
      <c r="I867" s="72"/>
      <c r="J867" s="72"/>
      <c r="K867" s="72"/>
    </row>
    <row r="868" spans="1:11">
      <c r="A868" s="72"/>
      <c r="B868" s="72"/>
      <c r="C868" s="72"/>
      <c r="D868" s="72"/>
      <c r="E868" s="72"/>
      <c r="F868" s="72"/>
      <c r="G868" s="72"/>
      <c r="H868" s="72"/>
      <c r="I868" s="72"/>
      <c r="J868" s="72"/>
      <c r="K868" s="72"/>
    </row>
    <row r="869" spans="1:11">
      <c r="A869" s="72"/>
      <c r="B869" s="72"/>
      <c r="C869" s="72"/>
      <c r="D869" s="72"/>
      <c r="E869" s="72"/>
      <c r="F869" s="72"/>
      <c r="G869" s="72"/>
      <c r="H869" s="72"/>
      <c r="I869" s="72"/>
      <c r="J869" s="72"/>
      <c r="K869" s="72"/>
    </row>
    <row r="870" spans="1:11">
      <c r="A870" s="72"/>
      <c r="B870" s="72"/>
      <c r="C870" s="72"/>
      <c r="D870" s="72"/>
      <c r="E870" s="72"/>
      <c r="F870" s="72"/>
      <c r="G870" s="72"/>
      <c r="H870" s="72"/>
      <c r="I870" s="72"/>
      <c r="J870" s="72"/>
      <c r="K870" s="72"/>
    </row>
    <row r="871" spans="1:11">
      <c r="A871" s="72"/>
      <c r="B871" s="72"/>
      <c r="C871" s="72"/>
      <c r="D871" s="72"/>
      <c r="E871" s="72"/>
      <c r="F871" s="72"/>
      <c r="G871" s="72"/>
      <c r="H871" s="72"/>
      <c r="I871" s="72"/>
      <c r="J871" s="72"/>
      <c r="K871" s="72"/>
    </row>
    <row r="872" spans="1:11">
      <c r="A872" s="72"/>
      <c r="B872" s="72"/>
      <c r="C872" s="72"/>
      <c r="D872" s="72"/>
      <c r="E872" s="72"/>
      <c r="F872" s="72"/>
      <c r="G872" s="72"/>
      <c r="H872" s="72"/>
      <c r="I872" s="72"/>
      <c r="J872" s="72"/>
      <c r="K872" s="72"/>
    </row>
    <row r="873" spans="1:11">
      <c r="A873" s="72"/>
      <c r="B873" s="72"/>
      <c r="C873" s="72"/>
      <c r="D873" s="72"/>
      <c r="E873" s="72"/>
      <c r="F873" s="72"/>
      <c r="G873" s="72"/>
      <c r="H873" s="72"/>
      <c r="I873" s="72"/>
      <c r="J873" s="72"/>
      <c r="K873" s="72"/>
    </row>
    <row r="874" spans="1:11">
      <c r="A874" s="72"/>
      <c r="B874" s="72"/>
      <c r="C874" s="72"/>
      <c r="D874" s="72"/>
      <c r="E874" s="72"/>
      <c r="F874" s="72"/>
      <c r="G874" s="72"/>
      <c r="H874" s="72"/>
      <c r="I874" s="72"/>
      <c r="J874" s="72"/>
      <c r="K874" s="72"/>
    </row>
    <row r="875" spans="1:11">
      <c r="A875" s="72"/>
      <c r="B875" s="72"/>
      <c r="C875" s="72"/>
      <c r="D875" s="72"/>
      <c r="E875" s="72"/>
      <c r="F875" s="72"/>
      <c r="G875" s="72"/>
      <c r="H875" s="72"/>
      <c r="I875" s="72"/>
      <c r="J875" s="72"/>
      <c r="K875" s="72"/>
    </row>
    <row r="876" spans="1:11">
      <c r="A876" s="72"/>
      <c r="B876" s="72"/>
      <c r="C876" s="72"/>
      <c r="D876" s="72"/>
      <c r="E876" s="72"/>
      <c r="F876" s="72"/>
      <c r="G876" s="72"/>
      <c r="H876" s="72"/>
      <c r="I876" s="72"/>
      <c r="J876" s="72"/>
      <c r="K876" s="72"/>
    </row>
    <row r="877" spans="1:11">
      <c r="A877" s="72"/>
      <c r="B877" s="72"/>
      <c r="C877" s="72"/>
      <c r="D877" s="72"/>
      <c r="E877" s="72"/>
      <c r="F877" s="72"/>
      <c r="G877" s="72"/>
      <c r="H877" s="72"/>
      <c r="I877" s="72"/>
      <c r="J877" s="72"/>
      <c r="K877" s="72"/>
    </row>
    <row r="878" spans="1:11">
      <c r="A878" s="72"/>
      <c r="B878" s="72"/>
      <c r="C878" s="72"/>
      <c r="D878" s="72"/>
      <c r="E878" s="72"/>
      <c r="F878" s="72"/>
      <c r="G878" s="72"/>
      <c r="H878" s="72"/>
      <c r="I878" s="72"/>
      <c r="J878" s="72"/>
      <c r="K878" s="72"/>
    </row>
    <row r="879" spans="1:11">
      <c r="A879" s="72"/>
      <c r="B879" s="72"/>
      <c r="C879" s="72"/>
      <c r="D879" s="72"/>
      <c r="E879" s="72"/>
      <c r="F879" s="72"/>
      <c r="G879" s="72"/>
      <c r="H879" s="72"/>
      <c r="I879" s="72"/>
      <c r="J879" s="72"/>
      <c r="K879" s="72"/>
    </row>
    <row r="880" spans="1:11">
      <c r="A880" s="72"/>
      <c r="B880" s="72"/>
      <c r="C880" s="72"/>
      <c r="D880" s="72"/>
      <c r="E880" s="72"/>
      <c r="F880" s="72"/>
      <c r="G880" s="72"/>
      <c r="H880" s="72"/>
      <c r="I880" s="72"/>
      <c r="J880" s="72"/>
      <c r="K880" s="72"/>
    </row>
    <row r="881" spans="1:11">
      <c r="A881" s="72"/>
      <c r="B881" s="72"/>
      <c r="C881" s="72"/>
      <c r="D881" s="72"/>
      <c r="E881" s="72"/>
      <c r="F881" s="72"/>
      <c r="G881" s="72"/>
      <c r="H881" s="72"/>
      <c r="I881" s="72"/>
      <c r="J881" s="72"/>
      <c r="K881" s="72"/>
    </row>
    <row r="882" spans="1:11">
      <c r="A882" s="72"/>
      <c r="B882" s="72"/>
      <c r="C882" s="72"/>
      <c r="D882" s="72"/>
      <c r="E882" s="72"/>
      <c r="F882" s="72"/>
      <c r="G882" s="72"/>
      <c r="H882" s="72"/>
      <c r="I882" s="72"/>
      <c r="J882" s="72"/>
      <c r="K882" s="72"/>
    </row>
    <row r="883" spans="1:11">
      <c r="A883" s="72"/>
      <c r="B883" s="72"/>
      <c r="C883" s="72"/>
      <c r="D883" s="72"/>
      <c r="E883" s="72"/>
      <c r="F883" s="72"/>
      <c r="G883" s="72"/>
      <c r="H883" s="72"/>
      <c r="I883" s="72"/>
      <c r="J883" s="72"/>
      <c r="K883" s="72"/>
    </row>
    <row r="884" spans="1:11">
      <c r="A884" s="72"/>
      <c r="B884" s="72"/>
      <c r="C884" s="72"/>
      <c r="D884" s="72"/>
      <c r="E884" s="72"/>
      <c r="F884" s="72"/>
      <c r="G884" s="72"/>
      <c r="H884" s="72"/>
      <c r="I884" s="72"/>
      <c r="J884" s="72"/>
      <c r="K884" s="72"/>
    </row>
    <row r="885" spans="1:11">
      <c r="A885" s="72"/>
      <c r="B885" s="72"/>
      <c r="C885" s="72"/>
      <c r="D885" s="72"/>
      <c r="E885" s="72"/>
      <c r="F885" s="72"/>
      <c r="G885" s="72"/>
      <c r="H885" s="72"/>
      <c r="I885" s="72"/>
      <c r="J885" s="72"/>
      <c r="K885" s="72"/>
    </row>
    <row r="886" spans="1:11">
      <c r="A886" s="72"/>
      <c r="B886" s="72"/>
      <c r="C886" s="72"/>
      <c r="D886" s="72"/>
      <c r="E886" s="72"/>
      <c r="F886" s="72"/>
      <c r="G886" s="72"/>
      <c r="H886" s="72"/>
      <c r="I886" s="72"/>
      <c r="J886" s="72"/>
      <c r="K886" s="72"/>
    </row>
    <row r="887" spans="1:11">
      <c r="A887" s="72"/>
      <c r="B887" s="72"/>
      <c r="C887" s="72"/>
      <c r="D887" s="72"/>
      <c r="E887" s="72"/>
      <c r="F887" s="72"/>
      <c r="G887" s="72"/>
      <c r="H887" s="72"/>
      <c r="I887" s="72"/>
      <c r="J887" s="72"/>
      <c r="K887" s="72"/>
    </row>
    <row r="888" spans="1:11">
      <c r="A888" s="72"/>
      <c r="B888" s="72"/>
      <c r="C888" s="72"/>
      <c r="D888" s="72"/>
      <c r="E888" s="72"/>
      <c r="F888" s="72"/>
      <c r="G888" s="72"/>
      <c r="H888" s="72"/>
      <c r="I888" s="72"/>
      <c r="J888" s="72"/>
      <c r="K888" s="72"/>
    </row>
    <row r="889" spans="1:11">
      <c r="A889" s="72"/>
      <c r="B889" s="72"/>
      <c r="C889" s="72"/>
      <c r="D889" s="72"/>
      <c r="E889" s="72"/>
      <c r="F889" s="72"/>
      <c r="G889" s="72"/>
      <c r="H889" s="72"/>
      <c r="I889" s="72"/>
      <c r="J889" s="72"/>
      <c r="K889" s="72"/>
    </row>
    <row r="890" spans="1:11">
      <c r="A890" s="72"/>
      <c r="B890" s="72"/>
      <c r="C890" s="72"/>
      <c r="D890" s="72"/>
      <c r="E890" s="72"/>
      <c r="F890" s="72"/>
      <c r="G890" s="72"/>
      <c r="H890" s="72"/>
      <c r="I890" s="72"/>
      <c r="J890" s="72"/>
      <c r="K890" s="72"/>
    </row>
    <row r="891" spans="1:11">
      <c r="A891" s="72"/>
      <c r="B891" s="72"/>
      <c r="C891" s="72"/>
      <c r="D891" s="72"/>
      <c r="E891" s="72"/>
      <c r="F891" s="72"/>
      <c r="G891" s="72"/>
      <c r="H891" s="72"/>
      <c r="I891" s="72"/>
      <c r="J891" s="72"/>
      <c r="K891" s="72"/>
    </row>
    <row r="892" spans="1:11">
      <c r="A892" s="72"/>
      <c r="B892" s="72"/>
      <c r="C892" s="72"/>
      <c r="D892" s="72"/>
      <c r="E892" s="72"/>
      <c r="F892" s="72"/>
      <c r="G892" s="72"/>
      <c r="H892" s="72"/>
      <c r="I892" s="72"/>
      <c r="J892" s="72"/>
      <c r="K892" s="72"/>
    </row>
    <row r="893" spans="1:11">
      <c r="A893" s="72"/>
      <c r="B893" s="72"/>
      <c r="C893" s="72"/>
      <c r="D893" s="72"/>
      <c r="E893" s="72"/>
      <c r="F893" s="72"/>
      <c r="G893" s="72"/>
      <c r="H893" s="72"/>
      <c r="I893" s="72"/>
      <c r="J893" s="72"/>
      <c r="K893" s="72"/>
    </row>
    <row r="894" spans="1:11">
      <c r="A894" s="72"/>
      <c r="B894" s="72"/>
      <c r="C894" s="72"/>
      <c r="D894" s="72"/>
      <c r="E894" s="72"/>
      <c r="F894" s="72"/>
      <c r="G894" s="72"/>
      <c r="H894" s="72"/>
      <c r="I894" s="72"/>
      <c r="J894" s="72"/>
      <c r="K894" s="72"/>
    </row>
    <row r="895" spans="1:11">
      <c r="A895" s="72"/>
      <c r="B895" s="72"/>
      <c r="C895" s="72"/>
      <c r="D895" s="72"/>
      <c r="E895" s="72"/>
      <c r="F895" s="72"/>
      <c r="G895" s="72"/>
      <c r="H895" s="72"/>
      <c r="I895" s="72"/>
      <c r="J895" s="72"/>
      <c r="K895" s="72"/>
    </row>
    <row r="896" spans="1:11">
      <c r="A896" s="72"/>
      <c r="B896" s="72"/>
      <c r="C896" s="72"/>
      <c r="D896" s="72"/>
      <c r="E896" s="72"/>
      <c r="F896" s="72"/>
      <c r="G896" s="72"/>
      <c r="H896" s="72"/>
      <c r="I896" s="72"/>
      <c r="J896" s="72"/>
      <c r="K896" s="72"/>
    </row>
    <row r="897" spans="1:11">
      <c r="A897" s="72"/>
      <c r="B897" s="72"/>
      <c r="C897" s="72"/>
      <c r="D897" s="72"/>
      <c r="E897" s="72"/>
      <c r="F897" s="72"/>
      <c r="G897" s="72"/>
      <c r="H897" s="72"/>
      <c r="I897" s="72"/>
      <c r="J897" s="72"/>
      <c r="K897" s="72"/>
    </row>
    <row r="898" spans="1:11">
      <c r="A898" s="72"/>
      <c r="B898" s="72"/>
      <c r="C898" s="72"/>
      <c r="D898" s="72"/>
      <c r="E898" s="72"/>
      <c r="F898" s="72"/>
      <c r="G898" s="72"/>
      <c r="H898" s="72"/>
      <c r="I898" s="72"/>
      <c r="J898" s="72"/>
      <c r="K898" s="72"/>
    </row>
    <row r="899" spans="1:11">
      <c r="A899" s="72"/>
      <c r="B899" s="72"/>
      <c r="C899" s="72"/>
      <c r="D899" s="72"/>
      <c r="E899" s="72"/>
      <c r="F899" s="72"/>
      <c r="G899" s="72"/>
      <c r="H899" s="72"/>
      <c r="I899" s="72"/>
      <c r="J899" s="72"/>
      <c r="K899" s="72"/>
    </row>
    <row r="900" spans="1:11">
      <c r="A900" s="72"/>
      <c r="B900" s="72"/>
      <c r="C900" s="72"/>
      <c r="D900" s="72"/>
      <c r="E900" s="72"/>
      <c r="F900" s="72"/>
      <c r="G900" s="72"/>
      <c r="H900" s="72"/>
      <c r="I900" s="72"/>
      <c r="J900" s="72"/>
      <c r="K900" s="72"/>
    </row>
    <row r="901" spans="1:11">
      <c r="A901" s="72"/>
      <c r="B901" s="72"/>
      <c r="C901" s="72"/>
      <c r="D901" s="72"/>
      <c r="E901" s="72"/>
      <c r="F901" s="72"/>
      <c r="G901" s="72"/>
      <c r="H901" s="72"/>
      <c r="I901" s="72"/>
      <c r="J901" s="72"/>
      <c r="K901" s="72"/>
    </row>
    <row r="902" spans="1:11">
      <c r="A902" s="72"/>
      <c r="B902" s="72"/>
      <c r="C902" s="72"/>
      <c r="D902" s="72"/>
      <c r="E902" s="72"/>
      <c r="F902" s="72"/>
      <c r="G902" s="72"/>
      <c r="H902" s="72"/>
      <c r="I902" s="72"/>
      <c r="J902" s="72"/>
      <c r="K902" s="72"/>
    </row>
    <row r="903" spans="1:11">
      <c r="A903" s="72"/>
      <c r="B903" s="72"/>
      <c r="C903" s="72"/>
      <c r="D903" s="72"/>
      <c r="E903" s="72"/>
      <c r="F903" s="72"/>
      <c r="G903" s="72"/>
      <c r="H903" s="72"/>
      <c r="I903" s="72"/>
      <c r="J903" s="72"/>
      <c r="K903" s="72"/>
    </row>
    <row r="904" spans="1:11">
      <c r="A904" s="72"/>
      <c r="B904" s="72"/>
      <c r="C904" s="72"/>
      <c r="D904" s="72"/>
      <c r="E904" s="72"/>
      <c r="F904" s="72"/>
      <c r="G904" s="72"/>
      <c r="H904" s="72"/>
      <c r="I904" s="72"/>
      <c r="J904" s="72"/>
      <c r="K904" s="72"/>
    </row>
    <row r="905" spans="1:11">
      <c r="A905" s="72"/>
      <c r="B905" s="72"/>
      <c r="C905" s="72"/>
      <c r="D905" s="72"/>
      <c r="E905" s="72"/>
      <c r="F905" s="72"/>
      <c r="G905" s="72"/>
      <c r="H905" s="72"/>
      <c r="I905" s="72"/>
      <c r="J905" s="72"/>
      <c r="K905" s="72"/>
    </row>
    <row r="906" spans="1:11">
      <c r="A906" s="72"/>
      <c r="B906" s="72"/>
      <c r="C906" s="72"/>
      <c r="D906" s="72"/>
      <c r="E906" s="72"/>
      <c r="F906" s="72"/>
      <c r="G906" s="72"/>
      <c r="H906" s="72"/>
      <c r="I906" s="72"/>
      <c r="J906" s="72"/>
      <c r="K906" s="72"/>
    </row>
    <row r="907" spans="1:11">
      <c r="A907" s="72"/>
      <c r="B907" s="72"/>
      <c r="C907" s="72"/>
      <c r="D907" s="72"/>
      <c r="E907" s="72"/>
      <c r="F907" s="72"/>
      <c r="G907" s="72"/>
      <c r="H907" s="72"/>
      <c r="I907" s="72"/>
      <c r="J907" s="72"/>
      <c r="K907" s="72"/>
    </row>
    <row r="908" spans="1:11">
      <c r="A908" s="72"/>
      <c r="B908" s="72"/>
      <c r="C908" s="72"/>
      <c r="D908" s="72"/>
      <c r="E908" s="72"/>
      <c r="F908" s="72"/>
      <c r="G908" s="72"/>
      <c r="H908" s="72"/>
      <c r="I908" s="72"/>
      <c r="J908" s="72"/>
      <c r="K908" s="72"/>
    </row>
    <row r="909" spans="1:11">
      <c r="A909" s="72"/>
      <c r="B909" s="72"/>
      <c r="C909" s="72"/>
      <c r="D909" s="72"/>
      <c r="E909" s="72"/>
      <c r="F909" s="72"/>
      <c r="G909" s="72"/>
      <c r="H909" s="72"/>
      <c r="I909" s="72"/>
      <c r="J909" s="72"/>
      <c r="K909" s="72"/>
    </row>
    <row r="910" spans="1:11">
      <c r="A910" s="72"/>
      <c r="B910" s="72"/>
      <c r="C910" s="72"/>
      <c r="D910" s="72"/>
      <c r="E910" s="72"/>
      <c r="F910" s="72"/>
      <c r="G910" s="72"/>
      <c r="H910" s="72"/>
      <c r="I910" s="72"/>
      <c r="J910" s="72"/>
      <c r="K910" s="72"/>
    </row>
    <row r="911" spans="1:11">
      <c r="A911" s="72"/>
      <c r="B911" s="72"/>
      <c r="C911" s="72"/>
      <c r="D911" s="72"/>
      <c r="E911" s="72"/>
      <c r="F911" s="72"/>
      <c r="G911" s="72"/>
      <c r="H911" s="72"/>
      <c r="I911" s="72"/>
      <c r="J911" s="72"/>
      <c r="K911" s="72"/>
    </row>
    <row r="912" spans="1:11">
      <c r="A912" s="72"/>
      <c r="B912" s="72"/>
      <c r="C912" s="72"/>
      <c r="D912" s="72"/>
      <c r="E912" s="72"/>
      <c r="F912" s="72"/>
      <c r="G912" s="72"/>
      <c r="H912" s="72"/>
      <c r="I912" s="72"/>
      <c r="J912" s="72"/>
      <c r="K912" s="72"/>
    </row>
    <row r="913" spans="1:11">
      <c r="A913" s="72"/>
      <c r="B913" s="72"/>
      <c r="C913" s="72"/>
      <c r="D913" s="72"/>
      <c r="E913" s="72"/>
      <c r="F913" s="72"/>
      <c r="G913" s="72"/>
      <c r="H913" s="72"/>
      <c r="I913" s="72"/>
      <c r="J913" s="72"/>
      <c r="K913" s="72"/>
    </row>
    <row r="914" spans="1:11">
      <c r="A914" s="72"/>
      <c r="B914" s="72"/>
      <c r="C914" s="72"/>
      <c r="D914" s="72"/>
      <c r="E914" s="72"/>
      <c r="F914" s="72"/>
      <c r="G914" s="72"/>
      <c r="H914" s="72"/>
      <c r="I914" s="72"/>
      <c r="J914" s="72"/>
      <c r="K914" s="72"/>
    </row>
    <row r="915" spans="1:11">
      <c r="A915" s="72"/>
      <c r="B915" s="72"/>
      <c r="C915" s="72"/>
      <c r="D915" s="72"/>
      <c r="E915" s="72"/>
      <c r="F915" s="72"/>
      <c r="G915" s="72"/>
      <c r="H915" s="72"/>
      <c r="I915" s="72"/>
      <c r="J915" s="72"/>
      <c r="K915" s="72"/>
    </row>
    <row r="916" spans="1:11">
      <c r="A916" s="72"/>
      <c r="B916" s="72"/>
      <c r="C916" s="72"/>
      <c r="D916" s="72"/>
      <c r="E916" s="72"/>
      <c r="F916" s="72"/>
      <c r="G916" s="72"/>
      <c r="H916" s="72"/>
      <c r="I916" s="72"/>
      <c r="J916" s="72"/>
      <c r="K916" s="72"/>
    </row>
    <row r="917" spans="1:11">
      <c r="A917" s="72"/>
      <c r="B917" s="72"/>
      <c r="C917" s="72"/>
      <c r="D917" s="72"/>
      <c r="E917" s="72"/>
      <c r="F917" s="72"/>
      <c r="G917" s="72"/>
      <c r="H917" s="72"/>
      <c r="I917" s="72"/>
      <c r="J917" s="72"/>
      <c r="K917" s="72"/>
    </row>
    <row r="918" spans="1:11">
      <c r="A918" s="72"/>
      <c r="B918" s="72"/>
      <c r="C918" s="72"/>
      <c r="D918" s="72"/>
      <c r="E918" s="72"/>
      <c r="F918" s="72"/>
      <c r="G918" s="72"/>
      <c r="H918" s="72"/>
      <c r="I918" s="72"/>
      <c r="J918" s="72"/>
      <c r="K918" s="72"/>
    </row>
    <row r="919" spans="1:11">
      <c r="A919" s="72"/>
      <c r="B919" s="72"/>
      <c r="C919" s="72"/>
      <c r="D919" s="72"/>
      <c r="E919" s="72"/>
      <c r="F919" s="72"/>
      <c r="G919" s="72"/>
      <c r="H919" s="72"/>
      <c r="I919" s="72"/>
      <c r="J919" s="72"/>
      <c r="K919" s="72"/>
    </row>
    <row r="920" spans="1:11">
      <c r="A920" s="72"/>
      <c r="B920" s="72"/>
      <c r="C920" s="72"/>
      <c r="D920" s="72"/>
      <c r="E920" s="72"/>
      <c r="F920" s="72"/>
      <c r="G920" s="72"/>
      <c r="H920" s="72"/>
      <c r="I920" s="72"/>
      <c r="J920" s="72"/>
      <c r="K920" s="72"/>
    </row>
    <row r="921" spans="1:11">
      <c r="A921" s="72"/>
      <c r="B921" s="72"/>
      <c r="C921" s="72"/>
      <c r="D921" s="72"/>
      <c r="E921" s="72"/>
      <c r="F921" s="72"/>
      <c r="G921" s="72"/>
      <c r="H921" s="72"/>
      <c r="I921" s="72"/>
      <c r="J921" s="72"/>
      <c r="K921" s="72"/>
    </row>
    <row r="922" spans="1:11">
      <c r="A922" s="72"/>
      <c r="B922" s="72"/>
      <c r="C922" s="72"/>
      <c r="D922" s="72"/>
      <c r="E922" s="72"/>
      <c r="F922" s="72"/>
      <c r="G922" s="72"/>
      <c r="H922" s="72"/>
      <c r="I922" s="72"/>
      <c r="J922" s="72"/>
      <c r="K922" s="72"/>
    </row>
    <row r="923" spans="1:11">
      <c r="A923" s="72"/>
      <c r="B923" s="72"/>
      <c r="C923" s="72"/>
      <c r="D923" s="72"/>
      <c r="E923" s="72"/>
      <c r="F923" s="72"/>
      <c r="G923" s="72"/>
      <c r="H923" s="72"/>
      <c r="I923" s="72"/>
      <c r="J923" s="72"/>
      <c r="K923" s="72"/>
    </row>
    <row r="924" spans="1:11">
      <c r="A924" s="72"/>
      <c r="B924" s="72"/>
      <c r="C924" s="72"/>
      <c r="D924" s="72"/>
      <c r="E924" s="72"/>
      <c r="F924" s="72"/>
      <c r="G924" s="72"/>
      <c r="H924" s="72"/>
      <c r="I924" s="72"/>
      <c r="J924" s="72"/>
      <c r="K924" s="72"/>
    </row>
    <row r="925" spans="1:11">
      <c r="A925" s="72"/>
      <c r="B925" s="72"/>
      <c r="C925" s="72"/>
      <c r="D925" s="72"/>
      <c r="E925" s="72"/>
      <c r="F925" s="72"/>
      <c r="G925" s="72"/>
      <c r="H925" s="72"/>
      <c r="I925" s="72"/>
      <c r="J925" s="72"/>
      <c r="K925" s="72"/>
    </row>
    <row r="926" spans="1:11">
      <c r="A926" s="72"/>
      <c r="B926" s="72"/>
      <c r="C926" s="72"/>
      <c r="D926" s="72"/>
      <c r="E926" s="72"/>
      <c r="F926" s="72"/>
      <c r="G926" s="72"/>
      <c r="H926" s="72"/>
      <c r="I926" s="72"/>
      <c r="J926" s="72"/>
      <c r="K926" s="72"/>
    </row>
    <row r="927" spans="1:11">
      <c r="A927" s="72"/>
      <c r="B927" s="72"/>
      <c r="C927" s="72"/>
      <c r="D927" s="72"/>
      <c r="E927" s="72"/>
      <c r="F927" s="72"/>
      <c r="G927" s="72"/>
      <c r="H927" s="72"/>
      <c r="I927" s="72"/>
      <c r="J927" s="72"/>
      <c r="K927" s="72"/>
    </row>
    <row r="928" spans="1:11">
      <c r="A928" s="72"/>
      <c r="B928" s="72"/>
      <c r="C928" s="72"/>
      <c r="D928" s="72"/>
      <c r="E928" s="72"/>
      <c r="F928" s="72"/>
      <c r="G928" s="72"/>
      <c r="H928" s="72"/>
      <c r="I928" s="72"/>
      <c r="J928" s="72"/>
      <c r="K928" s="72"/>
    </row>
    <row r="929" spans="1:11">
      <c r="A929" s="72"/>
      <c r="B929" s="72"/>
      <c r="C929" s="72"/>
      <c r="D929" s="72"/>
      <c r="E929" s="72"/>
      <c r="F929" s="72"/>
      <c r="G929" s="72"/>
      <c r="H929" s="72"/>
      <c r="I929" s="72"/>
      <c r="J929" s="72"/>
      <c r="K929" s="72"/>
    </row>
    <row r="930" spans="1:11">
      <c r="A930" s="72"/>
      <c r="B930" s="72"/>
      <c r="C930" s="72"/>
      <c r="D930" s="72"/>
      <c r="E930" s="72"/>
      <c r="F930" s="72"/>
      <c r="G930" s="72"/>
      <c r="H930" s="72"/>
      <c r="I930" s="72"/>
      <c r="J930" s="72"/>
      <c r="K930" s="72"/>
    </row>
    <row r="931" spans="1:11">
      <c r="A931" s="72"/>
      <c r="B931" s="72"/>
      <c r="C931" s="72"/>
      <c r="D931" s="72"/>
      <c r="E931" s="72"/>
      <c r="F931" s="72"/>
      <c r="G931" s="72"/>
      <c r="H931" s="72"/>
      <c r="I931" s="72"/>
      <c r="J931" s="72"/>
      <c r="K931" s="72"/>
    </row>
    <row r="932" spans="1:11">
      <c r="A932" s="72"/>
      <c r="B932" s="72"/>
      <c r="C932" s="72"/>
      <c r="D932" s="72"/>
      <c r="E932" s="72"/>
      <c r="F932" s="72"/>
      <c r="G932" s="72"/>
      <c r="H932" s="72"/>
      <c r="I932" s="72"/>
      <c r="J932" s="72"/>
      <c r="K932" s="72"/>
    </row>
    <row r="933" spans="1:11">
      <c r="A933" s="72"/>
      <c r="B933" s="72"/>
      <c r="C933" s="72"/>
      <c r="D933" s="72"/>
      <c r="E933" s="72"/>
      <c r="F933" s="72"/>
      <c r="G933" s="72"/>
      <c r="H933" s="72"/>
      <c r="I933" s="72"/>
      <c r="J933" s="72"/>
      <c r="K933" s="72"/>
    </row>
    <row r="934" spans="1:11">
      <c r="A934" s="72"/>
      <c r="B934" s="72"/>
      <c r="C934" s="72"/>
      <c r="D934" s="72"/>
      <c r="E934" s="72"/>
      <c r="F934" s="72"/>
      <c r="G934" s="72"/>
      <c r="H934" s="72"/>
      <c r="I934" s="72"/>
      <c r="J934" s="72"/>
      <c r="K934" s="72"/>
    </row>
    <row r="935" spans="1:11">
      <c r="A935" s="72"/>
      <c r="B935" s="72"/>
      <c r="C935" s="72"/>
      <c r="D935" s="72"/>
      <c r="E935" s="72"/>
      <c r="F935" s="72"/>
      <c r="G935" s="72"/>
      <c r="H935" s="72"/>
      <c r="I935" s="72"/>
      <c r="J935" s="72"/>
      <c r="K935" s="72"/>
    </row>
    <row r="936" spans="1:11">
      <c r="A936" s="72"/>
      <c r="B936" s="72"/>
      <c r="C936" s="72"/>
      <c r="D936" s="72"/>
      <c r="E936" s="72"/>
      <c r="F936" s="72"/>
      <c r="G936" s="72"/>
      <c r="H936" s="72"/>
      <c r="I936" s="72"/>
      <c r="J936" s="72"/>
      <c r="K936" s="72"/>
    </row>
    <row r="937" spans="1:11">
      <c r="A937" s="72"/>
      <c r="B937" s="72"/>
      <c r="C937" s="72"/>
      <c r="D937" s="72"/>
      <c r="E937" s="72"/>
      <c r="F937" s="72"/>
      <c r="G937" s="72"/>
      <c r="H937" s="72"/>
      <c r="I937" s="72"/>
      <c r="J937" s="72"/>
      <c r="K937" s="72"/>
    </row>
    <row r="938" spans="1:11">
      <c r="A938" s="72"/>
      <c r="B938" s="72"/>
      <c r="C938" s="72"/>
      <c r="D938" s="72"/>
      <c r="E938" s="72"/>
      <c r="F938" s="72"/>
      <c r="G938" s="72"/>
      <c r="H938" s="72"/>
      <c r="I938" s="72"/>
      <c r="J938" s="72"/>
      <c r="K938" s="72"/>
    </row>
    <row r="939" spans="1:11">
      <c r="A939" s="72"/>
      <c r="B939" s="72"/>
      <c r="C939" s="72"/>
      <c r="D939" s="72"/>
      <c r="E939" s="72"/>
      <c r="F939" s="72"/>
      <c r="G939" s="72"/>
      <c r="H939" s="72"/>
      <c r="I939" s="72"/>
      <c r="J939" s="72"/>
      <c r="K939" s="72"/>
    </row>
    <row r="940" spans="1:11">
      <c r="A940" s="72"/>
      <c r="B940" s="72"/>
      <c r="C940" s="72"/>
      <c r="D940" s="72"/>
      <c r="E940" s="72"/>
      <c r="F940" s="72"/>
      <c r="G940" s="72"/>
      <c r="H940" s="72"/>
      <c r="I940" s="72"/>
      <c r="J940" s="72"/>
      <c r="K940" s="72"/>
    </row>
    <row r="941" spans="1:11">
      <c r="A941" s="72"/>
      <c r="B941" s="72"/>
      <c r="C941" s="72"/>
      <c r="D941" s="72"/>
      <c r="E941" s="72"/>
      <c r="F941" s="72"/>
      <c r="G941" s="72"/>
      <c r="H941" s="72"/>
      <c r="I941" s="72"/>
      <c r="J941" s="72"/>
      <c r="K941" s="72"/>
    </row>
    <row r="942" spans="1:11">
      <c r="A942" s="72"/>
      <c r="B942" s="72"/>
      <c r="C942" s="72"/>
      <c r="D942" s="72"/>
      <c r="E942" s="72"/>
      <c r="F942" s="72"/>
      <c r="G942" s="72"/>
      <c r="H942" s="72"/>
      <c r="I942" s="72"/>
      <c r="J942" s="72"/>
      <c r="K942" s="72"/>
    </row>
    <row r="943" spans="1:11">
      <c r="A943" s="72"/>
      <c r="B943" s="72"/>
      <c r="C943" s="72"/>
      <c r="D943" s="72"/>
      <c r="E943" s="72"/>
      <c r="F943" s="72"/>
      <c r="G943" s="72"/>
      <c r="H943" s="72"/>
      <c r="I943" s="72"/>
      <c r="J943" s="72"/>
      <c r="K943" s="72"/>
    </row>
    <row r="944" spans="1:11">
      <c r="A944" s="72"/>
      <c r="B944" s="72"/>
      <c r="C944" s="72"/>
      <c r="D944" s="72"/>
      <c r="E944" s="72"/>
      <c r="F944" s="72"/>
      <c r="G944" s="72"/>
      <c r="H944" s="72"/>
      <c r="I944" s="72"/>
      <c r="J944" s="72"/>
      <c r="K944" s="72"/>
    </row>
    <row r="945" spans="1:11">
      <c r="A945" s="72"/>
      <c r="B945" s="72"/>
      <c r="C945" s="72"/>
      <c r="D945" s="72"/>
      <c r="E945" s="72"/>
      <c r="F945" s="72"/>
      <c r="G945" s="72"/>
      <c r="H945" s="72"/>
      <c r="I945" s="72"/>
      <c r="J945" s="72"/>
      <c r="K945" s="72"/>
    </row>
    <row r="946" spans="1:11">
      <c r="A946" s="72"/>
      <c r="B946" s="72"/>
      <c r="C946" s="72"/>
      <c r="D946" s="72"/>
      <c r="E946" s="72"/>
      <c r="F946" s="72"/>
      <c r="G946" s="72"/>
      <c r="H946" s="72"/>
      <c r="I946" s="72"/>
      <c r="J946" s="72"/>
      <c r="K946" s="72"/>
    </row>
    <row r="947" spans="1:11">
      <c r="A947" s="72"/>
      <c r="B947" s="72"/>
      <c r="C947" s="72"/>
      <c r="D947" s="72"/>
      <c r="E947" s="72"/>
      <c r="F947" s="72"/>
      <c r="G947" s="72"/>
      <c r="H947" s="72"/>
      <c r="I947" s="72"/>
      <c r="J947" s="72"/>
      <c r="K947" s="72"/>
    </row>
    <row r="948" spans="1:11">
      <c r="A948" s="72"/>
      <c r="B948" s="72"/>
      <c r="C948" s="72"/>
      <c r="D948" s="72"/>
      <c r="E948" s="72"/>
      <c r="F948" s="72"/>
      <c r="G948" s="72"/>
      <c r="H948" s="72"/>
      <c r="I948" s="72"/>
      <c r="J948" s="72"/>
      <c r="K948" s="72"/>
    </row>
    <row r="949" spans="1:11">
      <c r="A949" s="72"/>
      <c r="B949" s="72"/>
      <c r="C949" s="72"/>
      <c r="D949" s="72"/>
      <c r="E949" s="72"/>
      <c r="F949" s="72"/>
      <c r="G949" s="72"/>
      <c r="H949" s="72"/>
      <c r="I949" s="72"/>
      <c r="J949" s="72"/>
      <c r="K949" s="72"/>
    </row>
    <row r="950" spans="1:11">
      <c r="A950" s="72"/>
      <c r="B950" s="72"/>
      <c r="C950" s="72"/>
      <c r="D950" s="72"/>
      <c r="E950" s="72"/>
      <c r="F950" s="72"/>
      <c r="G950" s="72"/>
      <c r="H950" s="72"/>
      <c r="I950" s="72"/>
      <c r="J950" s="72"/>
      <c r="K950" s="72"/>
    </row>
    <row r="951" spans="1:11">
      <c r="A951" s="72"/>
      <c r="B951" s="72"/>
      <c r="C951" s="72"/>
      <c r="D951" s="72"/>
      <c r="E951" s="72"/>
      <c r="F951" s="72"/>
      <c r="G951" s="72"/>
      <c r="H951" s="72"/>
      <c r="I951" s="72"/>
      <c r="J951" s="72"/>
      <c r="K951" s="72"/>
    </row>
    <row r="952" spans="1:11">
      <c r="A952" s="72"/>
      <c r="B952" s="72"/>
      <c r="C952" s="72"/>
      <c r="D952" s="72"/>
      <c r="E952" s="72"/>
      <c r="F952" s="72"/>
      <c r="G952" s="72"/>
      <c r="H952" s="72"/>
      <c r="I952" s="72"/>
      <c r="J952" s="72"/>
      <c r="K952" s="72"/>
    </row>
    <row r="953" spans="1:11">
      <c r="A953" s="72"/>
      <c r="B953" s="72"/>
      <c r="C953" s="72"/>
      <c r="D953" s="72"/>
      <c r="E953" s="72"/>
      <c r="F953" s="72"/>
      <c r="G953" s="72"/>
      <c r="H953" s="72"/>
      <c r="I953" s="72"/>
      <c r="J953" s="72"/>
      <c r="K953" s="72"/>
    </row>
    <row r="954" spans="1:11">
      <c r="A954" s="72"/>
      <c r="B954" s="72"/>
      <c r="C954" s="72"/>
      <c r="D954" s="72"/>
      <c r="E954" s="72"/>
      <c r="F954" s="72"/>
      <c r="G954" s="72"/>
      <c r="H954" s="72"/>
      <c r="I954" s="72"/>
      <c r="J954" s="72"/>
      <c r="K954" s="72"/>
    </row>
    <row r="955" spans="1:11">
      <c r="A955" s="72"/>
      <c r="B955" s="72"/>
      <c r="C955" s="72"/>
      <c r="D955" s="72"/>
      <c r="E955" s="72"/>
      <c r="F955" s="72"/>
      <c r="G955" s="72"/>
      <c r="H955" s="72"/>
      <c r="I955" s="72"/>
      <c r="J955" s="72"/>
      <c r="K955" s="72"/>
    </row>
    <row r="956" spans="1:11">
      <c r="A956" s="72"/>
      <c r="B956" s="72"/>
      <c r="C956" s="72"/>
      <c r="D956" s="72"/>
      <c r="E956" s="72"/>
      <c r="F956" s="72"/>
      <c r="G956" s="72"/>
      <c r="H956" s="72"/>
      <c r="I956" s="72"/>
      <c r="J956" s="72"/>
      <c r="K956" s="72"/>
    </row>
    <row r="957" spans="1:11">
      <c r="A957" s="72"/>
      <c r="B957" s="72"/>
      <c r="C957" s="72"/>
      <c r="D957" s="72"/>
      <c r="E957" s="72"/>
      <c r="F957" s="72"/>
      <c r="G957" s="72"/>
      <c r="H957" s="72"/>
      <c r="I957" s="72"/>
      <c r="J957" s="72"/>
      <c r="K957" s="72"/>
    </row>
    <row r="958" spans="1:11">
      <c r="A958" s="72"/>
      <c r="B958" s="72"/>
      <c r="C958" s="72"/>
      <c r="D958" s="72"/>
      <c r="E958" s="72"/>
      <c r="F958" s="72"/>
      <c r="G958" s="72"/>
      <c r="H958" s="72"/>
      <c r="I958" s="72"/>
      <c r="J958" s="72"/>
      <c r="K958" s="72"/>
    </row>
    <row r="959" spans="1:11">
      <c r="A959" s="72"/>
      <c r="B959" s="72"/>
      <c r="C959" s="72"/>
      <c r="D959" s="72"/>
      <c r="E959" s="72"/>
      <c r="F959" s="72"/>
      <c r="G959" s="72"/>
      <c r="H959" s="72"/>
      <c r="I959" s="72"/>
      <c r="J959" s="72"/>
      <c r="K959" s="72"/>
    </row>
    <row r="960" spans="1:11">
      <c r="A960" s="72"/>
      <c r="B960" s="72"/>
      <c r="C960" s="72"/>
      <c r="D960" s="72"/>
      <c r="E960" s="72"/>
      <c r="F960" s="72"/>
      <c r="G960" s="72"/>
      <c r="H960" s="72"/>
      <c r="I960" s="72"/>
      <c r="J960" s="72"/>
      <c r="K960" s="72"/>
    </row>
    <row r="961" spans="1:11">
      <c r="A961" s="72"/>
      <c r="B961" s="72"/>
      <c r="C961" s="72"/>
      <c r="D961" s="72"/>
      <c r="E961" s="72"/>
      <c r="F961" s="72"/>
      <c r="G961" s="72"/>
      <c r="H961" s="72"/>
      <c r="I961" s="72"/>
      <c r="J961" s="72"/>
      <c r="K961" s="72"/>
    </row>
    <row r="962" spans="1:11">
      <c r="A962" s="72"/>
      <c r="B962" s="72"/>
      <c r="C962" s="72"/>
      <c r="D962" s="72"/>
      <c r="E962" s="72"/>
      <c r="F962" s="72"/>
      <c r="G962" s="72"/>
      <c r="H962" s="72"/>
      <c r="I962" s="72"/>
      <c r="J962" s="72"/>
      <c r="K962" s="72"/>
    </row>
    <row r="963" spans="1:11">
      <c r="A963" s="72"/>
      <c r="B963" s="72"/>
      <c r="C963" s="72"/>
      <c r="D963" s="72"/>
      <c r="E963" s="72"/>
      <c r="F963" s="72"/>
      <c r="G963" s="72"/>
      <c r="H963" s="72"/>
      <c r="I963" s="72"/>
      <c r="J963" s="72"/>
      <c r="K963" s="72"/>
    </row>
    <row r="964" spans="1:11">
      <c r="A964" s="72"/>
      <c r="B964" s="72"/>
      <c r="C964" s="72"/>
      <c r="D964" s="72"/>
      <c r="E964" s="72"/>
      <c r="F964" s="72"/>
      <c r="G964" s="72"/>
      <c r="H964" s="72"/>
      <c r="I964" s="72"/>
      <c r="J964" s="72"/>
      <c r="K964" s="72"/>
    </row>
    <row r="965" spans="1:11">
      <c r="A965" s="72"/>
      <c r="B965" s="72"/>
      <c r="C965" s="72"/>
      <c r="D965" s="72"/>
      <c r="E965" s="72"/>
      <c r="F965" s="72"/>
      <c r="G965" s="72"/>
      <c r="H965" s="72"/>
      <c r="I965" s="72"/>
      <c r="J965" s="72"/>
      <c r="K965" s="72"/>
    </row>
    <row r="966" spans="1:11">
      <c r="A966" s="72"/>
      <c r="B966" s="72"/>
      <c r="C966" s="72"/>
      <c r="D966" s="72"/>
      <c r="E966" s="72"/>
      <c r="F966" s="72"/>
      <c r="G966" s="72"/>
      <c r="H966" s="72"/>
      <c r="I966" s="72"/>
      <c r="J966" s="72"/>
      <c r="K966" s="72"/>
    </row>
    <row r="967" spans="1:11">
      <c r="A967" s="72"/>
      <c r="B967" s="72"/>
      <c r="C967" s="72"/>
      <c r="D967" s="72"/>
      <c r="E967" s="72"/>
      <c r="F967" s="72"/>
      <c r="G967" s="72"/>
      <c r="H967" s="72"/>
      <c r="I967" s="72"/>
      <c r="J967" s="72"/>
      <c r="K967" s="72"/>
    </row>
    <row r="968" spans="1:11">
      <c r="A968" s="72"/>
      <c r="B968" s="72"/>
      <c r="C968" s="72"/>
      <c r="D968" s="72"/>
      <c r="E968" s="72"/>
      <c r="F968" s="72"/>
      <c r="G968" s="72"/>
      <c r="H968" s="72"/>
      <c r="I968" s="72"/>
      <c r="J968" s="72"/>
      <c r="K968" s="72"/>
    </row>
    <row r="969" spans="1:11">
      <c r="A969" s="72"/>
      <c r="B969" s="72"/>
      <c r="C969" s="72"/>
      <c r="D969" s="72"/>
      <c r="E969" s="72"/>
      <c r="F969" s="72"/>
      <c r="G969" s="72"/>
      <c r="H969" s="72"/>
      <c r="I969" s="72"/>
      <c r="J969" s="72"/>
      <c r="K969" s="72"/>
    </row>
    <row r="970" spans="1:11">
      <c r="A970" s="72"/>
      <c r="B970" s="72"/>
      <c r="C970" s="72"/>
      <c r="D970" s="72"/>
      <c r="E970" s="72"/>
      <c r="F970" s="72"/>
      <c r="G970" s="72"/>
      <c r="H970" s="72"/>
      <c r="I970" s="72"/>
      <c r="J970" s="72"/>
      <c r="K970" s="72"/>
    </row>
    <row r="971" spans="1:11">
      <c r="A971" s="72"/>
      <c r="B971" s="72"/>
      <c r="C971" s="72"/>
      <c r="D971" s="72"/>
      <c r="E971" s="72"/>
      <c r="F971" s="72"/>
      <c r="G971" s="72"/>
      <c r="H971" s="72"/>
      <c r="I971" s="72"/>
      <c r="J971" s="72"/>
      <c r="K971" s="72"/>
    </row>
    <row r="972" spans="1:11">
      <c r="A972" s="72"/>
      <c r="B972" s="72"/>
      <c r="C972" s="72"/>
      <c r="D972" s="72"/>
      <c r="E972" s="72"/>
      <c r="F972" s="72"/>
      <c r="G972" s="72"/>
      <c r="H972" s="72"/>
      <c r="I972" s="72"/>
      <c r="J972" s="72"/>
      <c r="K972" s="72"/>
    </row>
    <row r="973" spans="1:11">
      <c r="A973" s="72"/>
      <c r="B973" s="72"/>
      <c r="C973" s="72"/>
      <c r="D973" s="72"/>
      <c r="E973" s="72"/>
      <c r="F973" s="72"/>
      <c r="G973" s="72"/>
      <c r="H973" s="72"/>
      <c r="I973" s="72"/>
      <c r="J973" s="72"/>
      <c r="K973" s="72"/>
    </row>
    <row r="974" spans="1:11">
      <c r="A974" s="72"/>
      <c r="B974" s="72"/>
      <c r="C974" s="72"/>
      <c r="D974" s="72"/>
      <c r="E974" s="72"/>
      <c r="F974" s="72"/>
      <c r="G974" s="72"/>
      <c r="H974" s="72"/>
      <c r="I974" s="72"/>
      <c r="J974" s="72"/>
      <c r="K974" s="72"/>
    </row>
    <row r="975" spans="1:11">
      <c r="A975" s="72"/>
      <c r="B975" s="72"/>
      <c r="C975" s="72"/>
      <c r="D975" s="72"/>
      <c r="E975" s="72"/>
      <c r="F975" s="72"/>
      <c r="G975" s="72"/>
      <c r="H975" s="72"/>
      <c r="I975" s="72"/>
      <c r="J975" s="72"/>
      <c r="K975" s="72"/>
    </row>
    <row r="976" spans="1:11">
      <c r="A976" s="72"/>
      <c r="B976" s="72"/>
      <c r="C976" s="72"/>
      <c r="D976" s="72"/>
      <c r="E976" s="72"/>
      <c r="F976" s="72"/>
      <c r="G976" s="72"/>
      <c r="H976" s="72"/>
      <c r="I976" s="72"/>
      <c r="J976" s="72"/>
      <c r="K976" s="72"/>
    </row>
    <row r="977" spans="1:11">
      <c r="A977" s="72"/>
      <c r="B977" s="72"/>
      <c r="C977" s="72"/>
      <c r="D977" s="72"/>
      <c r="E977" s="72"/>
      <c r="F977" s="72"/>
      <c r="G977" s="72"/>
      <c r="H977" s="72"/>
      <c r="I977" s="72"/>
      <c r="J977" s="72"/>
      <c r="K977" s="72"/>
    </row>
    <row r="978" spans="1:11">
      <c r="A978" s="72"/>
      <c r="B978" s="72"/>
      <c r="C978" s="72"/>
      <c r="D978" s="72"/>
      <c r="E978" s="72"/>
      <c r="F978" s="72"/>
      <c r="G978" s="72"/>
      <c r="H978" s="72"/>
      <c r="I978" s="72"/>
      <c r="J978" s="72"/>
      <c r="K978" s="72"/>
    </row>
    <row r="979" spans="1:11">
      <c r="A979" s="72"/>
      <c r="B979" s="72"/>
      <c r="C979" s="72"/>
      <c r="D979" s="72"/>
      <c r="E979" s="72"/>
      <c r="F979" s="72"/>
      <c r="G979" s="72"/>
      <c r="H979" s="72"/>
      <c r="I979" s="72"/>
      <c r="J979" s="72"/>
      <c r="K979" s="72"/>
    </row>
    <row r="980" spans="1:11">
      <c r="A980" s="72"/>
      <c r="B980" s="72"/>
      <c r="C980" s="72"/>
      <c r="D980" s="72"/>
      <c r="E980" s="72"/>
      <c r="F980" s="72"/>
      <c r="G980" s="72"/>
      <c r="H980" s="72"/>
      <c r="I980" s="72"/>
      <c r="J980" s="72"/>
      <c r="K980" s="72"/>
    </row>
    <row r="981" spans="1:11">
      <c r="A981" s="72"/>
      <c r="B981" s="72"/>
      <c r="C981" s="72"/>
      <c r="D981" s="72"/>
      <c r="E981" s="72"/>
      <c r="F981" s="72"/>
      <c r="G981" s="72"/>
      <c r="H981" s="72"/>
      <c r="I981" s="72"/>
      <c r="J981" s="72"/>
      <c r="K981" s="72"/>
    </row>
    <row r="982" spans="1:11">
      <c r="A982" s="72"/>
      <c r="B982" s="72"/>
      <c r="C982" s="72"/>
      <c r="D982" s="72"/>
      <c r="E982" s="72"/>
      <c r="F982" s="72"/>
      <c r="G982" s="72"/>
      <c r="H982" s="72"/>
      <c r="I982" s="72"/>
      <c r="J982" s="72"/>
      <c r="K982" s="72"/>
    </row>
    <row r="983" spans="1:11">
      <c r="A983" s="72"/>
      <c r="B983" s="72"/>
      <c r="C983" s="72"/>
      <c r="D983" s="72"/>
      <c r="E983" s="72"/>
      <c r="F983" s="72"/>
      <c r="G983" s="72"/>
      <c r="H983" s="72"/>
      <c r="I983" s="72"/>
      <c r="J983" s="72"/>
      <c r="K983" s="72"/>
    </row>
    <row r="984" spans="1:11">
      <c r="A984" s="72"/>
      <c r="B984" s="72"/>
      <c r="C984" s="72"/>
      <c r="D984" s="72"/>
      <c r="E984" s="72"/>
      <c r="F984" s="72"/>
      <c r="G984" s="72"/>
      <c r="H984" s="72"/>
      <c r="I984" s="72"/>
      <c r="J984" s="72"/>
      <c r="K984" s="72"/>
    </row>
    <row r="985" spans="1:11">
      <c r="A985" s="72"/>
      <c r="B985" s="72"/>
      <c r="C985" s="72"/>
      <c r="D985" s="72"/>
      <c r="E985" s="72"/>
      <c r="F985" s="72"/>
      <c r="G985" s="72"/>
      <c r="H985" s="72"/>
      <c r="I985" s="72"/>
      <c r="J985" s="72"/>
      <c r="K985" s="72"/>
    </row>
    <row r="986" spans="1:11">
      <c r="A986" s="72"/>
      <c r="B986" s="72"/>
      <c r="C986" s="72"/>
      <c r="D986" s="72"/>
      <c r="E986" s="72"/>
      <c r="F986" s="72"/>
      <c r="G986" s="72"/>
      <c r="H986" s="72"/>
      <c r="I986" s="72"/>
      <c r="J986" s="72"/>
      <c r="K986" s="72"/>
    </row>
    <row r="987" spans="1:11">
      <c r="A987" s="72"/>
      <c r="B987" s="72"/>
      <c r="C987" s="72"/>
      <c r="D987" s="72"/>
      <c r="E987" s="72"/>
      <c r="F987" s="72"/>
      <c r="G987" s="72"/>
      <c r="H987" s="72"/>
      <c r="I987" s="72"/>
      <c r="J987" s="72"/>
      <c r="K987" s="72"/>
    </row>
    <row r="988" spans="1:11">
      <c r="A988" s="72"/>
      <c r="B988" s="72"/>
      <c r="C988" s="72"/>
      <c r="D988" s="72"/>
      <c r="E988" s="72"/>
      <c r="F988" s="72"/>
      <c r="G988" s="72"/>
      <c r="H988" s="72"/>
      <c r="I988" s="72"/>
      <c r="J988" s="72"/>
      <c r="K988" s="72"/>
    </row>
    <row r="989" spans="1:11">
      <c r="A989" s="72"/>
      <c r="B989" s="72"/>
      <c r="C989" s="72"/>
      <c r="D989" s="72"/>
      <c r="E989" s="72"/>
      <c r="F989" s="72"/>
      <c r="G989" s="72"/>
      <c r="H989" s="72"/>
      <c r="I989" s="72"/>
      <c r="J989" s="72"/>
      <c r="K989" s="72"/>
    </row>
    <row r="990" spans="1:11">
      <c r="A990" s="72"/>
      <c r="B990" s="72"/>
      <c r="C990" s="72"/>
      <c r="D990" s="72"/>
      <c r="E990" s="72"/>
      <c r="F990" s="72"/>
      <c r="G990" s="72"/>
      <c r="H990" s="72"/>
      <c r="I990" s="72"/>
      <c r="J990" s="72"/>
      <c r="K990" s="72"/>
    </row>
    <row r="991" spans="1:11">
      <c r="A991" s="72"/>
      <c r="B991" s="72"/>
      <c r="C991" s="72"/>
      <c r="D991" s="72"/>
      <c r="E991" s="72"/>
      <c r="F991" s="72"/>
      <c r="G991" s="72"/>
      <c r="H991" s="72"/>
      <c r="I991" s="72"/>
      <c r="J991" s="72"/>
      <c r="K991" s="72"/>
    </row>
    <row r="992" spans="1:11">
      <c r="A992" s="72"/>
      <c r="B992" s="72"/>
      <c r="C992" s="72"/>
      <c r="D992" s="72"/>
      <c r="E992" s="72"/>
      <c r="F992" s="72"/>
      <c r="G992" s="72"/>
      <c r="H992" s="72"/>
      <c r="I992" s="72"/>
      <c r="J992" s="72"/>
      <c r="K992" s="72"/>
    </row>
    <row r="993" spans="1:11">
      <c r="A993" s="72"/>
      <c r="B993" s="72"/>
      <c r="C993" s="72"/>
      <c r="D993" s="72"/>
      <c r="E993" s="72"/>
      <c r="F993" s="72"/>
      <c r="G993" s="72"/>
      <c r="H993" s="72"/>
      <c r="I993" s="72"/>
      <c r="J993" s="72"/>
      <c r="K993" s="72"/>
    </row>
    <row r="994" spans="1:11">
      <c r="A994" s="72"/>
      <c r="B994" s="72"/>
      <c r="C994" s="72"/>
      <c r="D994" s="72"/>
      <c r="E994" s="72"/>
      <c r="F994" s="72"/>
      <c r="G994" s="72"/>
      <c r="H994" s="72"/>
      <c r="I994" s="72"/>
      <c r="J994" s="72"/>
      <c r="K994" s="72"/>
    </row>
    <row r="995" spans="1:11">
      <c r="A995" s="72"/>
      <c r="B995" s="72"/>
      <c r="C995" s="72"/>
      <c r="D995" s="72"/>
      <c r="E995" s="72"/>
      <c r="F995" s="72"/>
      <c r="G995" s="72"/>
      <c r="H995" s="72"/>
      <c r="I995" s="72"/>
      <c r="J995" s="72"/>
      <c r="K995" s="72"/>
    </row>
    <row r="996" spans="1:11">
      <c r="A996" s="72"/>
      <c r="B996" s="72"/>
      <c r="C996" s="72"/>
      <c r="D996" s="72"/>
      <c r="E996" s="72"/>
      <c r="F996" s="72"/>
      <c r="G996" s="72"/>
      <c r="H996" s="72"/>
      <c r="I996" s="72"/>
      <c r="J996" s="72"/>
      <c r="K996" s="72"/>
    </row>
    <row r="997" spans="1:11">
      <c r="A997" s="72"/>
      <c r="B997" s="72"/>
      <c r="C997" s="72"/>
      <c r="D997" s="72"/>
      <c r="E997" s="72"/>
      <c r="F997" s="72"/>
      <c r="G997" s="72"/>
      <c r="H997" s="72"/>
      <c r="I997" s="72"/>
      <c r="J997" s="72"/>
      <c r="K997" s="72"/>
    </row>
    <row r="998" spans="1:11">
      <c r="A998" s="72"/>
      <c r="B998" s="72"/>
      <c r="C998" s="72"/>
      <c r="D998" s="72"/>
      <c r="E998" s="72"/>
      <c r="F998" s="72"/>
      <c r="G998" s="72"/>
      <c r="H998" s="72"/>
      <c r="I998" s="72"/>
      <c r="J998" s="72"/>
      <c r="K998" s="72"/>
    </row>
    <row r="999" spans="1:11">
      <c r="A999" s="72"/>
      <c r="B999" s="72"/>
      <c r="C999" s="72"/>
      <c r="D999" s="72"/>
      <c r="E999" s="72"/>
      <c r="F999" s="72"/>
      <c r="G999" s="72"/>
      <c r="H999" s="72"/>
      <c r="I999" s="72"/>
      <c r="J999" s="72"/>
      <c r="K999" s="72"/>
    </row>
    <row r="1000" spans="1:11">
      <c r="A1000" s="72"/>
      <c r="B1000" s="72"/>
      <c r="C1000" s="72"/>
      <c r="D1000" s="72"/>
      <c r="E1000" s="72"/>
      <c r="F1000" s="72"/>
      <c r="G1000" s="72"/>
      <c r="H1000" s="72"/>
      <c r="I1000" s="72"/>
      <c r="J1000" s="72"/>
      <c r="K1000" s="72"/>
    </row>
    <row r="1001" spans="1:11">
      <c r="A1001" s="72"/>
      <c r="B1001" s="72"/>
      <c r="C1001" s="72"/>
      <c r="D1001" s="72"/>
      <c r="E1001" s="72"/>
      <c r="F1001" s="72"/>
      <c r="G1001" s="72"/>
      <c r="H1001" s="72"/>
      <c r="I1001" s="72"/>
      <c r="J1001" s="72"/>
      <c r="K1001" s="72"/>
    </row>
    <row r="1002" spans="1:11">
      <c r="A1002" s="72"/>
      <c r="B1002" s="72"/>
      <c r="C1002" s="72"/>
      <c r="D1002" s="72"/>
      <c r="E1002" s="72"/>
      <c r="F1002" s="72"/>
      <c r="G1002" s="72"/>
      <c r="H1002" s="72"/>
      <c r="I1002" s="72"/>
      <c r="J1002" s="72"/>
      <c r="K1002" s="72"/>
    </row>
    <row r="1003" spans="1:11">
      <c r="A1003" s="72"/>
      <c r="B1003" s="72"/>
      <c r="C1003" s="72"/>
      <c r="D1003" s="72"/>
      <c r="E1003" s="72"/>
      <c r="F1003" s="72"/>
      <c r="G1003" s="72"/>
      <c r="H1003" s="72"/>
      <c r="I1003" s="72"/>
      <c r="J1003" s="72"/>
      <c r="K1003" s="72"/>
    </row>
    <row r="1004" spans="1:11">
      <c r="A1004" s="72"/>
      <c r="B1004" s="72"/>
      <c r="C1004" s="72"/>
      <c r="D1004" s="72"/>
      <c r="E1004" s="72"/>
      <c r="F1004" s="72"/>
      <c r="G1004" s="72"/>
      <c r="H1004" s="72"/>
      <c r="I1004" s="72"/>
      <c r="J1004" s="72"/>
      <c r="K1004" s="72"/>
    </row>
    <row r="1005" spans="1:11">
      <c r="A1005" s="72"/>
      <c r="B1005" s="72"/>
      <c r="C1005" s="72"/>
      <c r="D1005" s="72"/>
      <c r="E1005" s="72"/>
      <c r="F1005" s="72"/>
      <c r="G1005" s="72"/>
      <c r="H1005" s="72"/>
      <c r="I1005" s="72"/>
      <c r="J1005" s="72"/>
      <c r="K1005" s="72"/>
    </row>
    <row r="1006" spans="1:11">
      <c r="A1006" s="72"/>
      <c r="B1006" s="72"/>
      <c r="C1006" s="72"/>
      <c r="D1006" s="72"/>
      <c r="E1006" s="72"/>
      <c r="F1006" s="72"/>
      <c r="G1006" s="72"/>
      <c r="H1006" s="72"/>
      <c r="I1006" s="72"/>
      <c r="J1006" s="72"/>
      <c r="K1006" s="72"/>
    </row>
    <row r="1007" spans="1:11">
      <c r="A1007" s="72"/>
      <c r="B1007" s="72"/>
      <c r="C1007" s="72"/>
      <c r="D1007" s="72"/>
      <c r="E1007" s="72"/>
      <c r="F1007" s="72"/>
      <c r="G1007" s="72"/>
      <c r="H1007" s="72"/>
      <c r="I1007" s="72"/>
      <c r="J1007" s="72"/>
      <c r="K1007" s="72"/>
    </row>
    <row r="1008" spans="1:11">
      <c r="A1008" s="72"/>
      <c r="B1008" s="72"/>
      <c r="C1008" s="72"/>
      <c r="D1008" s="72"/>
      <c r="E1008" s="72"/>
      <c r="F1008" s="72"/>
      <c r="G1008" s="72"/>
      <c r="H1008" s="72"/>
      <c r="I1008" s="72"/>
      <c r="J1008" s="72"/>
      <c r="K1008" s="72"/>
    </row>
    <row r="1009" spans="1:11">
      <c r="A1009" s="72"/>
      <c r="B1009" s="72"/>
      <c r="C1009" s="72"/>
      <c r="D1009" s="72"/>
      <c r="E1009" s="72"/>
      <c r="F1009" s="72"/>
      <c r="G1009" s="72"/>
      <c r="H1009" s="72"/>
      <c r="I1009" s="72"/>
      <c r="J1009" s="72"/>
      <c r="K1009" s="72"/>
    </row>
    <row r="1010" spans="1:11">
      <c r="A1010" s="72"/>
      <c r="B1010" s="72"/>
      <c r="C1010" s="72"/>
      <c r="D1010" s="72"/>
      <c r="E1010" s="72"/>
      <c r="F1010" s="72"/>
      <c r="G1010" s="72"/>
      <c r="H1010" s="72"/>
      <c r="I1010" s="72"/>
      <c r="J1010" s="72"/>
      <c r="K1010" s="72"/>
    </row>
    <row r="1011" spans="1:11">
      <c r="A1011" s="72"/>
      <c r="B1011" s="72"/>
      <c r="C1011" s="72"/>
      <c r="D1011" s="72"/>
      <c r="E1011" s="72"/>
      <c r="F1011" s="72"/>
      <c r="G1011" s="72"/>
      <c r="H1011" s="72"/>
      <c r="I1011" s="72"/>
      <c r="J1011" s="72"/>
      <c r="K1011" s="72"/>
    </row>
    <row r="1012" spans="1:11">
      <c r="A1012" s="72"/>
      <c r="B1012" s="72"/>
      <c r="C1012" s="72"/>
      <c r="D1012" s="72"/>
      <c r="E1012" s="72"/>
      <c r="F1012" s="72"/>
      <c r="G1012" s="72"/>
      <c r="H1012" s="72"/>
      <c r="I1012" s="72"/>
      <c r="J1012" s="72"/>
      <c r="K1012" s="72"/>
    </row>
    <row r="1013" spans="1:11">
      <c r="A1013" s="72"/>
      <c r="B1013" s="72"/>
      <c r="C1013" s="72"/>
      <c r="D1013" s="72"/>
      <c r="E1013" s="72"/>
      <c r="F1013" s="72"/>
      <c r="G1013" s="72"/>
      <c r="H1013" s="72"/>
      <c r="I1013" s="72"/>
      <c r="J1013" s="72"/>
      <c r="K1013" s="72"/>
    </row>
    <row r="1014" spans="1:11">
      <c r="A1014" s="72"/>
      <c r="B1014" s="72"/>
      <c r="C1014" s="72"/>
      <c r="D1014" s="72"/>
      <c r="E1014" s="72"/>
      <c r="F1014" s="72"/>
      <c r="G1014" s="72"/>
      <c r="H1014" s="72"/>
      <c r="I1014" s="72"/>
      <c r="J1014" s="72"/>
      <c r="K1014" s="72"/>
    </row>
    <row r="1015" spans="1:11">
      <c r="A1015" s="72"/>
      <c r="B1015" s="72"/>
      <c r="C1015" s="72"/>
      <c r="D1015" s="72"/>
      <c r="E1015" s="72"/>
      <c r="F1015" s="72"/>
      <c r="G1015" s="72"/>
      <c r="H1015" s="72"/>
      <c r="I1015" s="72"/>
      <c r="J1015" s="72"/>
      <c r="K1015" s="72"/>
    </row>
    <row r="1016" spans="1:11">
      <c r="A1016" s="72"/>
      <c r="B1016" s="72"/>
      <c r="C1016" s="72"/>
      <c r="D1016" s="72"/>
      <c r="E1016" s="72"/>
      <c r="F1016" s="72"/>
      <c r="G1016" s="72"/>
      <c r="H1016" s="72"/>
      <c r="I1016" s="72"/>
      <c r="J1016" s="72"/>
      <c r="K1016" s="72"/>
    </row>
    <row r="1017" spans="1:11">
      <c r="A1017" s="72"/>
      <c r="B1017" s="72"/>
      <c r="C1017" s="72"/>
      <c r="D1017" s="72"/>
      <c r="E1017" s="72"/>
      <c r="F1017" s="72"/>
      <c r="G1017" s="72"/>
      <c r="H1017" s="72"/>
      <c r="I1017" s="72"/>
      <c r="J1017" s="72"/>
      <c r="K1017" s="72"/>
    </row>
    <row r="1018" spans="1:11">
      <c r="A1018" s="72"/>
      <c r="B1018" s="72"/>
      <c r="C1018" s="72"/>
      <c r="D1018" s="72"/>
      <c r="E1018" s="72"/>
      <c r="F1018" s="72"/>
      <c r="G1018" s="72"/>
      <c r="H1018" s="72"/>
      <c r="I1018" s="72"/>
      <c r="J1018" s="72"/>
      <c r="K1018" s="72"/>
    </row>
    <row r="1019" spans="1:11">
      <c r="A1019" s="72"/>
      <c r="B1019" s="72"/>
      <c r="C1019" s="72"/>
      <c r="D1019" s="72"/>
      <c r="E1019" s="72"/>
      <c r="F1019" s="72"/>
      <c r="G1019" s="72"/>
      <c r="H1019" s="72"/>
      <c r="I1019" s="72"/>
      <c r="J1019" s="72"/>
      <c r="K1019" s="72"/>
    </row>
    <row r="1020" spans="1:11">
      <c r="A1020" s="72"/>
      <c r="B1020" s="72"/>
      <c r="C1020" s="72"/>
      <c r="D1020" s="72"/>
      <c r="E1020" s="72"/>
      <c r="F1020" s="72"/>
      <c r="G1020" s="72"/>
      <c r="H1020" s="72"/>
      <c r="I1020" s="72"/>
      <c r="J1020" s="72"/>
      <c r="K1020" s="72"/>
    </row>
    <row r="1021" spans="1:11">
      <c r="A1021" s="72"/>
      <c r="B1021" s="72"/>
      <c r="C1021" s="72"/>
      <c r="D1021" s="72"/>
      <c r="E1021" s="72"/>
      <c r="F1021" s="72"/>
      <c r="G1021" s="72"/>
      <c r="H1021" s="72"/>
      <c r="I1021" s="72"/>
      <c r="J1021" s="72"/>
      <c r="K1021" s="72"/>
    </row>
    <row r="1022" spans="1:11">
      <c r="A1022" s="72"/>
      <c r="B1022" s="72"/>
      <c r="C1022" s="72"/>
      <c r="D1022" s="72"/>
      <c r="E1022" s="72"/>
      <c r="F1022" s="72"/>
      <c r="G1022" s="72"/>
      <c r="H1022" s="72"/>
      <c r="I1022" s="72"/>
      <c r="J1022" s="72"/>
      <c r="K1022" s="72"/>
    </row>
    <row r="1023" spans="1:11">
      <c r="A1023" s="72"/>
      <c r="B1023" s="72"/>
      <c r="C1023" s="72"/>
      <c r="D1023" s="72"/>
      <c r="E1023" s="72"/>
      <c r="F1023" s="72"/>
      <c r="G1023" s="72"/>
      <c r="H1023" s="72"/>
      <c r="I1023" s="72"/>
      <c r="J1023" s="72"/>
      <c r="K1023" s="72"/>
    </row>
    <row r="1024" spans="1:11">
      <c r="A1024" s="72"/>
      <c r="B1024" s="72"/>
      <c r="C1024" s="72"/>
      <c r="D1024" s="72"/>
      <c r="E1024" s="72"/>
      <c r="F1024" s="72"/>
      <c r="G1024" s="72"/>
      <c r="H1024" s="72"/>
      <c r="I1024" s="72"/>
      <c r="J1024" s="72"/>
      <c r="K1024" s="72"/>
    </row>
    <row r="1025" spans="1:11">
      <c r="A1025" s="72"/>
      <c r="B1025" s="72"/>
      <c r="C1025" s="72"/>
      <c r="D1025" s="72"/>
      <c r="E1025" s="72"/>
      <c r="F1025" s="72"/>
      <c r="G1025" s="72"/>
      <c r="H1025" s="72"/>
      <c r="I1025" s="72"/>
      <c r="J1025" s="72"/>
      <c r="K1025" s="72"/>
    </row>
    <row r="1026" spans="1:11">
      <c r="A1026" s="72"/>
      <c r="B1026" s="72"/>
      <c r="C1026" s="72"/>
      <c r="D1026" s="72"/>
      <c r="E1026" s="72"/>
      <c r="F1026" s="72"/>
      <c r="G1026" s="72"/>
      <c r="H1026" s="72"/>
      <c r="I1026" s="72"/>
      <c r="J1026" s="72"/>
      <c r="K1026" s="72"/>
    </row>
    <row r="1027" spans="1:11">
      <c r="A1027" s="72"/>
      <c r="B1027" s="72"/>
      <c r="C1027" s="72"/>
      <c r="D1027" s="72"/>
      <c r="E1027" s="72"/>
      <c r="F1027" s="72"/>
      <c r="G1027" s="72"/>
      <c r="H1027" s="72"/>
      <c r="I1027" s="72"/>
      <c r="J1027" s="72"/>
      <c r="K1027" s="72"/>
    </row>
    <row r="1028" spans="1:11">
      <c r="A1028" s="72"/>
      <c r="B1028" s="72"/>
      <c r="C1028" s="72"/>
      <c r="D1028" s="72"/>
      <c r="E1028" s="72"/>
      <c r="F1028" s="72"/>
      <c r="G1028" s="72"/>
      <c r="H1028" s="72"/>
      <c r="I1028" s="72"/>
      <c r="J1028" s="72"/>
      <c r="K1028" s="72"/>
    </row>
    <row r="1029" spans="1:11">
      <c r="A1029" s="72"/>
      <c r="B1029" s="72"/>
      <c r="C1029" s="72"/>
      <c r="D1029" s="72"/>
      <c r="E1029" s="72"/>
      <c r="F1029" s="72"/>
      <c r="G1029" s="72"/>
      <c r="H1029" s="72"/>
      <c r="I1029" s="72"/>
      <c r="J1029" s="72"/>
      <c r="K1029" s="72"/>
    </row>
    <row r="1030" spans="1:11">
      <c r="A1030" s="72"/>
      <c r="B1030" s="72"/>
      <c r="C1030" s="72"/>
      <c r="D1030" s="72"/>
      <c r="E1030" s="72"/>
      <c r="F1030" s="72"/>
      <c r="G1030" s="72"/>
      <c r="H1030" s="72"/>
      <c r="I1030" s="72"/>
      <c r="J1030" s="72"/>
      <c r="K1030" s="72"/>
    </row>
    <row r="1031" spans="1:11">
      <c r="A1031" s="72"/>
      <c r="B1031" s="72"/>
      <c r="C1031" s="72"/>
      <c r="D1031" s="72"/>
      <c r="E1031" s="72"/>
      <c r="F1031" s="72"/>
      <c r="G1031" s="72"/>
      <c r="H1031" s="72"/>
      <c r="I1031" s="72"/>
      <c r="J1031" s="72"/>
      <c r="K1031" s="72"/>
    </row>
    <row r="1032" spans="1:11">
      <c r="A1032" s="72"/>
      <c r="B1032" s="72"/>
      <c r="C1032" s="72"/>
      <c r="D1032" s="72"/>
      <c r="E1032" s="72"/>
      <c r="F1032" s="72"/>
      <c r="G1032" s="72"/>
      <c r="H1032" s="72"/>
      <c r="I1032" s="72"/>
      <c r="J1032" s="72"/>
      <c r="K1032" s="72"/>
    </row>
    <row r="1033" spans="1:11">
      <c r="A1033" s="72"/>
      <c r="B1033" s="72"/>
      <c r="C1033" s="72"/>
      <c r="D1033" s="72"/>
      <c r="E1033" s="72"/>
      <c r="F1033" s="72"/>
      <c r="G1033" s="72"/>
      <c r="H1033" s="72"/>
      <c r="I1033" s="72"/>
      <c r="J1033" s="72"/>
      <c r="K1033" s="72"/>
    </row>
    <row r="1034" spans="1:11">
      <c r="A1034" s="72"/>
      <c r="B1034" s="72"/>
      <c r="C1034" s="72"/>
      <c r="D1034" s="72"/>
      <c r="E1034" s="72"/>
      <c r="F1034" s="72"/>
      <c r="G1034" s="72"/>
      <c r="H1034" s="72"/>
      <c r="I1034" s="72"/>
      <c r="J1034" s="72"/>
      <c r="K1034" s="72"/>
    </row>
    <row r="1035" spans="1:11">
      <c r="A1035" s="72"/>
      <c r="B1035" s="72"/>
      <c r="C1035" s="72"/>
      <c r="D1035" s="72"/>
      <c r="E1035" s="72"/>
      <c r="F1035" s="72"/>
      <c r="G1035" s="72"/>
      <c r="H1035" s="72"/>
      <c r="I1035" s="72"/>
      <c r="J1035" s="72"/>
      <c r="K1035" s="72"/>
    </row>
    <row r="1036" spans="1:11">
      <c r="A1036" s="72"/>
      <c r="B1036" s="72"/>
      <c r="C1036" s="72"/>
      <c r="D1036" s="72"/>
      <c r="E1036" s="72"/>
      <c r="F1036" s="72"/>
      <c r="G1036" s="72"/>
      <c r="H1036" s="72"/>
      <c r="I1036" s="72"/>
      <c r="J1036" s="72"/>
      <c r="K1036" s="72"/>
    </row>
    <row r="1037" spans="1:11">
      <c r="A1037" s="72"/>
      <c r="B1037" s="72"/>
      <c r="C1037" s="72"/>
      <c r="D1037" s="72"/>
      <c r="E1037" s="72"/>
      <c r="F1037" s="72"/>
      <c r="G1037" s="72"/>
      <c r="H1037" s="72"/>
      <c r="I1037" s="72"/>
      <c r="J1037" s="72"/>
      <c r="K1037" s="72"/>
    </row>
    <row r="1038" spans="1:11">
      <c r="A1038" s="72"/>
      <c r="B1038" s="72"/>
      <c r="C1038" s="72"/>
      <c r="D1038" s="72"/>
      <c r="E1038" s="72"/>
      <c r="F1038" s="72"/>
      <c r="G1038" s="72"/>
      <c r="H1038" s="72"/>
      <c r="I1038" s="72"/>
      <c r="J1038" s="72"/>
      <c r="K1038" s="72"/>
    </row>
    <row r="1039" spans="1:11">
      <c r="A1039" s="72"/>
      <c r="B1039" s="72"/>
      <c r="C1039" s="72"/>
      <c r="D1039" s="72"/>
      <c r="E1039" s="72"/>
      <c r="F1039" s="72"/>
      <c r="G1039" s="72"/>
      <c r="H1039" s="72"/>
      <c r="I1039" s="72"/>
      <c r="J1039" s="72"/>
      <c r="K1039" s="72"/>
    </row>
    <row r="1040" spans="1:11">
      <c r="A1040" s="72"/>
      <c r="B1040" s="72"/>
      <c r="C1040" s="72"/>
      <c r="D1040" s="72"/>
      <c r="E1040" s="72"/>
      <c r="F1040" s="72"/>
      <c r="G1040" s="72"/>
      <c r="H1040" s="72"/>
      <c r="I1040" s="72"/>
      <c r="J1040" s="72"/>
      <c r="K1040" s="72"/>
    </row>
    <row r="1041" spans="1:11">
      <c r="A1041" s="72"/>
      <c r="B1041" s="72"/>
      <c r="C1041" s="72"/>
      <c r="D1041" s="72"/>
      <c r="E1041" s="72"/>
      <c r="F1041" s="72"/>
      <c r="G1041" s="72"/>
      <c r="H1041" s="72"/>
      <c r="I1041" s="72"/>
      <c r="J1041" s="72"/>
      <c r="K1041" s="72"/>
    </row>
    <row r="1042" spans="1:11">
      <c r="A1042" s="72"/>
      <c r="B1042" s="72"/>
      <c r="C1042" s="72"/>
      <c r="D1042" s="72"/>
      <c r="E1042" s="72"/>
      <c r="F1042" s="72"/>
      <c r="G1042" s="72"/>
      <c r="H1042" s="72"/>
      <c r="I1042" s="72"/>
      <c r="J1042" s="72"/>
      <c r="K1042" s="72"/>
    </row>
    <row r="1043" spans="1:11">
      <c r="A1043" s="72"/>
      <c r="B1043" s="72"/>
      <c r="C1043" s="72"/>
      <c r="D1043" s="72"/>
      <c r="E1043" s="72"/>
      <c r="F1043" s="72"/>
      <c r="G1043" s="72"/>
      <c r="H1043" s="72"/>
      <c r="I1043" s="72"/>
      <c r="J1043" s="72"/>
      <c r="K1043" s="72"/>
    </row>
    <row r="1044" spans="1:11">
      <c r="A1044" s="72"/>
      <c r="B1044" s="72"/>
      <c r="C1044" s="72"/>
      <c r="D1044" s="72"/>
      <c r="E1044" s="72"/>
      <c r="F1044" s="72"/>
      <c r="G1044" s="72"/>
      <c r="H1044" s="72"/>
      <c r="I1044" s="72"/>
      <c r="J1044" s="72"/>
      <c r="K1044" s="72"/>
    </row>
    <row r="1045" spans="1:11">
      <c r="A1045" s="72"/>
      <c r="B1045" s="72"/>
      <c r="C1045" s="72"/>
      <c r="D1045" s="72"/>
      <c r="E1045" s="72"/>
      <c r="F1045" s="72"/>
      <c r="G1045" s="72"/>
      <c r="H1045" s="72"/>
      <c r="I1045" s="72"/>
      <c r="J1045" s="72"/>
      <c r="K1045" s="72"/>
    </row>
    <row r="1046" spans="1:11">
      <c r="A1046" s="72"/>
      <c r="B1046" s="72"/>
      <c r="C1046" s="72"/>
      <c r="D1046" s="72"/>
      <c r="E1046" s="72"/>
      <c r="F1046" s="72"/>
      <c r="G1046" s="72"/>
      <c r="H1046" s="72"/>
      <c r="I1046" s="72"/>
      <c r="J1046" s="72"/>
      <c r="K1046" s="72"/>
    </row>
    <row r="1047" spans="1:11">
      <c r="A1047" s="72"/>
      <c r="B1047" s="72"/>
      <c r="C1047" s="72"/>
      <c r="D1047" s="72"/>
      <c r="E1047" s="72"/>
      <c r="F1047" s="72"/>
      <c r="G1047" s="72"/>
      <c r="H1047" s="72"/>
      <c r="I1047" s="72"/>
      <c r="J1047" s="72"/>
      <c r="K1047" s="72"/>
    </row>
    <row r="1048" spans="1:11">
      <c r="A1048" s="72"/>
      <c r="B1048" s="72"/>
      <c r="C1048" s="72"/>
      <c r="D1048" s="72"/>
      <c r="E1048" s="72"/>
      <c r="F1048" s="72"/>
      <c r="G1048" s="72"/>
      <c r="H1048" s="72"/>
      <c r="I1048" s="72"/>
      <c r="J1048" s="72"/>
      <c r="K1048" s="72"/>
    </row>
    <row r="1049" spans="1:11">
      <c r="A1049" s="72"/>
      <c r="B1049" s="72"/>
      <c r="C1049" s="72"/>
      <c r="D1049" s="72"/>
      <c r="E1049" s="72"/>
      <c r="F1049" s="72"/>
      <c r="G1049" s="72"/>
      <c r="H1049" s="72"/>
      <c r="I1049" s="72"/>
      <c r="J1049" s="72"/>
      <c r="K1049" s="72"/>
    </row>
    <row r="1050" spans="1:11">
      <c r="A1050" s="72"/>
      <c r="B1050" s="72"/>
      <c r="C1050" s="72"/>
      <c r="D1050" s="72"/>
      <c r="E1050" s="72"/>
      <c r="F1050" s="72"/>
      <c r="G1050" s="72"/>
      <c r="H1050" s="72"/>
      <c r="I1050" s="72"/>
      <c r="J1050" s="72"/>
      <c r="K1050" s="72"/>
    </row>
    <row r="1051" spans="1:11">
      <c r="A1051" s="72"/>
      <c r="B1051" s="72"/>
      <c r="C1051" s="72"/>
      <c r="D1051" s="72"/>
      <c r="E1051" s="72"/>
      <c r="F1051" s="72"/>
      <c r="G1051" s="72"/>
      <c r="H1051" s="72"/>
      <c r="I1051" s="72"/>
      <c r="J1051" s="72"/>
      <c r="K1051" s="72"/>
    </row>
    <row r="1052" spans="1:11">
      <c r="A1052" s="72"/>
      <c r="B1052" s="72"/>
      <c r="C1052" s="72"/>
      <c r="D1052" s="72"/>
      <c r="E1052" s="72"/>
      <c r="F1052" s="72"/>
      <c r="G1052" s="72"/>
      <c r="H1052" s="72"/>
      <c r="I1052" s="72"/>
      <c r="J1052" s="72"/>
      <c r="K1052" s="72"/>
    </row>
    <row r="1053" spans="1:11">
      <c r="A1053" s="72"/>
      <c r="B1053" s="72"/>
      <c r="C1053" s="72"/>
      <c r="D1053" s="72"/>
      <c r="E1053" s="72"/>
      <c r="F1053" s="72"/>
      <c r="G1053" s="72"/>
      <c r="H1053" s="72"/>
      <c r="I1053" s="72"/>
      <c r="J1053" s="72"/>
      <c r="K1053" s="72"/>
    </row>
    <row r="1054" spans="1:11">
      <c r="A1054" s="72"/>
      <c r="B1054" s="72"/>
      <c r="C1054" s="72"/>
      <c r="D1054" s="72"/>
      <c r="E1054" s="72"/>
      <c r="F1054" s="72"/>
      <c r="G1054" s="72"/>
      <c r="H1054" s="72"/>
      <c r="I1054" s="72"/>
      <c r="J1054" s="72"/>
      <c r="K1054" s="72"/>
    </row>
    <row r="1055" spans="1:11">
      <c r="A1055" s="72"/>
      <c r="B1055" s="72"/>
      <c r="C1055" s="72"/>
      <c r="D1055" s="72"/>
      <c r="E1055" s="72"/>
      <c r="F1055" s="72"/>
      <c r="G1055" s="72"/>
      <c r="H1055" s="72"/>
      <c r="I1055" s="72"/>
      <c r="J1055" s="72"/>
      <c r="K1055" s="72"/>
    </row>
    <row r="1056" spans="1:11">
      <c r="A1056" s="72"/>
      <c r="B1056" s="72"/>
      <c r="C1056" s="72"/>
      <c r="D1056" s="72"/>
      <c r="E1056" s="72"/>
      <c r="F1056" s="72"/>
      <c r="G1056" s="72"/>
      <c r="H1056" s="72"/>
      <c r="I1056" s="72"/>
      <c r="J1056" s="72"/>
      <c r="K1056" s="72"/>
    </row>
    <row r="1057" spans="1:11">
      <c r="A1057" s="72"/>
      <c r="B1057" s="72"/>
      <c r="C1057" s="72"/>
      <c r="D1057" s="72"/>
      <c r="E1057" s="72"/>
      <c r="F1057" s="72"/>
      <c r="G1057" s="72"/>
      <c r="H1057" s="72"/>
      <c r="I1057" s="72"/>
      <c r="J1057" s="72"/>
      <c r="K1057" s="72"/>
    </row>
    <row r="1058" spans="1:11">
      <c r="A1058" s="72"/>
      <c r="B1058" s="72"/>
      <c r="C1058" s="72"/>
      <c r="D1058" s="72"/>
      <c r="E1058" s="72"/>
      <c r="F1058" s="72"/>
      <c r="G1058" s="72"/>
      <c r="H1058" s="72"/>
      <c r="I1058" s="72"/>
      <c r="J1058" s="72"/>
      <c r="K1058" s="72"/>
    </row>
    <row r="1059" spans="1:11">
      <c r="A1059" s="72"/>
      <c r="B1059" s="72"/>
      <c r="C1059" s="72"/>
      <c r="D1059" s="72"/>
      <c r="E1059" s="72"/>
      <c r="F1059" s="72"/>
      <c r="G1059" s="72"/>
      <c r="H1059" s="72"/>
      <c r="I1059" s="72"/>
      <c r="J1059" s="72"/>
      <c r="K1059" s="72"/>
    </row>
    <row r="1060" spans="1:11">
      <c r="A1060" s="72"/>
      <c r="B1060" s="72"/>
      <c r="C1060" s="72"/>
      <c r="D1060" s="72"/>
      <c r="E1060" s="72"/>
      <c r="F1060" s="72"/>
      <c r="G1060" s="72"/>
      <c r="H1060" s="72"/>
      <c r="I1060" s="72"/>
      <c r="J1060" s="72"/>
      <c r="K1060" s="72"/>
    </row>
    <row r="1061" spans="1:11">
      <c r="A1061" s="72"/>
      <c r="B1061" s="72"/>
      <c r="C1061" s="72"/>
      <c r="D1061" s="72"/>
      <c r="E1061" s="72"/>
      <c r="F1061" s="72"/>
      <c r="G1061" s="72"/>
      <c r="H1061" s="72"/>
      <c r="I1061" s="72"/>
      <c r="J1061" s="72"/>
      <c r="K1061" s="72"/>
    </row>
    <row r="1062" spans="1:11">
      <c r="A1062" s="72"/>
      <c r="B1062" s="72"/>
      <c r="C1062" s="72"/>
      <c r="D1062" s="72"/>
      <c r="E1062" s="72"/>
      <c r="F1062" s="72"/>
      <c r="G1062" s="72"/>
      <c r="H1062" s="72"/>
      <c r="I1062" s="72"/>
      <c r="J1062" s="72"/>
      <c r="K1062" s="72"/>
    </row>
    <row r="1063" spans="1:11">
      <c r="A1063" s="72"/>
      <c r="B1063" s="72"/>
      <c r="C1063" s="72"/>
      <c r="D1063" s="72"/>
      <c r="E1063" s="72"/>
      <c r="F1063" s="72"/>
      <c r="G1063" s="72"/>
      <c r="H1063" s="72"/>
      <c r="I1063" s="72"/>
      <c r="J1063" s="72"/>
      <c r="K1063" s="72"/>
    </row>
    <row r="1064" spans="1:11">
      <c r="A1064" s="72"/>
      <c r="B1064" s="72"/>
      <c r="C1064" s="72"/>
      <c r="D1064" s="72"/>
      <c r="E1064" s="72"/>
      <c r="F1064" s="72"/>
      <c r="G1064" s="72"/>
      <c r="H1064" s="72"/>
      <c r="I1064" s="72"/>
      <c r="J1064" s="72"/>
      <c r="K1064" s="72"/>
    </row>
    <row r="1065" spans="1:11">
      <c r="A1065" s="72"/>
      <c r="B1065" s="72"/>
      <c r="C1065" s="72"/>
      <c r="D1065" s="72"/>
      <c r="E1065" s="72"/>
      <c r="F1065" s="72"/>
      <c r="G1065" s="72"/>
      <c r="H1065" s="72"/>
      <c r="I1065" s="72"/>
      <c r="J1065" s="72"/>
      <c r="K1065" s="72"/>
    </row>
    <row r="1066" spans="1:11">
      <c r="A1066" s="72"/>
      <c r="B1066" s="72"/>
      <c r="C1066" s="72"/>
      <c r="D1066" s="72"/>
      <c r="E1066" s="72"/>
      <c r="F1066" s="72"/>
      <c r="G1066" s="72"/>
      <c r="H1066" s="72"/>
      <c r="I1066" s="72"/>
      <c r="J1066" s="72"/>
      <c r="K1066" s="72"/>
    </row>
    <row r="1067" spans="1:11">
      <c r="A1067" s="72"/>
      <c r="B1067" s="72"/>
      <c r="C1067" s="72"/>
      <c r="D1067" s="72"/>
      <c r="E1067" s="72"/>
      <c r="F1067" s="72"/>
      <c r="G1067" s="72"/>
      <c r="H1067" s="72"/>
      <c r="I1067" s="72"/>
      <c r="J1067" s="72"/>
      <c r="K1067" s="72"/>
    </row>
    <row r="1068" spans="1:11">
      <c r="A1068" s="72"/>
      <c r="B1068" s="72"/>
      <c r="C1068" s="72"/>
      <c r="D1068" s="72"/>
      <c r="E1068" s="72"/>
      <c r="F1068" s="72"/>
      <c r="G1068" s="72"/>
      <c r="H1068" s="72"/>
      <c r="I1068" s="72"/>
      <c r="J1068" s="72"/>
      <c r="K1068" s="72"/>
    </row>
    <row r="1069" spans="1:11">
      <c r="A1069" s="72"/>
      <c r="B1069" s="72"/>
      <c r="C1069" s="72"/>
      <c r="D1069" s="72"/>
      <c r="E1069" s="72"/>
      <c r="F1069" s="72"/>
      <c r="G1069" s="72"/>
      <c r="H1069" s="72"/>
      <c r="I1069" s="72"/>
      <c r="J1069" s="72"/>
      <c r="K1069" s="72"/>
    </row>
    <row r="1070" spans="1:11">
      <c r="A1070" s="72"/>
      <c r="B1070" s="72"/>
      <c r="C1070" s="72"/>
      <c r="D1070" s="72"/>
      <c r="E1070" s="72"/>
      <c r="F1070" s="72"/>
      <c r="G1070" s="72"/>
      <c r="H1070" s="72"/>
      <c r="I1070" s="72"/>
      <c r="J1070" s="72"/>
      <c r="K1070" s="72"/>
    </row>
    <row r="1071" spans="1:11">
      <c r="A1071" s="72"/>
      <c r="B1071" s="72"/>
      <c r="C1071" s="72"/>
      <c r="D1071" s="72"/>
      <c r="E1071" s="72"/>
      <c r="F1071" s="72"/>
      <c r="G1071" s="72"/>
      <c r="H1071" s="72"/>
      <c r="I1071" s="72"/>
      <c r="J1071" s="72"/>
      <c r="K1071" s="72"/>
    </row>
    <row r="1072" spans="1:11">
      <c r="A1072" s="72"/>
      <c r="B1072" s="72"/>
      <c r="C1072" s="72"/>
      <c r="D1072" s="72"/>
      <c r="E1072" s="72"/>
      <c r="F1072" s="72"/>
      <c r="G1072" s="72"/>
      <c r="H1072" s="72"/>
      <c r="I1072" s="72"/>
      <c r="J1072" s="72"/>
      <c r="K1072" s="72"/>
    </row>
    <row r="1073" spans="1:11">
      <c r="A1073" s="72"/>
      <c r="B1073" s="72"/>
      <c r="C1073" s="72"/>
      <c r="D1073" s="72"/>
      <c r="E1073" s="72"/>
      <c r="F1073" s="72"/>
      <c r="G1073" s="72"/>
      <c r="H1073" s="72"/>
      <c r="I1073" s="72"/>
      <c r="J1073" s="72"/>
      <c r="K1073" s="72"/>
    </row>
    <row r="1074" spans="1:11">
      <c r="A1074" s="72"/>
      <c r="B1074" s="72"/>
      <c r="C1074" s="72"/>
      <c r="D1074" s="72"/>
      <c r="E1074" s="72"/>
      <c r="F1074" s="72"/>
      <c r="G1074" s="72"/>
      <c r="H1074" s="72"/>
      <c r="I1074" s="72"/>
      <c r="J1074" s="72"/>
      <c r="K1074" s="72"/>
    </row>
    <row r="1075" spans="1:11">
      <c r="A1075" s="72"/>
      <c r="B1075" s="72"/>
      <c r="C1075" s="72"/>
      <c r="D1075" s="72"/>
      <c r="E1075" s="72"/>
      <c r="F1075" s="72"/>
      <c r="G1075" s="72"/>
      <c r="H1075" s="72"/>
      <c r="I1075" s="72"/>
      <c r="J1075" s="72"/>
      <c r="K1075" s="72"/>
    </row>
    <row r="1076" spans="1:11">
      <c r="A1076" s="72"/>
      <c r="B1076" s="72"/>
      <c r="C1076" s="72"/>
      <c r="D1076" s="72"/>
      <c r="E1076" s="72"/>
      <c r="F1076" s="72"/>
      <c r="G1076" s="72"/>
      <c r="H1076" s="72"/>
      <c r="I1076" s="72"/>
      <c r="J1076" s="72"/>
      <c r="K1076" s="72"/>
    </row>
    <row r="1077" spans="1:11">
      <c r="A1077" s="72"/>
      <c r="B1077" s="72"/>
      <c r="C1077" s="72"/>
      <c r="D1077" s="72"/>
      <c r="E1077" s="72"/>
      <c r="F1077" s="72"/>
      <c r="G1077" s="72"/>
      <c r="H1077" s="72"/>
      <c r="I1077" s="72"/>
      <c r="J1077" s="72"/>
      <c r="K1077" s="72"/>
    </row>
    <row r="1078" spans="1:11">
      <c r="A1078" s="72"/>
      <c r="B1078" s="72"/>
      <c r="C1078" s="72"/>
      <c r="D1078" s="72"/>
      <c r="E1078" s="72"/>
      <c r="F1078" s="72"/>
      <c r="G1078" s="72"/>
      <c r="H1078" s="72"/>
      <c r="I1078" s="72"/>
      <c r="J1078" s="72"/>
      <c r="K1078" s="72"/>
    </row>
    <row r="1079" spans="1:11">
      <c r="A1079" s="72"/>
      <c r="B1079" s="72"/>
      <c r="C1079" s="72"/>
      <c r="D1079" s="72"/>
      <c r="E1079" s="72"/>
      <c r="F1079" s="72"/>
      <c r="G1079" s="72"/>
      <c r="H1079" s="72"/>
      <c r="I1079" s="72"/>
      <c r="J1079" s="72"/>
      <c r="K1079" s="72"/>
    </row>
    <row r="1080" spans="1:11">
      <c r="A1080" s="72"/>
      <c r="B1080" s="72"/>
      <c r="C1080" s="72"/>
      <c r="D1080" s="72"/>
      <c r="E1080" s="72"/>
      <c r="F1080" s="72"/>
      <c r="G1080" s="72"/>
      <c r="H1080" s="72"/>
      <c r="I1080" s="72"/>
      <c r="J1080" s="72"/>
      <c r="K1080" s="72"/>
    </row>
    <row r="1081" spans="1:11">
      <c r="A1081" s="72"/>
      <c r="B1081" s="72"/>
      <c r="C1081" s="72"/>
      <c r="D1081" s="72"/>
      <c r="E1081" s="72"/>
      <c r="F1081" s="72"/>
      <c r="G1081" s="72"/>
      <c r="H1081" s="72"/>
      <c r="I1081" s="72"/>
      <c r="J1081" s="72"/>
      <c r="K1081" s="72"/>
    </row>
    <row r="1082" spans="1:11">
      <c r="A1082" s="72"/>
      <c r="B1082" s="72"/>
      <c r="C1082" s="72"/>
      <c r="D1082" s="72"/>
      <c r="E1082" s="72"/>
      <c r="F1082" s="72"/>
      <c r="G1082" s="72"/>
      <c r="H1082" s="72"/>
      <c r="I1082" s="72"/>
      <c r="J1082" s="72"/>
      <c r="K1082" s="72"/>
    </row>
    <row r="1083" spans="1:11">
      <c r="A1083" s="72"/>
      <c r="B1083" s="72"/>
      <c r="C1083" s="72"/>
      <c r="D1083" s="72"/>
      <c r="E1083" s="72"/>
      <c r="F1083" s="72"/>
      <c r="G1083" s="72"/>
      <c r="H1083" s="72"/>
      <c r="I1083" s="72"/>
      <c r="J1083" s="72"/>
      <c r="K1083" s="72"/>
    </row>
    <row r="1084" spans="1:11">
      <c r="A1084" s="72"/>
      <c r="B1084" s="72"/>
      <c r="C1084" s="72"/>
      <c r="D1084" s="72"/>
      <c r="E1084" s="72"/>
      <c r="F1084" s="72"/>
      <c r="G1084" s="72"/>
      <c r="H1084" s="72"/>
      <c r="I1084" s="72"/>
      <c r="J1084" s="72"/>
      <c r="K1084" s="72"/>
    </row>
    <row r="1085" spans="1:11">
      <c r="A1085" s="72"/>
      <c r="B1085" s="72"/>
      <c r="C1085" s="72"/>
      <c r="D1085" s="72"/>
      <c r="E1085" s="72"/>
      <c r="F1085" s="72"/>
      <c r="G1085" s="72"/>
      <c r="H1085" s="72"/>
      <c r="I1085" s="72"/>
      <c r="J1085" s="72"/>
      <c r="K1085" s="72"/>
    </row>
    <row r="1086" spans="1:11">
      <c r="A1086" s="72"/>
      <c r="B1086" s="72"/>
      <c r="C1086" s="72"/>
      <c r="D1086" s="72"/>
      <c r="E1086" s="72"/>
      <c r="F1086" s="72"/>
      <c r="G1086" s="72"/>
      <c r="H1086" s="72"/>
      <c r="I1086" s="72"/>
      <c r="J1086" s="72"/>
      <c r="K1086" s="72"/>
    </row>
    <row r="1087" spans="1:11">
      <c r="A1087" s="72"/>
      <c r="B1087" s="72"/>
      <c r="C1087" s="72"/>
      <c r="D1087" s="72"/>
      <c r="E1087" s="72"/>
      <c r="F1087" s="72"/>
      <c r="G1087" s="72"/>
      <c r="H1087" s="72"/>
      <c r="I1087" s="72"/>
      <c r="J1087" s="72"/>
      <c r="K1087" s="72"/>
    </row>
    <row r="1088" spans="1:11">
      <c r="A1088" s="72"/>
      <c r="B1088" s="72"/>
      <c r="C1088" s="72"/>
      <c r="D1088" s="72"/>
      <c r="E1088" s="72"/>
      <c r="F1088" s="72"/>
      <c r="G1088" s="72"/>
      <c r="H1088" s="72"/>
      <c r="I1088" s="72"/>
      <c r="J1088" s="72"/>
      <c r="K1088" s="72"/>
    </row>
    <row r="1089" spans="1:11">
      <c r="A1089" s="72"/>
      <c r="B1089" s="72"/>
      <c r="C1089" s="72"/>
      <c r="D1089" s="72"/>
      <c r="E1089" s="72"/>
      <c r="F1089" s="72"/>
      <c r="G1089" s="72"/>
      <c r="H1089" s="72"/>
      <c r="I1089" s="72"/>
      <c r="J1089" s="72"/>
      <c r="K1089" s="72"/>
    </row>
    <row r="1090" spans="1:11">
      <c r="A1090" s="72"/>
      <c r="B1090" s="72"/>
      <c r="C1090" s="72"/>
      <c r="D1090" s="72"/>
      <c r="E1090" s="72"/>
      <c r="F1090" s="72"/>
      <c r="G1090" s="72"/>
      <c r="H1090" s="72"/>
      <c r="I1090" s="72"/>
      <c r="J1090" s="72"/>
      <c r="K1090" s="72"/>
    </row>
    <row r="1091" spans="1:11">
      <c r="A1091" s="72"/>
      <c r="B1091" s="72"/>
      <c r="C1091" s="72"/>
      <c r="D1091" s="72"/>
      <c r="E1091" s="72"/>
      <c r="F1091" s="72"/>
      <c r="G1091" s="72"/>
      <c r="H1091" s="72"/>
      <c r="I1091" s="72"/>
      <c r="J1091" s="72"/>
      <c r="K1091" s="72"/>
    </row>
    <row r="1092" spans="1:11">
      <c r="A1092" s="72"/>
      <c r="B1092" s="72"/>
      <c r="C1092" s="72"/>
      <c r="D1092" s="72"/>
      <c r="E1092" s="72"/>
      <c r="F1092" s="72"/>
      <c r="G1092" s="72"/>
      <c r="H1092" s="72"/>
      <c r="I1092" s="72"/>
      <c r="J1092" s="72"/>
      <c r="K1092" s="72"/>
    </row>
    <row r="1093" spans="1:11">
      <c r="A1093" s="72"/>
      <c r="B1093" s="72"/>
      <c r="C1093" s="72"/>
      <c r="D1093" s="72"/>
      <c r="E1093" s="72"/>
      <c r="F1093" s="72"/>
      <c r="G1093" s="72"/>
      <c r="H1093" s="72"/>
      <c r="I1093" s="72"/>
      <c r="J1093" s="72"/>
      <c r="K1093" s="72"/>
    </row>
    <row r="1094" spans="1:11">
      <c r="A1094" s="72"/>
      <c r="B1094" s="72"/>
      <c r="C1094" s="72"/>
      <c r="D1094" s="72"/>
      <c r="E1094" s="72"/>
      <c r="F1094" s="72"/>
      <c r="G1094" s="72"/>
      <c r="H1094" s="72"/>
      <c r="I1094" s="72"/>
      <c r="J1094" s="72"/>
      <c r="K1094" s="72"/>
    </row>
    <row r="1095" spans="1:11">
      <c r="A1095" s="72"/>
      <c r="B1095" s="72"/>
      <c r="C1095" s="72"/>
      <c r="D1095" s="72"/>
      <c r="E1095" s="72"/>
      <c r="F1095" s="72"/>
      <c r="G1095" s="72"/>
      <c r="H1095" s="72"/>
      <c r="I1095" s="72"/>
      <c r="J1095" s="72"/>
      <c r="K1095" s="72"/>
    </row>
    <row r="1096" spans="1:11">
      <c r="A1096" s="72"/>
      <c r="B1096" s="72"/>
      <c r="C1096" s="72"/>
      <c r="D1096" s="72"/>
      <c r="E1096" s="72"/>
      <c r="F1096" s="72"/>
      <c r="G1096" s="72"/>
      <c r="H1096" s="72"/>
      <c r="I1096" s="72"/>
      <c r="J1096" s="72"/>
      <c r="K1096" s="72"/>
    </row>
    <row r="1097" spans="1:11">
      <c r="A1097" s="72"/>
      <c r="B1097" s="72"/>
      <c r="C1097" s="72"/>
      <c r="D1097" s="72"/>
      <c r="E1097" s="72"/>
      <c r="F1097" s="72"/>
      <c r="G1097" s="72"/>
      <c r="H1097" s="72"/>
      <c r="I1097" s="72"/>
      <c r="J1097" s="72"/>
      <c r="K1097" s="72"/>
    </row>
    <row r="1098" spans="1:11">
      <c r="A1098" s="72"/>
      <c r="B1098" s="72"/>
      <c r="C1098" s="72"/>
      <c r="D1098" s="72"/>
      <c r="E1098" s="72"/>
      <c r="F1098" s="72"/>
      <c r="G1098" s="72"/>
      <c r="H1098" s="72"/>
      <c r="I1098" s="72"/>
      <c r="J1098" s="72"/>
      <c r="K1098" s="72"/>
    </row>
    <row r="1099" spans="1:11">
      <c r="A1099" s="72"/>
      <c r="B1099" s="72"/>
      <c r="C1099" s="72"/>
      <c r="D1099" s="72"/>
      <c r="E1099" s="72"/>
      <c r="F1099" s="72"/>
      <c r="G1099" s="72"/>
      <c r="H1099" s="72"/>
      <c r="I1099" s="72"/>
      <c r="J1099" s="72"/>
      <c r="K1099" s="72"/>
    </row>
    <row r="1100" spans="1:11">
      <c r="A1100" s="72"/>
      <c r="B1100" s="72"/>
      <c r="C1100" s="72"/>
      <c r="D1100" s="72"/>
      <c r="E1100" s="72"/>
      <c r="F1100" s="72"/>
      <c r="G1100" s="72"/>
      <c r="H1100" s="72"/>
      <c r="I1100" s="72"/>
      <c r="J1100" s="72"/>
      <c r="K1100" s="72"/>
    </row>
    <row r="1101" spans="1:11">
      <c r="A1101" s="72"/>
      <c r="B1101" s="72"/>
      <c r="C1101" s="72"/>
      <c r="D1101" s="72"/>
      <c r="E1101" s="72"/>
      <c r="F1101" s="72"/>
      <c r="G1101" s="72"/>
      <c r="H1101" s="72"/>
      <c r="I1101" s="72"/>
      <c r="J1101" s="72"/>
      <c r="K1101" s="72"/>
    </row>
    <row r="1102" spans="1:11">
      <c r="A1102" s="72"/>
      <c r="B1102" s="72"/>
      <c r="C1102" s="72"/>
      <c r="D1102" s="72"/>
      <c r="E1102" s="72"/>
      <c r="F1102" s="72"/>
      <c r="G1102" s="72"/>
      <c r="H1102" s="72"/>
      <c r="I1102" s="72"/>
      <c r="J1102" s="72"/>
      <c r="K1102" s="72"/>
    </row>
    <row r="1103" spans="1:11">
      <c r="A1103" s="72"/>
      <c r="B1103" s="72"/>
      <c r="C1103" s="72"/>
      <c r="D1103" s="72"/>
      <c r="E1103" s="72"/>
      <c r="F1103" s="72"/>
      <c r="G1103" s="72"/>
      <c r="H1103" s="72"/>
      <c r="I1103" s="72"/>
      <c r="J1103" s="72"/>
      <c r="K1103" s="72"/>
    </row>
    <row r="1104" spans="1:11">
      <c r="A1104" s="72"/>
      <c r="B1104" s="72"/>
      <c r="C1104" s="72"/>
      <c r="D1104" s="72"/>
      <c r="E1104" s="72"/>
      <c r="F1104" s="72"/>
      <c r="G1104" s="72"/>
      <c r="H1104" s="72"/>
      <c r="I1104" s="72"/>
      <c r="J1104" s="72"/>
      <c r="K1104" s="72"/>
    </row>
    <row r="1105" spans="1:11">
      <c r="A1105" s="72"/>
      <c r="B1105" s="72"/>
      <c r="C1105" s="72"/>
      <c r="D1105" s="72"/>
      <c r="E1105" s="72"/>
      <c r="F1105" s="72"/>
      <c r="G1105" s="72"/>
      <c r="H1105" s="72"/>
      <c r="I1105" s="72"/>
      <c r="J1105" s="72"/>
      <c r="K1105" s="72"/>
    </row>
    <row r="1106" spans="1:11">
      <c r="A1106" s="72"/>
      <c r="B1106" s="72"/>
      <c r="C1106" s="72"/>
      <c r="D1106" s="72"/>
      <c r="E1106" s="72"/>
      <c r="F1106" s="72"/>
      <c r="G1106" s="72"/>
      <c r="H1106" s="72"/>
      <c r="I1106" s="72"/>
      <c r="J1106" s="72"/>
      <c r="K1106" s="72"/>
    </row>
    <row r="1107" spans="1:11">
      <c r="A1107" s="72"/>
      <c r="B1107" s="72"/>
      <c r="C1107" s="72"/>
      <c r="D1107" s="72"/>
      <c r="E1107" s="72"/>
      <c r="F1107" s="72"/>
      <c r="G1107" s="72"/>
      <c r="H1107" s="72"/>
      <c r="I1107" s="72"/>
      <c r="J1107" s="72"/>
      <c r="K1107" s="72"/>
    </row>
    <row r="1108" spans="1:11">
      <c r="A1108" s="72"/>
      <c r="B1108" s="72"/>
      <c r="C1108" s="72"/>
      <c r="D1108" s="72"/>
      <c r="E1108" s="72"/>
      <c r="F1108" s="72"/>
      <c r="G1108" s="72"/>
      <c r="H1108" s="72"/>
      <c r="I1108" s="72"/>
      <c r="J1108" s="72"/>
      <c r="K1108" s="72"/>
    </row>
    <row r="1109" spans="1:11">
      <c r="A1109" s="72"/>
      <c r="B1109" s="72"/>
      <c r="C1109" s="72"/>
      <c r="D1109" s="72"/>
      <c r="E1109" s="72"/>
      <c r="F1109" s="72"/>
      <c r="G1109" s="72"/>
      <c r="H1109" s="72"/>
      <c r="I1109" s="72"/>
      <c r="J1109" s="72"/>
      <c r="K1109" s="72"/>
    </row>
    <row r="1110" spans="1:11">
      <c r="A1110" s="72"/>
      <c r="B1110" s="72"/>
      <c r="C1110" s="72"/>
      <c r="D1110" s="72"/>
      <c r="E1110" s="72"/>
      <c r="F1110" s="72"/>
      <c r="G1110" s="72"/>
      <c r="H1110" s="72"/>
      <c r="I1110" s="72"/>
      <c r="J1110" s="72"/>
      <c r="K1110" s="72"/>
    </row>
    <row r="1111" spans="1:11">
      <c r="A1111" s="72"/>
      <c r="B1111" s="72"/>
      <c r="C1111" s="72"/>
      <c r="D1111" s="72"/>
      <c r="E1111" s="72"/>
      <c r="F1111" s="72"/>
      <c r="G1111" s="72"/>
      <c r="H1111" s="72"/>
      <c r="I1111" s="72"/>
      <c r="J1111" s="72"/>
      <c r="K1111" s="72"/>
    </row>
    <row r="1112" spans="1:11">
      <c r="A1112" s="72"/>
      <c r="B1112" s="72"/>
      <c r="C1112" s="72"/>
      <c r="D1112" s="72"/>
      <c r="E1112" s="72"/>
      <c r="F1112" s="72"/>
      <c r="G1112" s="72"/>
      <c r="H1112" s="72"/>
      <c r="I1112" s="72"/>
      <c r="J1112" s="72"/>
      <c r="K1112" s="72"/>
    </row>
    <row r="1113" spans="1:11">
      <c r="A1113" s="72"/>
      <c r="B1113" s="72"/>
      <c r="C1113" s="72"/>
      <c r="D1113" s="72"/>
      <c r="E1113" s="72"/>
      <c r="F1113" s="72"/>
      <c r="G1113" s="72"/>
      <c r="H1113" s="72"/>
      <c r="I1113" s="72"/>
      <c r="J1113" s="72"/>
      <c r="K1113" s="72"/>
    </row>
    <row r="1114" spans="1:11">
      <c r="A1114" s="72"/>
      <c r="B1114" s="72"/>
      <c r="C1114" s="72"/>
      <c r="D1114" s="72"/>
      <c r="E1114" s="72"/>
      <c r="F1114" s="72"/>
      <c r="G1114" s="72"/>
      <c r="H1114" s="72"/>
      <c r="I1114" s="72"/>
      <c r="J1114" s="72"/>
      <c r="K1114" s="72"/>
    </row>
    <row r="1115" spans="1:11">
      <c r="A1115" s="72"/>
      <c r="B1115" s="72"/>
      <c r="C1115" s="72"/>
      <c r="D1115" s="72"/>
      <c r="E1115" s="72"/>
      <c r="F1115" s="72"/>
      <c r="G1115" s="72"/>
      <c r="H1115" s="72"/>
      <c r="I1115" s="72"/>
      <c r="J1115" s="72"/>
      <c r="K1115" s="72"/>
    </row>
    <row r="1116" spans="1:11">
      <c r="A1116" s="72"/>
      <c r="B1116" s="72"/>
      <c r="C1116" s="72"/>
      <c r="D1116" s="72"/>
      <c r="E1116" s="72"/>
      <c r="F1116" s="72"/>
      <c r="G1116" s="72"/>
      <c r="H1116" s="72"/>
      <c r="I1116" s="72"/>
      <c r="J1116" s="72"/>
      <c r="K1116" s="72"/>
    </row>
    <row r="1117" spans="1:11">
      <c r="A1117" s="72"/>
      <c r="B1117" s="72"/>
      <c r="C1117" s="72"/>
      <c r="D1117" s="72"/>
      <c r="E1117" s="72"/>
      <c r="F1117" s="72"/>
      <c r="G1117" s="72"/>
      <c r="H1117" s="72"/>
      <c r="I1117" s="72"/>
      <c r="J1117" s="72"/>
      <c r="K1117" s="72"/>
    </row>
    <row r="1118" spans="1:11">
      <c r="A1118" s="72"/>
      <c r="B1118" s="72"/>
      <c r="C1118" s="72"/>
      <c r="D1118" s="72"/>
      <c r="E1118" s="72"/>
      <c r="F1118" s="72"/>
      <c r="G1118" s="72"/>
      <c r="H1118" s="72"/>
      <c r="I1118" s="72"/>
      <c r="J1118" s="72"/>
      <c r="K1118" s="72"/>
    </row>
    <row r="1119" spans="1:11">
      <c r="A1119" s="72"/>
      <c r="B1119" s="72"/>
      <c r="C1119" s="72"/>
      <c r="D1119" s="72"/>
      <c r="E1119" s="72"/>
      <c r="F1119" s="72"/>
      <c r="G1119" s="72"/>
      <c r="H1119" s="72"/>
      <c r="I1119" s="72"/>
      <c r="J1119" s="72"/>
      <c r="K1119" s="72"/>
    </row>
    <row r="1120" spans="1:11">
      <c r="A1120" s="72"/>
      <c r="B1120" s="72"/>
      <c r="C1120" s="72"/>
      <c r="D1120" s="72"/>
      <c r="E1120" s="72"/>
      <c r="F1120" s="72"/>
      <c r="G1120" s="72"/>
      <c r="H1120" s="72"/>
      <c r="I1120" s="72"/>
      <c r="J1120" s="72"/>
      <c r="K1120" s="72"/>
    </row>
    <row r="1121" spans="1:11">
      <c r="A1121" s="72"/>
      <c r="B1121" s="72"/>
      <c r="C1121" s="72"/>
      <c r="D1121" s="72"/>
      <c r="E1121" s="72"/>
      <c r="F1121" s="72"/>
      <c r="G1121" s="72"/>
      <c r="H1121" s="72"/>
      <c r="I1121" s="72"/>
      <c r="J1121" s="72"/>
      <c r="K1121" s="72"/>
    </row>
    <row r="1122" spans="1:11">
      <c r="A1122" s="72"/>
      <c r="B1122" s="72"/>
      <c r="C1122" s="72"/>
      <c r="D1122" s="72"/>
      <c r="E1122" s="72"/>
      <c r="F1122" s="72"/>
      <c r="G1122" s="72"/>
      <c r="H1122" s="72"/>
      <c r="I1122" s="72"/>
      <c r="J1122" s="72"/>
      <c r="K1122" s="72"/>
    </row>
    <row r="1123" spans="1:11">
      <c r="A1123" s="72"/>
      <c r="B1123" s="72"/>
      <c r="C1123" s="72"/>
      <c r="D1123" s="72"/>
      <c r="E1123" s="72"/>
      <c r="F1123" s="72"/>
      <c r="G1123" s="72"/>
      <c r="H1123" s="72"/>
      <c r="I1123" s="72"/>
      <c r="J1123" s="72"/>
      <c r="K1123" s="72"/>
    </row>
    <row r="1124" spans="1:11">
      <c r="A1124" s="72"/>
      <c r="B1124" s="72"/>
      <c r="C1124" s="72"/>
      <c r="D1124" s="72"/>
      <c r="E1124" s="72"/>
      <c r="F1124" s="72"/>
      <c r="G1124" s="72"/>
      <c r="H1124" s="72"/>
      <c r="I1124" s="72"/>
      <c r="J1124" s="72"/>
      <c r="K1124" s="72"/>
    </row>
    <row r="1125" spans="1:11">
      <c r="A1125" s="72"/>
      <c r="B1125" s="72"/>
      <c r="C1125" s="72"/>
      <c r="D1125" s="72"/>
      <c r="E1125" s="72"/>
      <c r="F1125" s="72"/>
      <c r="G1125" s="72"/>
      <c r="H1125" s="72"/>
      <c r="I1125" s="72"/>
      <c r="J1125" s="72"/>
      <c r="K1125" s="72"/>
    </row>
    <row r="1126" spans="1:11">
      <c r="A1126" s="72"/>
      <c r="B1126" s="72"/>
      <c r="C1126" s="72"/>
      <c r="D1126" s="72"/>
      <c r="E1126" s="72"/>
      <c r="F1126" s="72"/>
      <c r="G1126" s="72"/>
      <c r="H1126" s="72"/>
      <c r="I1126" s="72"/>
      <c r="J1126" s="72"/>
      <c r="K1126" s="72"/>
    </row>
    <row r="1127" spans="1:11">
      <c r="A1127" s="72"/>
      <c r="B1127" s="72"/>
      <c r="C1127" s="72"/>
      <c r="D1127" s="72"/>
      <c r="E1127" s="72"/>
      <c r="F1127" s="72"/>
      <c r="G1127" s="72"/>
      <c r="H1127" s="72"/>
      <c r="I1127" s="72"/>
      <c r="J1127" s="72"/>
      <c r="K1127" s="72"/>
    </row>
    <row r="1128" spans="1:11">
      <c r="A1128" s="72"/>
      <c r="B1128" s="72"/>
      <c r="C1128" s="72"/>
      <c r="D1128" s="72"/>
      <c r="E1128" s="72"/>
      <c r="F1128" s="72"/>
      <c r="G1128" s="72"/>
      <c r="H1128" s="72"/>
      <c r="I1128" s="72"/>
      <c r="J1128" s="72"/>
      <c r="K1128" s="72"/>
    </row>
    <row r="1129" spans="1:11">
      <c r="A1129" s="72"/>
      <c r="B1129" s="72"/>
      <c r="C1129" s="72"/>
      <c r="D1129" s="72"/>
      <c r="E1129" s="72"/>
      <c r="F1129" s="72"/>
      <c r="G1129" s="72"/>
      <c r="H1129" s="72"/>
      <c r="I1129" s="72"/>
      <c r="J1129" s="72"/>
      <c r="K1129" s="72"/>
    </row>
    <row r="1130" spans="1:11">
      <c r="A1130" s="72"/>
      <c r="B1130" s="72"/>
      <c r="C1130" s="72"/>
      <c r="D1130" s="72"/>
      <c r="E1130" s="72"/>
      <c r="F1130" s="72"/>
      <c r="G1130" s="72"/>
      <c r="H1130" s="72"/>
      <c r="I1130" s="72"/>
      <c r="J1130" s="72"/>
      <c r="K1130" s="72"/>
    </row>
    <row r="1131" spans="1:11">
      <c r="A1131" s="72"/>
      <c r="B1131" s="72"/>
      <c r="C1131" s="72"/>
      <c r="D1131" s="72"/>
      <c r="E1131" s="72"/>
      <c r="F1131" s="72"/>
      <c r="G1131" s="72"/>
      <c r="H1131" s="72"/>
      <c r="I1131" s="72"/>
      <c r="J1131" s="72"/>
      <c r="K1131" s="72"/>
    </row>
    <row r="1132" spans="1:11">
      <c r="A1132" s="72"/>
      <c r="B1132" s="72"/>
      <c r="C1132" s="72"/>
      <c r="D1132" s="72"/>
      <c r="E1132" s="72"/>
      <c r="F1132" s="72"/>
      <c r="G1132" s="72"/>
      <c r="H1132" s="72"/>
      <c r="I1132" s="72"/>
      <c r="J1132" s="72"/>
      <c r="K1132" s="72"/>
    </row>
    <row r="1133" spans="1:11">
      <c r="A1133" s="72"/>
      <c r="B1133" s="72"/>
      <c r="C1133" s="72"/>
      <c r="D1133" s="72"/>
      <c r="E1133" s="72"/>
      <c r="F1133" s="72"/>
      <c r="G1133" s="72"/>
      <c r="H1133" s="72"/>
      <c r="I1133" s="72"/>
      <c r="J1133" s="72"/>
      <c r="K1133" s="72"/>
    </row>
    <row r="1134" spans="1:11">
      <c r="A1134" s="72"/>
      <c r="B1134" s="72"/>
      <c r="C1134" s="72"/>
      <c r="D1134" s="72"/>
      <c r="E1134" s="72"/>
      <c r="F1134" s="72"/>
      <c r="G1134" s="72"/>
      <c r="H1134" s="72"/>
      <c r="I1134" s="72"/>
      <c r="J1134" s="72"/>
      <c r="K1134" s="72"/>
    </row>
    <row r="1135" spans="1:11">
      <c r="A1135" s="72"/>
      <c r="B1135" s="72"/>
      <c r="C1135" s="72"/>
      <c r="D1135" s="72"/>
      <c r="E1135" s="72"/>
      <c r="F1135" s="72"/>
      <c r="G1135" s="72"/>
      <c r="H1135" s="72"/>
      <c r="I1135" s="72"/>
      <c r="J1135" s="72"/>
      <c r="K1135" s="72"/>
    </row>
    <row r="1136" spans="1:11">
      <c r="A1136" s="72"/>
      <c r="B1136" s="72"/>
      <c r="C1136" s="72"/>
      <c r="D1136" s="72"/>
      <c r="E1136" s="72"/>
      <c r="F1136" s="72"/>
      <c r="G1136" s="72"/>
      <c r="H1136" s="72"/>
      <c r="I1136" s="72"/>
      <c r="J1136" s="72"/>
      <c r="K1136" s="72"/>
    </row>
    <row r="1137" spans="1:11">
      <c r="A1137" s="72"/>
      <c r="B1137" s="72"/>
      <c r="C1137" s="72"/>
      <c r="D1137" s="72"/>
      <c r="E1137" s="72"/>
      <c r="F1137" s="72"/>
      <c r="G1137" s="72"/>
      <c r="H1137" s="72"/>
      <c r="I1137" s="72"/>
      <c r="J1137" s="72"/>
      <c r="K1137" s="72"/>
    </row>
    <row r="1138" spans="1:11">
      <c r="A1138" s="72"/>
      <c r="B1138" s="72"/>
      <c r="C1138" s="72"/>
      <c r="D1138" s="72"/>
      <c r="E1138" s="72"/>
      <c r="F1138" s="72"/>
      <c r="G1138" s="72"/>
      <c r="H1138" s="72"/>
      <c r="I1138" s="72"/>
      <c r="J1138" s="72"/>
      <c r="K1138" s="72"/>
    </row>
    <row r="1139" spans="1:11">
      <c r="A1139" s="72"/>
      <c r="B1139" s="72"/>
      <c r="C1139" s="72"/>
      <c r="D1139" s="72"/>
      <c r="E1139" s="72"/>
      <c r="F1139" s="72"/>
      <c r="G1139" s="72"/>
      <c r="H1139" s="72"/>
      <c r="I1139" s="72"/>
      <c r="J1139" s="72"/>
      <c r="K1139" s="72"/>
    </row>
    <row r="1140" spans="1:11">
      <c r="A1140" s="72"/>
      <c r="B1140" s="72"/>
      <c r="C1140" s="72"/>
      <c r="D1140" s="72"/>
      <c r="E1140" s="72"/>
      <c r="F1140" s="72"/>
      <c r="G1140" s="72"/>
      <c r="H1140" s="72"/>
      <c r="I1140" s="72"/>
      <c r="J1140" s="72"/>
      <c r="K1140" s="72"/>
    </row>
    <row r="1141" spans="1:11">
      <c r="A1141" s="72"/>
      <c r="B1141" s="72"/>
      <c r="C1141" s="72"/>
      <c r="D1141" s="72"/>
      <c r="E1141" s="72"/>
      <c r="F1141" s="72"/>
      <c r="G1141" s="72"/>
      <c r="H1141" s="72"/>
      <c r="I1141" s="72"/>
      <c r="J1141" s="72"/>
      <c r="K1141" s="72"/>
    </row>
    <row r="1142" spans="1:11">
      <c r="A1142" s="72"/>
      <c r="B1142" s="72"/>
      <c r="C1142" s="72"/>
      <c r="D1142" s="72"/>
      <c r="E1142" s="72"/>
      <c r="F1142" s="72"/>
      <c r="G1142" s="72"/>
      <c r="H1142" s="72"/>
      <c r="I1142" s="72"/>
      <c r="J1142" s="72"/>
      <c r="K1142" s="72"/>
    </row>
    <row r="1143" spans="1:11">
      <c r="A1143" s="72"/>
      <c r="B1143" s="72"/>
      <c r="C1143" s="72"/>
      <c r="D1143" s="72"/>
      <c r="E1143" s="72"/>
      <c r="F1143" s="72"/>
      <c r="G1143" s="72"/>
      <c r="H1143" s="72"/>
      <c r="I1143" s="72"/>
      <c r="J1143" s="72"/>
      <c r="K1143" s="72"/>
    </row>
    <row r="1144" spans="1:11">
      <c r="A1144" s="72"/>
      <c r="B1144" s="72"/>
      <c r="C1144" s="72"/>
      <c r="D1144" s="72"/>
      <c r="E1144" s="72"/>
      <c r="F1144" s="72"/>
      <c r="G1144" s="72"/>
      <c r="H1144" s="72"/>
      <c r="I1144" s="72"/>
      <c r="J1144" s="72"/>
      <c r="K1144" s="72"/>
    </row>
    <row r="1145" spans="1:11">
      <c r="A1145" s="72"/>
      <c r="B1145" s="72"/>
      <c r="C1145" s="72"/>
      <c r="D1145" s="72"/>
      <c r="E1145" s="72"/>
      <c r="F1145" s="72"/>
      <c r="G1145" s="72"/>
      <c r="H1145" s="72"/>
      <c r="I1145" s="72"/>
      <c r="J1145" s="72"/>
      <c r="K1145" s="72"/>
    </row>
    <row r="1146" spans="1:11">
      <c r="A1146" s="72"/>
      <c r="B1146" s="72"/>
      <c r="C1146" s="72"/>
      <c r="D1146" s="72"/>
      <c r="E1146" s="72"/>
      <c r="F1146" s="72"/>
      <c r="G1146" s="72"/>
      <c r="H1146" s="72"/>
      <c r="I1146" s="72"/>
      <c r="J1146" s="72"/>
      <c r="K1146" s="72"/>
    </row>
    <row r="1147" spans="1:11">
      <c r="A1147" s="72"/>
      <c r="B1147" s="72"/>
      <c r="C1147" s="72"/>
      <c r="D1147" s="72"/>
      <c r="E1147" s="72"/>
      <c r="F1147" s="72"/>
      <c r="G1147" s="72"/>
      <c r="H1147" s="72"/>
      <c r="I1147" s="72"/>
      <c r="J1147" s="72"/>
      <c r="K1147" s="72"/>
    </row>
    <row r="1148" spans="1:11">
      <c r="A1148" s="72"/>
      <c r="B1148" s="72"/>
      <c r="C1148" s="72"/>
      <c r="D1148" s="72"/>
      <c r="E1148" s="72"/>
      <c r="F1148" s="72"/>
      <c r="G1148" s="72"/>
      <c r="H1148" s="72"/>
      <c r="I1148" s="72"/>
      <c r="J1148" s="72"/>
      <c r="K1148" s="72"/>
    </row>
    <row r="1149" spans="1:11">
      <c r="A1149" s="72"/>
      <c r="B1149" s="72"/>
      <c r="C1149" s="72"/>
      <c r="D1149" s="72"/>
      <c r="E1149" s="72"/>
      <c r="F1149" s="72"/>
      <c r="G1149" s="72"/>
      <c r="H1149" s="72"/>
      <c r="I1149" s="72"/>
      <c r="J1149" s="72"/>
      <c r="K1149" s="72"/>
    </row>
    <row r="1150" spans="1:11">
      <c r="A1150" s="72"/>
      <c r="B1150" s="72"/>
      <c r="C1150" s="72"/>
      <c r="D1150" s="72"/>
      <c r="E1150" s="72"/>
      <c r="F1150" s="72"/>
      <c r="G1150" s="72"/>
      <c r="H1150" s="72"/>
      <c r="I1150" s="72"/>
      <c r="J1150" s="72"/>
      <c r="K1150" s="72"/>
    </row>
    <row r="1151" spans="1:11">
      <c r="A1151" s="72"/>
      <c r="B1151" s="72"/>
      <c r="C1151" s="72"/>
      <c r="D1151" s="72"/>
      <c r="E1151" s="72"/>
      <c r="F1151" s="72"/>
      <c r="G1151" s="72"/>
      <c r="H1151" s="72"/>
      <c r="I1151" s="72"/>
      <c r="J1151" s="72"/>
      <c r="K1151" s="72"/>
    </row>
    <row r="1152" spans="1:11">
      <c r="A1152" s="72"/>
      <c r="B1152" s="72"/>
      <c r="C1152" s="72"/>
      <c r="D1152" s="72"/>
      <c r="E1152" s="72"/>
      <c r="F1152" s="72"/>
      <c r="G1152" s="72"/>
      <c r="H1152" s="72"/>
      <c r="I1152" s="72"/>
      <c r="J1152" s="72"/>
      <c r="K1152" s="72"/>
    </row>
    <row r="1153" spans="1:11">
      <c r="A1153" s="72"/>
      <c r="B1153" s="72"/>
      <c r="C1153" s="72"/>
      <c r="D1153" s="72"/>
      <c r="E1153" s="72"/>
      <c r="F1153" s="72"/>
      <c r="G1153" s="72"/>
      <c r="H1153" s="72"/>
      <c r="I1153" s="72"/>
      <c r="J1153" s="72"/>
      <c r="K1153" s="72"/>
    </row>
    <row r="1154" spans="1:11">
      <c r="A1154" s="72"/>
      <c r="B1154" s="72"/>
      <c r="C1154" s="72"/>
      <c r="D1154" s="72"/>
      <c r="E1154" s="72"/>
      <c r="F1154" s="72"/>
      <c r="G1154" s="72"/>
      <c r="H1154" s="72"/>
      <c r="I1154" s="72"/>
      <c r="J1154" s="72"/>
      <c r="K1154" s="72"/>
    </row>
    <row r="1155" spans="1:11">
      <c r="A1155" s="72"/>
      <c r="B1155" s="72"/>
      <c r="C1155" s="72"/>
      <c r="D1155" s="72"/>
      <c r="E1155" s="72"/>
      <c r="F1155" s="72"/>
      <c r="G1155" s="72"/>
      <c r="H1155" s="72"/>
      <c r="I1155" s="72"/>
      <c r="J1155" s="72"/>
      <c r="K1155" s="72"/>
    </row>
    <row r="1156" spans="1:11">
      <c r="A1156" s="72"/>
      <c r="B1156" s="72"/>
      <c r="C1156" s="72"/>
      <c r="D1156" s="72"/>
      <c r="E1156" s="72"/>
      <c r="F1156" s="72"/>
      <c r="G1156" s="72"/>
      <c r="H1156" s="72"/>
      <c r="I1156" s="72"/>
      <c r="J1156" s="72"/>
      <c r="K1156" s="72"/>
    </row>
    <row r="1157" spans="1:11">
      <c r="A1157" s="72"/>
      <c r="B1157" s="72"/>
      <c r="C1157" s="72"/>
      <c r="D1157" s="72"/>
      <c r="E1157" s="72"/>
      <c r="F1157" s="72"/>
      <c r="G1157" s="72"/>
      <c r="H1157" s="72"/>
      <c r="I1157" s="72"/>
      <c r="J1157" s="72"/>
      <c r="K1157" s="72"/>
    </row>
    <row r="1158" spans="1:11">
      <c r="A1158" s="72"/>
      <c r="B1158" s="72"/>
      <c r="C1158" s="72"/>
      <c r="D1158" s="72"/>
      <c r="E1158" s="72"/>
      <c r="F1158" s="72"/>
      <c r="G1158" s="72"/>
      <c r="H1158" s="72"/>
      <c r="I1158" s="72"/>
      <c r="J1158" s="72"/>
      <c r="K1158" s="72"/>
    </row>
    <row r="1159" spans="1:11">
      <c r="A1159" s="72"/>
      <c r="B1159" s="72"/>
      <c r="C1159" s="72"/>
      <c r="D1159" s="72"/>
      <c r="E1159" s="72"/>
      <c r="F1159" s="72"/>
      <c r="G1159" s="72"/>
      <c r="H1159" s="72"/>
      <c r="I1159" s="72"/>
      <c r="J1159" s="72"/>
      <c r="K1159" s="72"/>
    </row>
    <row r="1160" spans="1:11">
      <c r="A1160" s="72"/>
      <c r="B1160" s="72"/>
      <c r="C1160" s="72"/>
      <c r="D1160" s="72"/>
      <c r="E1160" s="72"/>
      <c r="F1160" s="72"/>
      <c r="G1160" s="72"/>
      <c r="H1160" s="72"/>
      <c r="I1160" s="72"/>
      <c r="J1160" s="72"/>
      <c r="K1160" s="72"/>
    </row>
    <row r="1161" spans="1:11">
      <c r="A1161" s="72"/>
      <c r="B1161" s="72"/>
      <c r="C1161" s="72"/>
      <c r="D1161" s="72"/>
      <c r="E1161" s="72"/>
      <c r="F1161" s="72"/>
      <c r="G1161" s="72"/>
      <c r="H1161" s="72"/>
      <c r="I1161" s="72"/>
      <c r="J1161" s="72"/>
      <c r="K1161" s="72"/>
    </row>
    <row r="1162" spans="1:11">
      <c r="A1162" s="72"/>
      <c r="B1162" s="72"/>
      <c r="C1162" s="72"/>
      <c r="D1162" s="72"/>
      <c r="E1162" s="72"/>
      <c r="F1162" s="72"/>
      <c r="G1162" s="72"/>
      <c r="H1162" s="72"/>
      <c r="I1162" s="72"/>
      <c r="J1162" s="72"/>
      <c r="K1162" s="72"/>
    </row>
    <row r="1163" spans="1:11">
      <c r="A1163" s="72"/>
      <c r="B1163" s="72"/>
      <c r="C1163" s="72"/>
      <c r="D1163" s="72"/>
      <c r="E1163" s="72"/>
      <c r="F1163" s="72"/>
      <c r="G1163" s="72"/>
      <c r="H1163" s="72"/>
      <c r="I1163" s="72"/>
      <c r="J1163" s="72"/>
      <c r="K1163" s="72"/>
    </row>
    <row r="1164" spans="1:11">
      <c r="A1164" s="72"/>
      <c r="B1164" s="72"/>
      <c r="C1164" s="72"/>
      <c r="D1164" s="72"/>
      <c r="E1164" s="72"/>
      <c r="F1164" s="72"/>
      <c r="G1164" s="72"/>
      <c r="H1164" s="72"/>
      <c r="I1164" s="72"/>
      <c r="J1164" s="72"/>
      <c r="K1164" s="72"/>
    </row>
    <row r="1165" spans="1:11">
      <c r="A1165" s="72"/>
      <c r="B1165" s="72"/>
      <c r="C1165" s="72"/>
      <c r="D1165" s="72"/>
      <c r="E1165" s="72"/>
      <c r="F1165" s="72"/>
      <c r="G1165" s="72"/>
      <c r="H1165" s="72"/>
      <c r="I1165" s="72"/>
      <c r="J1165" s="72"/>
      <c r="K1165" s="72"/>
    </row>
    <row r="1166" spans="1:11">
      <c r="A1166" s="72"/>
      <c r="B1166" s="72"/>
      <c r="C1166" s="72"/>
      <c r="D1166" s="72"/>
      <c r="E1166" s="72"/>
      <c r="F1166" s="72"/>
      <c r="G1166" s="72"/>
      <c r="H1166" s="72"/>
      <c r="I1166" s="72"/>
      <c r="J1166" s="72"/>
      <c r="K1166" s="72"/>
    </row>
    <row r="1167" spans="1:11">
      <c r="A1167" s="72"/>
      <c r="B1167" s="72"/>
      <c r="C1167" s="72"/>
      <c r="D1167" s="72"/>
      <c r="E1167" s="72"/>
      <c r="F1167" s="72"/>
      <c r="G1167" s="72"/>
      <c r="H1167" s="72"/>
      <c r="I1167" s="72"/>
      <c r="J1167" s="72"/>
      <c r="K1167" s="72"/>
    </row>
    <row r="1168" spans="1:11">
      <c r="A1168" s="72"/>
      <c r="B1168" s="72"/>
      <c r="C1168" s="72"/>
      <c r="D1168" s="72"/>
      <c r="E1168" s="72"/>
      <c r="F1168" s="72"/>
      <c r="G1168" s="72"/>
      <c r="H1168" s="72"/>
      <c r="I1168" s="72"/>
      <c r="J1168" s="72"/>
      <c r="K1168" s="72"/>
    </row>
    <row r="1169" spans="1:11">
      <c r="A1169" s="72"/>
      <c r="B1169" s="72"/>
      <c r="C1169" s="72"/>
      <c r="D1169" s="72"/>
      <c r="E1169" s="72"/>
      <c r="F1169" s="72"/>
      <c r="G1169" s="72"/>
      <c r="H1169" s="72"/>
      <c r="I1169" s="72"/>
      <c r="J1169" s="72"/>
      <c r="K1169" s="72"/>
    </row>
    <row r="1170" spans="1:11">
      <c r="A1170" s="72"/>
      <c r="B1170" s="72"/>
      <c r="C1170" s="72"/>
      <c r="D1170" s="72"/>
      <c r="E1170" s="72"/>
      <c r="F1170" s="72"/>
      <c r="G1170" s="72"/>
      <c r="H1170" s="72"/>
      <c r="I1170" s="72"/>
      <c r="J1170" s="72"/>
      <c r="K1170" s="72"/>
    </row>
    <row r="1171" spans="1:11">
      <c r="A1171" s="72"/>
      <c r="B1171" s="72"/>
      <c r="C1171" s="72"/>
      <c r="D1171" s="72"/>
      <c r="E1171" s="72"/>
      <c r="F1171" s="72"/>
      <c r="G1171" s="72"/>
      <c r="H1171" s="72"/>
      <c r="I1171" s="72"/>
      <c r="J1171" s="72"/>
      <c r="K1171" s="72"/>
    </row>
    <row r="1172" spans="1:11">
      <c r="A1172" s="72"/>
      <c r="B1172" s="72"/>
      <c r="C1172" s="72"/>
      <c r="D1172" s="72"/>
      <c r="E1172" s="72"/>
      <c r="F1172" s="72"/>
      <c r="G1172" s="72"/>
      <c r="H1172" s="72"/>
      <c r="I1172" s="72"/>
      <c r="J1172" s="72"/>
      <c r="K1172" s="72"/>
    </row>
    <row r="1173" spans="1:11">
      <c r="A1173" s="72"/>
      <c r="B1173" s="72"/>
      <c r="C1173" s="72"/>
      <c r="D1173" s="72"/>
      <c r="E1173" s="72"/>
      <c r="F1173" s="72"/>
      <c r="G1173" s="72"/>
      <c r="H1173" s="72"/>
      <c r="I1173" s="72"/>
      <c r="J1173" s="72"/>
      <c r="K1173" s="72"/>
    </row>
    <row r="1174" spans="1:11">
      <c r="A1174" s="72"/>
      <c r="B1174" s="72"/>
      <c r="C1174" s="72"/>
      <c r="D1174" s="72"/>
      <c r="E1174" s="72"/>
      <c r="F1174" s="72"/>
      <c r="G1174" s="72"/>
      <c r="H1174" s="72"/>
      <c r="I1174" s="72"/>
      <c r="J1174" s="72"/>
      <c r="K1174" s="72"/>
    </row>
    <row r="1175" spans="1:11">
      <c r="A1175" s="72"/>
      <c r="B1175" s="72"/>
      <c r="C1175" s="72"/>
      <c r="D1175" s="72"/>
      <c r="E1175" s="72"/>
      <c r="F1175" s="72"/>
      <c r="G1175" s="72"/>
      <c r="H1175" s="72"/>
      <c r="I1175" s="72"/>
      <c r="J1175" s="72"/>
      <c r="K1175" s="72"/>
    </row>
    <row r="1176" spans="1:11">
      <c r="A1176" s="72"/>
      <c r="B1176" s="72"/>
      <c r="C1176" s="72"/>
      <c r="D1176" s="72"/>
      <c r="E1176" s="72"/>
      <c r="F1176" s="72"/>
      <c r="G1176" s="72"/>
      <c r="H1176" s="72"/>
      <c r="I1176" s="72"/>
      <c r="J1176" s="72"/>
      <c r="K1176" s="72"/>
    </row>
    <row r="1177" spans="1:11">
      <c r="A1177" s="72"/>
      <c r="B1177" s="72"/>
      <c r="C1177" s="72"/>
      <c r="D1177" s="72"/>
      <c r="E1177" s="72"/>
      <c r="F1177" s="72"/>
      <c r="G1177" s="72"/>
      <c r="H1177" s="72"/>
      <c r="I1177" s="72"/>
      <c r="J1177" s="72"/>
      <c r="K1177" s="72"/>
    </row>
    <row r="1178" spans="1:11">
      <c r="A1178" s="72"/>
      <c r="B1178" s="72"/>
      <c r="C1178" s="72"/>
      <c r="D1178" s="72"/>
      <c r="E1178" s="72"/>
      <c r="F1178" s="72"/>
      <c r="G1178" s="72"/>
      <c r="H1178" s="72"/>
      <c r="I1178" s="72"/>
      <c r="J1178" s="72"/>
      <c r="K1178" s="72"/>
    </row>
    <row r="1179" spans="1:11">
      <c r="A1179" s="72"/>
      <c r="B1179" s="72"/>
      <c r="C1179" s="72"/>
      <c r="D1179" s="72"/>
      <c r="E1179" s="72"/>
      <c r="F1179" s="72"/>
      <c r="G1179" s="72"/>
      <c r="H1179" s="72"/>
      <c r="I1179" s="72"/>
      <c r="J1179" s="72"/>
      <c r="K1179" s="72"/>
    </row>
    <row r="1180" spans="1:11">
      <c r="A1180" s="72"/>
      <c r="B1180" s="72"/>
      <c r="C1180" s="72"/>
      <c r="D1180" s="72"/>
      <c r="E1180" s="72"/>
      <c r="F1180" s="72"/>
      <c r="G1180" s="72"/>
      <c r="H1180" s="72"/>
      <c r="I1180" s="72"/>
      <c r="J1180" s="72"/>
      <c r="K1180" s="72"/>
    </row>
    <row r="1181" spans="1:11">
      <c r="A1181" s="72"/>
      <c r="B1181" s="72"/>
      <c r="C1181" s="72"/>
      <c r="D1181" s="72"/>
      <c r="E1181" s="72"/>
      <c r="F1181" s="72"/>
      <c r="G1181" s="72"/>
      <c r="H1181" s="72"/>
      <c r="I1181" s="72"/>
      <c r="J1181" s="72"/>
      <c r="K1181" s="72"/>
    </row>
    <row r="1182" spans="1:11">
      <c r="A1182" s="72"/>
      <c r="B1182" s="72"/>
      <c r="C1182" s="72"/>
      <c r="D1182" s="72"/>
      <c r="E1182" s="72"/>
      <c r="F1182" s="72"/>
      <c r="G1182" s="72"/>
      <c r="H1182" s="72"/>
      <c r="I1182" s="72"/>
      <c r="J1182" s="72"/>
      <c r="K1182" s="72"/>
    </row>
    <row r="1183" spans="1:11">
      <c r="A1183" s="72"/>
      <c r="B1183" s="72"/>
      <c r="C1183" s="72"/>
      <c r="D1183" s="72"/>
      <c r="E1183" s="72"/>
      <c r="F1183" s="72"/>
      <c r="G1183" s="72"/>
      <c r="H1183" s="72"/>
      <c r="I1183" s="72"/>
      <c r="J1183" s="72"/>
      <c r="K1183" s="72"/>
    </row>
    <row r="1184" spans="1:11">
      <c r="A1184" s="72"/>
      <c r="B1184" s="72"/>
      <c r="C1184" s="72"/>
      <c r="D1184" s="72"/>
      <c r="E1184" s="72"/>
      <c r="F1184" s="72"/>
      <c r="G1184" s="72"/>
      <c r="H1184" s="72"/>
      <c r="I1184" s="72"/>
      <c r="J1184" s="72"/>
      <c r="K1184" s="72"/>
    </row>
    <row r="1185" spans="1:11">
      <c r="A1185" s="72"/>
      <c r="B1185" s="72"/>
      <c r="C1185" s="72"/>
      <c r="D1185" s="72"/>
      <c r="E1185" s="72"/>
      <c r="F1185" s="72"/>
      <c r="G1185" s="72"/>
      <c r="H1185" s="72"/>
      <c r="I1185" s="72"/>
      <c r="J1185" s="72"/>
      <c r="K1185" s="72"/>
    </row>
    <row r="1186" spans="1:11">
      <c r="A1186" s="72"/>
      <c r="B1186" s="72"/>
      <c r="C1186" s="72"/>
      <c r="D1186" s="72"/>
      <c r="E1186" s="72"/>
      <c r="F1186" s="72"/>
      <c r="G1186" s="72"/>
      <c r="H1186" s="72"/>
      <c r="I1186" s="72"/>
      <c r="J1186" s="72"/>
      <c r="K1186" s="72"/>
    </row>
    <row r="1187" spans="1:11">
      <c r="A1187" s="72"/>
      <c r="B1187" s="72"/>
      <c r="C1187" s="72"/>
      <c r="D1187" s="72"/>
      <c r="E1187" s="72"/>
      <c r="F1187" s="72"/>
      <c r="G1187" s="72"/>
      <c r="H1187" s="72"/>
      <c r="I1187" s="72"/>
      <c r="J1187" s="72"/>
      <c r="K1187" s="72"/>
    </row>
    <row r="1188" spans="1:11">
      <c r="A1188" s="72"/>
      <c r="B1188" s="72"/>
      <c r="C1188" s="72"/>
      <c r="D1188" s="72"/>
      <c r="E1188" s="72"/>
      <c r="F1188" s="72"/>
      <c r="G1188" s="72"/>
      <c r="H1188" s="72"/>
      <c r="I1188" s="72"/>
      <c r="J1188" s="72"/>
      <c r="K1188" s="72"/>
    </row>
    <row r="1189" spans="1:11">
      <c r="A1189" s="72"/>
      <c r="B1189" s="72"/>
      <c r="C1189" s="72"/>
      <c r="D1189" s="72"/>
      <c r="E1189" s="72"/>
      <c r="F1189" s="72"/>
      <c r="G1189" s="72"/>
      <c r="H1189" s="72"/>
      <c r="I1189" s="72"/>
      <c r="J1189" s="72"/>
      <c r="K1189" s="72"/>
    </row>
    <row r="1190" spans="1:11">
      <c r="A1190" s="72"/>
      <c r="B1190" s="72"/>
      <c r="C1190" s="72"/>
      <c r="D1190" s="72"/>
      <c r="E1190" s="72"/>
      <c r="F1190" s="72"/>
      <c r="G1190" s="72"/>
      <c r="H1190" s="72"/>
      <c r="I1190" s="72"/>
      <c r="J1190" s="72"/>
      <c r="K1190" s="72"/>
    </row>
    <row r="1191" spans="1:11">
      <c r="A1191" s="72"/>
      <c r="B1191" s="72"/>
      <c r="C1191" s="72"/>
      <c r="D1191" s="72"/>
      <c r="E1191" s="72"/>
      <c r="F1191" s="72"/>
      <c r="G1191" s="72"/>
      <c r="H1191" s="72"/>
      <c r="I1191" s="72"/>
      <c r="J1191" s="72"/>
      <c r="K1191" s="72"/>
    </row>
    <row r="1192" spans="1:11">
      <c r="A1192" s="72"/>
      <c r="B1192" s="72"/>
      <c r="C1192" s="72"/>
      <c r="D1192" s="72"/>
      <c r="E1192" s="72"/>
      <c r="F1192" s="72"/>
      <c r="G1192" s="72"/>
      <c r="H1192" s="72"/>
      <c r="I1192" s="72"/>
      <c r="J1192" s="72"/>
      <c r="K1192" s="72"/>
    </row>
    <row r="1193" spans="1:11">
      <c r="A1193" s="72"/>
      <c r="B1193" s="72"/>
      <c r="C1193" s="72"/>
      <c r="D1193" s="72"/>
      <c r="E1193" s="72"/>
      <c r="F1193" s="72"/>
      <c r="G1193" s="72"/>
      <c r="H1193" s="72"/>
      <c r="I1193" s="72"/>
      <c r="J1193" s="72"/>
      <c r="K1193" s="72"/>
    </row>
    <row r="1194" spans="1:11">
      <c r="A1194" s="72"/>
      <c r="B1194" s="72"/>
      <c r="C1194" s="72"/>
      <c r="D1194" s="72"/>
      <c r="E1194" s="72"/>
      <c r="F1194" s="72"/>
      <c r="G1194" s="72"/>
      <c r="H1194" s="72"/>
      <c r="I1194" s="72"/>
      <c r="J1194" s="72"/>
      <c r="K1194" s="72"/>
    </row>
    <row r="1195" spans="1:11">
      <c r="A1195" s="72"/>
      <c r="B1195" s="72"/>
      <c r="C1195" s="72"/>
      <c r="D1195" s="72"/>
      <c r="E1195" s="72"/>
      <c r="F1195" s="72"/>
      <c r="G1195" s="72"/>
      <c r="H1195" s="72"/>
      <c r="I1195" s="72"/>
      <c r="J1195" s="72"/>
      <c r="K1195" s="72"/>
    </row>
    <row r="1196" spans="1:11">
      <c r="A1196" s="72"/>
      <c r="B1196" s="72"/>
      <c r="C1196" s="72"/>
      <c r="D1196" s="72"/>
      <c r="E1196" s="72"/>
      <c r="F1196" s="72"/>
      <c r="G1196" s="72"/>
      <c r="H1196" s="72"/>
      <c r="I1196" s="72"/>
      <c r="J1196" s="72"/>
      <c r="K1196" s="72"/>
    </row>
    <row r="1197" spans="1:11">
      <c r="A1197" s="72"/>
      <c r="B1197" s="72"/>
      <c r="C1197" s="72"/>
      <c r="D1197" s="72"/>
      <c r="E1197" s="72"/>
      <c r="F1197" s="72"/>
      <c r="G1197" s="72"/>
      <c r="H1197" s="72"/>
      <c r="I1197" s="72"/>
      <c r="J1197" s="72"/>
      <c r="K1197" s="72"/>
    </row>
    <row r="1198" spans="1:11">
      <c r="A1198" s="72"/>
      <c r="B1198" s="72"/>
      <c r="C1198" s="72"/>
      <c r="D1198" s="72"/>
      <c r="E1198" s="72"/>
      <c r="F1198" s="72"/>
      <c r="G1198" s="72"/>
      <c r="H1198" s="72"/>
      <c r="I1198" s="72"/>
      <c r="J1198" s="72"/>
      <c r="K1198" s="72"/>
    </row>
    <row r="1199" spans="1:11">
      <c r="A1199" s="72"/>
      <c r="B1199" s="72"/>
      <c r="C1199" s="72"/>
      <c r="D1199" s="72"/>
      <c r="E1199" s="72"/>
      <c r="F1199" s="72"/>
      <c r="G1199" s="72"/>
      <c r="H1199" s="72"/>
      <c r="I1199" s="72"/>
      <c r="J1199" s="72"/>
      <c r="K1199" s="72"/>
    </row>
    <row r="1200" spans="1:11">
      <c r="A1200" s="72"/>
      <c r="B1200" s="72"/>
      <c r="C1200" s="72"/>
      <c r="D1200" s="72"/>
      <c r="E1200" s="72"/>
      <c r="F1200" s="72"/>
      <c r="G1200" s="72"/>
      <c r="H1200" s="72"/>
      <c r="I1200" s="72"/>
      <c r="J1200" s="72"/>
      <c r="K1200" s="72"/>
    </row>
    <row r="1201" spans="1:11">
      <c r="A1201" s="72"/>
      <c r="B1201" s="72"/>
      <c r="C1201" s="72"/>
      <c r="D1201" s="72"/>
      <c r="E1201" s="72"/>
      <c r="F1201" s="72"/>
      <c r="G1201" s="72"/>
      <c r="H1201" s="72"/>
      <c r="I1201" s="72"/>
      <c r="J1201" s="72"/>
      <c r="K1201" s="72"/>
    </row>
    <row r="1202" spans="1:11">
      <c r="A1202" s="72"/>
      <c r="B1202" s="72"/>
      <c r="C1202" s="72"/>
      <c r="D1202" s="72"/>
      <c r="E1202" s="72"/>
      <c r="F1202" s="72"/>
      <c r="G1202" s="72"/>
      <c r="H1202" s="72"/>
      <c r="I1202" s="72"/>
      <c r="J1202" s="72"/>
      <c r="K1202" s="72"/>
    </row>
    <row r="1203" spans="1:11">
      <c r="A1203" s="72"/>
      <c r="B1203" s="72"/>
      <c r="C1203" s="72"/>
      <c r="D1203" s="72"/>
      <c r="E1203" s="72"/>
      <c r="F1203" s="72"/>
      <c r="G1203" s="72"/>
      <c r="H1203" s="72"/>
      <c r="I1203" s="72"/>
      <c r="J1203" s="72"/>
      <c r="K1203" s="72"/>
    </row>
    <row r="1204" spans="1:11">
      <c r="A1204" s="72"/>
      <c r="B1204" s="72"/>
      <c r="C1204" s="72"/>
      <c r="D1204" s="72"/>
      <c r="E1204" s="72"/>
      <c r="F1204" s="72"/>
      <c r="G1204" s="72"/>
      <c r="H1204" s="72"/>
      <c r="I1204" s="72"/>
      <c r="J1204" s="72"/>
      <c r="K1204" s="72"/>
    </row>
    <row r="1205" spans="1:11">
      <c r="A1205" s="72"/>
      <c r="B1205" s="72"/>
      <c r="C1205" s="72"/>
      <c r="D1205" s="72"/>
      <c r="E1205" s="72"/>
      <c r="F1205" s="72"/>
      <c r="G1205" s="72"/>
      <c r="H1205" s="72"/>
      <c r="I1205" s="72"/>
      <c r="J1205" s="72"/>
      <c r="K1205" s="72"/>
    </row>
    <row r="1206" spans="1:11">
      <c r="A1206" s="72"/>
      <c r="B1206" s="72"/>
      <c r="C1206" s="72"/>
      <c r="D1206" s="72"/>
      <c r="E1206" s="72"/>
      <c r="F1206" s="72"/>
      <c r="G1206" s="72"/>
      <c r="H1206" s="72"/>
      <c r="I1206" s="72"/>
      <c r="J1206" s="72"/>
      <c r="K1206" s="72"/>
    </row>
    <row r="1207" spans="1:11">
      <c r="A1207" s="72"/>
      <c r="B1207" s="72"/>
      <c r="C1207" s="72"/>
      <c r="D1207" s="72"/>
      <c r="E1207" s="72"/>
      <c r="F1207" s="72"/>
      <c r="G1207" s="72"/>
      <c r="H1207" s="72"/>
      <c r="I1207" s="72"/>
      <c r="J1207" s="72"/>
      <c r="K1207" s="72"/>
    </row>
    <row r="1208" spans="1:11">
      <c r="A1208" s="72"/>
      <c r="B1208" s="72"/>
      <c r="C1208" s="72"/>
      <c r="D1208" s="72"/>
      <c r="E1208" s="72"/>
      <c r="F1208" s="72"/>
      <c r="G1208" s="72"/>
      <c r="H1208" s="72"/>
      <c r="I1208" s="72"/>
      <c r="J1208" s="72"/>
      <c r="K1208" s="72"/>
    </row>
    <row r="1209" spans="1:11">
      <c r="A1209" s="72"/>
      <c r="B1209" s="72"/>
      <c r="C1209" s="72"/>
      <c r="D1209" s="72"/>
      <c r="E1209" s="72"/>
      <c r="F1209" s="72"/>
      <c r="G1209" s="72"/>
      <c r="H1209" s="72"/>
      <c r="I1209" s="72"/>
      <c r="J1209" s="72"/>
      <c r="K1209" s="72"/>
    </row>
    <row r="1210" spans="1:11">
      <c r="A1210" s="72"/>
      <c r="B1210" s="72"/>
      <c r="C1210" s="72"/>
      <c r="D1210" s="72"/>
      <c r="E1210" s="72"/>
      <c r="F1210" s="72"/>
      <c r="G1210" s="72"/>
      <c r="H1210" s="72"/>
      <c r="I1210" s="72"/>
      <c r="J1210" s="72"/>
      <c r="K1210" s="72"/>
    </row>
    <row r="1211" spans="1:11">
      <c r="A1211" s="72"/>
      <c r="B1211" s="72"/>
      <c r="C1211" s="72"/>
      <c r="D1211" s="72"/>
      <c r="E1211" s="72"/>
      <c r="F1211" s="72"/>
      <c r="G1211" s="72"/>
      <c r="H1211" s="72"/>
      <c r="I1211" s="72"/>
      <c r="J1211" s="72"/>
      <c r="K1211" s="72"/>
    </row>
    <row r="1212" spans="1:11">
      <c r="A1212" s="72"/>
      <c r="B1212" s="72"/>
      <c r="C1212" s="72"/>
      <c r="D1212" s="72"/>
      <c r="E1212" s="72"/>
      <c r="F1212" s="72"/>
      <c r="G1212" s="72"/>
      <c r="H1212" s="72"/>
      <c r="I1212" s="72"/>
      <c r="J1212" s="72"/>
      <c r="K1212" s="72"/>
    </row>
    <row r="1213" spans="1:11">
      <c r="A1213" s="72"/>
      <c r="B1213" s="72"/>
      <c r="C1213" s="72"/>
      <c r="D1213" s="72"/>
      <c r="E1213" s="72"/>
      <c r="F1213" s="72"/>
      <c r="G1213" s="72"/>
      <c r="H1213" s="72"/>
      <c r="I1213" s="72"/>
      <c r="J1213" s="72"/>
      <c r="K1213" s="72"/>
    </row>
    <row r="1214" spans="1:11">
      <c r="A1214" s="72"/>
      <c r="B1214" s="72"/>
      <c r="C1214" s="72"/>
      <c r="D1214" s="72"/>
      <c r="E1214" s="72"/>
      <c r="F1214" s="72"/>
      <c r="G1214" s="72"/>
      <c r="H1214" s="72"/>
      <c r="I1214" s="72"/>
      <c r="J1214" s="72"/>
      <c r="K1214" s="72"/>
    </row>
    <row r="1215" spans="1:11">
      <c r="A1215" s="72"/>
      <c r="B1215" s="72"/>
      <c r="C1215" s="72"/>
      <c r="D1215" s="72"/>
      <c r="E1215" s="72"/>
      <c r="F1215" s="72"/>
      <c r="G1215" s="72"/>
      <c r="H1215" s="72"/>
      <c r="I1215" s="72"/>
      <c r="J1215" s="72"/>
      <c r="K1215" s="72"/>
    </row>
    <row r="1216" spans="1:11">
      <c r="A1216" s="72"/>
      <c r="B1216" s="72"/>
      <c r="C1216" s="72"/>
      <c r="D1216" s="72"/>
      <c r="E1216" s="72"/>
      <c r="F1216" s="72"/>
      <c r="G1216" s="72"/>
      <c r="H1216" s="72"/>
      <c r="I1216" s="72"/>
      <c r="J1216" s="72"/>
      <c r="K1216" s="72"/>
    </row>
    <row r="1217" spans="1:11">
      <c r="A1217" s="72"/>
      <c r="B1217" s="72"/>
      <c r="C1217" s="72"/>
      <c r="D1217" s="72"/>
      <c r="E1217" s="72"/>
      <c r="F1217" s="72"/>
      <c r="G1217" s="72"/>
      <c r="H1217" s="72"/>
      <c r="I1217" s="72"/>
      <c r="J1217" s="72"/>
      <c r="K1217" s="72"/>
    </row>
    <row r="1218" spans="1:11">
      <c r="A1218" s="72"/>
      <c r="B1218" s="72"/>
      <c r="C1218" s="72"/>
      <c r="D1218" s="72"/>
      <c r="E1218" s="72"/>
      <c r="F1218" s="72"/>
      <c r="G1218" s="72"/>
      <c r="H1218" s="72"/>
      <c r="I1218" s="72"/>
      <c r="J1218" s="72"/>
      <c r="K1218" s="72"/>
    </row>
    <row r="1219" spans="1:11">
      <c r="A1219" s="72"/>
      <c r="B1219" s="72"/>
      <c r="C1219" s="72"/>
      <c r="D1219" s="72"/>
      <c r="E1219" s="72"/>
      <c r="F1219" s="72"/>
      <c r="G1219" s="72"/>
      <c r="H1219" s="72"/>
      <c r="I1219" s="72"/>
      <c r="J1219" s="72"/>
      <c r="K1219" s="72"/>
    </row>
    <row r="1220" spans="1:11">
      <c r="A1220" s="72"/>
      <c r="B1220" s="72"/>
      <c r="C1220" s="72"/>
      <c r="D1220" s="72"/>
      <c r="E1220" s="72"/>
      <c r="F1220" s="72"/>
      <c r="G1220" s="72"/>
      <c r="H1220" s="72"/>
      <c r="I1220" s="72"/>
      <c r="J1220" s="72"/>
      <c r="K1220" s="72"/>
    </row>
    <row r="1221" spans="1:11">
      <c r="A1221" s="72"/>
      <c r="B1221" s="72"/>
      <c r="C1221" s="72"/>
      <c r="D1221" s="72"/>
      <c r="E1221" s="72"/>
      <c r="F1221" s="72"/>
      <c r="G1221" s="72"/>
      <c r="H1221" s="72"/>
      <c r="I1221" s="72"/>
      <c r="J1221" s="72"/>
      <c r="K1221" s="72"/>
    </row>
    <row r="1222" spans="1:11">
      <c r="A1222" s="72"/>
      <c r="B1222" s="72"/>
      <c r="C1222" s="72"/>
      <c r="D1222" s="72"/>
      <c r="E1222" s="72"/>
      <c r="F1222" s="72"/>
      <c r="G1222" s="72"/>
      <c r="H1222" s="72"/>
      <c r="I1222" s="72"/>
      <c r="J1222" s="72"/>
      <c r="K1222" s="72"/>
    </row>
    <row r="1223" spans="1:11">
      <c r="A1223" s="72"/>
      <c r="B1223" s="72"/>
      <c r="C1223" s="72"/>
      <c r="D1223" s="72"/>
      <c r="E1223" s="72"/>
      <c r="F1223" s="72"/>
      <c r="G1223" s="72"/>
      <c r="H1223" s="72"/>
      <c r="I1223" s="72"/>
      <c r="J1223" s="72"/>
      <c r="K1223" s="72"/>
    </row>
    <row r="1224" spans="1:11">
      <c r="A1224" s="72"/>
      <c r="B1224" s="72"/>
      <c r="C1224" s="72"/>
      <c r="D1224" s="72"/>
      <c r="E1224" s="72"/>
      <c r="F1224" s="72"/>
      <c r="G1224" s="72"/>
      <c r="H1224" s="72"/>
      <c r="I1224" s="72"/>
      <c r="J1224" s="72"/>
      <c r="K1224" s="72"/>
    </row>
    <row r="1225" spans="1:11">
      <c r="A1225" s="72"/>
      <c r="B1225" s="72"/>
      <c r="C1225" s="72"/>
      <c r="D1225" s="72"/>
      <c r="E1225" s="72"/>
      <c r="F1225" s="72"/>
      <c r="G1225" s="72"/>
      <c r="H1225" s="72"/>
      <c r="I1225" s="72"/>
      <c r="J1225" s="72"/>
      <c r="K1225" s="72"/>
    </row>
    <row r="1226" spans="1:11">
      <c r="A1226" s="72"/>
      <c r="B1226" s="72"/>
      <c r="C1226" s="72"/>
      <c r="D1226" s="72"/>
      <c r="E1226" s="72"/>
      <c r="F1226" s="72"/>
      <c r="G1226" s="72"/>
      <c r="H1226" s="72"/>
      <c r="I1226" s="72"/>
      <c r="J1226" s="72"/>
      <c r="K1226" s="72"/>
    </row>
    <row r="1227" spans="1:11">
      <c r="A1227" s="72"/>
      <c r="B1227" s="72"/>
      <c r="C1227" s="72"/>
      <c r="D1227" s="72"/>
      <c r="E1227" s="72"/>
      <c r="F1227" s="72"/>
      <c r="G1227" s="72"/>
      <c r="H1227" s="72"/>
      <c r="I1227" s="72"/>
      <c r="J1227" s="72"/>
      <c r="K1227" s="72"/>
    </row>
    <row r="1228" spans="1:11">
      <c r="A1228" s="72"/>
      <c r="B1228" s="72"/>
      <c r="C1228" s="72"/>
      <c r="D1228" s="72"/>
      <c r="E1228" s="72"/>
      <c r="F1228" s="72"/>
      <c r="G1228" s="72"/>
      <c r="H1228" s="72"/>
      <c r="I1228" s="72"/>
      <c r="J1228" s="72"/>
      <c r="K1228" s="72"/>
    </row>
    <row r="1229" spans="1:11">
      <c r="A1229" s="72"/>
      <c r="B1229" s="72"/>
      <c r="C1229" s="72"/>
      <c r="D1229" s="72"/>
      <c r="E1229" s="72"/>
      <c r="F1229" s="72"/>
      <c r="G1229" s="72"/>
      <c r="H1229" s="72"/>
      <c r="I1229" s="72"/>
      <c r="J1229" s="72"/>
      <c r="K1229" s="72"/>
    </row>
    <row r="1230" spans="1:11">
      <c r="A1230" s="72"/>
      <c r="B1230" s="72"/>
      <c r="C1230" s="72"/>
      <c r="D1230" s="72"/>
      <c r="E1230" s="72"/>
      <c r="F1230" s="72"/>
      <c r="G1230" s="72"/>
      <c r="H1230" s="72"/>
      <c r="I1230" s="72"/>
      <c r="J1230" s="72"/>
      <c r="K1230" s="72"/>
    </row>
    <row r="1231" spans="1:11">
      <c r="A1231" s="72"/>
      <c r="B1231" s="72"/>
      <c r="C1231" s="72"/>
      <c r="D1231" s="72"/>
      <c r="E1231" s="72"/>
      <c r="F1231" s="72"/>
      <c r="G1231" s="72"/>
      <c r="H1231" s="72"/>
      <c r="I1231" s="72"/>
      <c r="J1231" s="72"/>
      <c r="K1231" s="72"/>
    </row>
    <row r="1232" spans="1:11">
      <c r="A1232" s="72"/>
      <c r="B1232" s="72"/>
      <c r="C1232" s="72"/>
      <c r="D1232" s="72"/>
      <c r="E1232" s="72"/>
      <c r="F1232" s="72"/>
      <c r="G1232" s="72"/>
      <c r="H1232" s="72"/>
      <c r="I1232" s="72"/>
      <c r="J1232" s="72"/>
      <c r="K1232" s="72"/>
    </row>
    <row r="1233" spans="1:11">
      <c r="A1233" s="72"/>
      <c r="B1233" s="72"/>
      <c r="C1233" s="72"/>
      <c r="D1233" s="72"/>
      <c r="E1233" s="72"/>
      <c r="F1233" s="72"/>
      <c r="G1233" s="72"/>
      <c r="H1233" s="72"/>
      <c r="I1233" s="72"/>
      <c r="J1233" s="72"/>
      <c r="K1233" s="72"/>
    </row>
    <row r="1234" spans="1:11">
      <c r="A1234" s="72"/>
      <c r="B1234" s="72"/>
      <c r="C1234" s="72"/>
      <c r="D1234" s="72"/>
      <c r="E1234" s="72"/>
      <c r="F1234" s="72"/>
      <c r="G1234" s="72"/>
      <c r="H1234" s="72"/>
      <c r="I1234" s="72"/>
      <c r="J1234" s="72"/>
      <c r="K1234" s="72"/>
    </row>
    <row r="1235" spans="1:11">
      <c r="A1235" s="72"/>
      <c r="B1235" s="72"/>
      <c r="C1235" s="72"/>
      <c r="D1235" s="72"/>
      <c r="E1235" s="72"/>
      <c r="F1235" s="72"/>
      <c r="G1235" s="72"/>
      <c r="H1235" s="72"/>
      <c r="I1235" s="72"/>
      <c r="J1235" s="72"/>
      <c r="K1235" s="72"/>
    </row>
    <row r="1236" spans="1:11">
      <c r="A1236" s="72"/>
      <c r="B1236" s="72"/>
      <c r="C1236" s="72"/>
      <c r="D1236" s="72"/>
      <c r="E1236" s="72"/>
      <c r="F1236" s="72"/>
      <c r="G1236" s="72"/>
      <c r="H1236" s="72"/>
      <c r="I1236" s="72"/>
      <c r="J1236" s="72"/>
      <c r="K1236" s="72"/>
    </row>
    <row r="1237" spans="1:11">
      <c r="A1237" s="72"/>
      <c r="B1237" s="72"/>
      <c r="C1237" s="72"/>
      <c r="D1237" s="72"/>
      <c r="E1237" s="72"/>
      <c r="F1237" s="72"/>
      <c r="G1237" s="72"/>
      <c r="H1237" s="72"/>
      <c r="I1237" s="72"/>
      <c r="J1237" s="72"/>
      <c r="K1237" s="72"/>
    </row>
    <row r="1238" spans="1:11">
      <c r="A1238" s="72"/>
      <c r="B1238" s="72"/>
      <c r="C1238" s="72"/>
      <c r="D1238" s="72"/>
      <c r="E1238" s="72"/>
      <c r="F1238" s="72"/>
      <c r="G1238" s="72"/>
      <c r="H1238" s="72"/>
      <c r="I1238" s="72"/>
      <c r="J1238" s="72"/>
      <c r="K1238" s="72"/>
    </row>
    <row r="1239" spans="1:11">
      <c r="A1239" s="72"/>
      <c r="B1239" s="72"/>
      <c r="C1239" s="72"/>
      <c r="D1239" s="72"/>
      <c r="E1239" s="72"/>
      <c r="F1239" s="72"/>
      <c r="G1239" s="72"/>
      <c r="H1239" s="72"/>
      <c r="I1239" s="72"/>
      <c r="J1239" s="72"/>
      <c r="K1239" s="72"/>
    </row>
    <row r="1240" spans="1:11">
      <c r="A1240" s="72"/>
      <c r="B1240" s="72"/>
      <c r="C1240" s="72"/>
      <c r="D1240" s="72"/>
      <c r="E1240" s="72"/>
      <c r="F1240" s="72"/>
      <c r="G1240" s="72"/>
      <c r="H1240" s="72"/>
      <c r="I1240" s="72"/>
      <c r="J1240" s="72"/>
      <c r="K1240" s="72"/>
    </row>
    <row r="1241" spans="1:11">
      <c r="A1241" s="72"/>
      <c r="B1241" s="72"/>
      <c r="C1241" s="72"/>
      <c r="D1241" s="72"/>
      <c r="E1241" s="72"/>
      <c r="F1241" s="72"/>
      <c r="G1241" s="72"/>
      <c r="H1241" s="72"/>
      <c r="I1241" s="72"/>
      <c r="J1241" s="72"/>
      <c r="K1241" s="72"/>
    </row>
    <row r="1242" spans="1:11">
      <c r="A1242" s="72"/>
      <c r="B1242" s="72"/>
      <c r="C1242" s="72"/>
      <c r="D1242" s="72"/>
      <c r="E1242" s="72"/>
      <c r="F1242" s="72"/>
      <c r="G1242" s="72"/>
      <c r="H1242" s="72"/>
      <c r="I1242" s="72"/>
      <c r="J1242" s="72"/>
      <c r="K1242" s="72"/>
    </row>
    <row r="1243" spans="1:11">
      <c r="A1243" s="72"/>
      <c r="B1243" s="72"/>
      <c r="C1243" s="72"/>
      <c r="D1243" s="72"/>
      <c r="E1243" s="72"/>
      <c r="F1243" s="72"/>
      <c r="G1243" s="72"/>
      <c r="H1243" s="72"/>
      <c r="I1243" s="72"/>
      <c r="J1243" s="72"/>
      <c r="K1243" s="72"/>
    </row>
    <row r="1244" spans="1:11">
      <c r="A1244" s="72"/>
      <c r="B1244" s="72"/>
      <c r="C1244" s="72"/>
      <c r="D1244" s="72"/>
      <c r="E1244" s="72"/>
      <c r="F1244" s="72"/>
      <c r="G1244" s="72"/>
      <c r="H1244" s="72"/>
      <c r="I1244" s="72"/>
      <c r="J1244" s="72"/>
      <c r="K1244" s="72"/>
    </row>
    <row r="1245" spans="1:11">
      <c r="A1245" s="72"/>
      <c r="B1245" s="72"/>
      <c r="C1245" s="72"/>
      <c r="D1245" s="72"/>
      <c r="E1245" s="72"/>
      <c r="F1245" s="72"/>
      <c r="G1245" s="72"/>
      <c r="H1245" s="72"/>
      <c r="I1245" s="72"/>
      <c r="J1245" s="72"/>
      <c r="K1245" s="72"/>
    </row>
    <row r="1246" spans="1:11">
      <c r="A1246" s="72"/>
      <c r="B1246" s="72"/>
      <c r="C1246" s="72"/>
      <c r="D1246" s="72"/>
      <c r="E1246" s="72"/>
      <c r="F1246" s="72"/>
      <c r="G1246" s="72"/>
      <c r="H1246" s="72"/>
      <c r="I1246" s="72"/>
      <c r="J1246" s="72"/>
      <c r="K1246" s="72"/>
    </row>
    <row r="1247" spans="1:11">
      <c r="A1247" s="72"/>
      <c r="B1247" s="72"/>
      <c r="C1247" s="72"/>
      <c r="D1247" s="72"/>
      <c r="E1247" s="72"/>
      <c r="F1247" s="72"/>
      <c r="G1247" s="72"/>
      <c r="H1247" s="72"/>
      <c r="I1247" s="72"/>
      <c r="J1247" s="72"/>
      <c r="K1247" s="72"/>
    </row>
    <row r="1248" spans="1:11">
      <c r="A1248" s="72"/>
      <c r="B1248" s="72"/>
      <c r="C1248" s="72"/>
      <c r="D1248" s="72"/>
      <c r="E1248" s="72"/>
      <c r="F1248" s="72"/>
      <c r="G1248" s="72"/>
      <c r="H1248" s="72"/>
      <c r="I1248" s="72"/>
      <c r="J1248" s="72"/>
      <c r="K1248" s="72"/>
    </row>
    <row r="1249" spans="1:11">
      <c r="A1249" s="72"/>
      <c r="B1249" s="72"/>
      <c r="C1249" s="72"/>
      <c r="D1249" s="72"/>
      <c r="E1249" s="72"/>
      <c r="F1249" s="72"/>
      <c r="G1249" s="72"/>
      <c r="H1249" s="72"/>
      <c r="I1249" s="72"/>
      <c r="J1249" s="72"/>
      <c r="K1249" s="72"/>
    </row>
    <row r="1250" spans="1:11">
      <c r="A1250" s="72"/>
      <c r="B1250" s="72"/>
      <c r="C1250" s="72"/>
      <c r="D1250" s="72"/>
      <c r="E1250" s="72"/>
      <c r="F1250" s="72"/>
      <c r="G1250" s="72"/>
      <c r="H1250" s="72"/>
      <c r="I1250" s="72"/>
      <c r="J1250" s="72"/>
      <c r="K1250" s="72"/>
    </row>
    <row r="1251" spans="1:11">
      <c r="A1251" s="72"/>
      <c r="B1251" s="72"/>
      <c r="C1251" s="72"/>
      <c r="D1251" s="72"/>
      <c r="E1251" s="72"/>
      <c r="F1251" s="72"/>
      <c r="G1251" s="72"/>
      <c r="H1251" s="72"/>
      <c r="I1251" s="72"/>
      <c r="J1251" s="72"/>
      <c r="K1251" s="72"/>
    </row>
    <row r="1252" spans="1:11">
      <c r="A1252" s="72"/>
      <c r="B1252" s="72"/>
      <c r="C1252" s="72"/>
      <c r="D1252" s="72"/>
      <c r="E1252" s="72"/>
      <c r="F1252" s="72"/>
      <c r="G1252" s="72"/>
      <c r="H1252" s="72"/>
      <c r="I1252" s="72"/>
      <c r="J1252" s="72"/>
      <c r="K1252" s="72"/>
    </row>
    <row r="1253" spans="1:11">
      <c r="A1253" s="72"/>
      <c r="B1253" s="72"/>
      <c r="C1253" s="72"/>
      <c r="D1253" s="72"/>
      <c r="E1253" s="72"/>
      <c r="F1253" s="72"/>
      <c r="G1253" s="72"/>
      <c r="H1253" s="72"/>
      <c r="I1253" s="72"/>
      <c r="J1253" s="72"/>
      <c r="K1253" s="72"/>
    </row>
    <row r="1254" spans="1:11">
      <c r="A1254" s="72"/>
      <c r="B1254" s="72"/>
      <c r="C1254" s="72"/>
      <c r="D1254" s="72"/>
      <c r="E1254" s="72"/>
      <c r="F1254" s="72"/>
      <c r="G1254" s="72"/>
      <c r="H1254" s="72"/>
      <c r="I1254" s="72"/>
      <c r="J1254" s="72"/>
      <c r="K1254" s="72"/>
    </row>
    <row r="1255" spans="1:11">
      <c r="A1255" s="72"/>
      <c r="B1255" s="72"/>
      <c r="C1255" s="72"/>
      <c r="D1255" s="72"/>
      <c r="E1255" s="72"/>
      <c r="F1255" s="72"/>
      <c r="G1255" s="72"/>
      <c r="H1255" s="72"/>
      <c r="I1255" s="72"/>
      <c r="J1255" s="72"/>
      <c r="K1255" s="72"/>
    </row>
    <row r="1256" spans="1:11">
      <c r="A1256" s="72"/>
      <c r="B1256" s="72"/>
      <c r="C1256" s="72"/>
      <c r="D1256" s="72"/>
      <c r="E1256" s="72"/>
      <c r="F1256" s="72"/>
      <c r="G1256" s="72"/>
      <c r="H1256" s="72"/>
      <c r="I1256" s="72"/>
      <c r="J1256" s="72"/>
      <c r="K1256" s="72"/>
    </row>
    <row r="1257" spans="1:11">
      <c r="A1257" s="72"/>
      <c r="B1257" s="72"/>
      <c r="C1257" s="72"/>
      <c r="D1257" s="72"/>
      <c r="E1257" s="72"/>
      <c r="F1257" s="72"/>
      <c r="G1257" s="72"/>
      <c r="H1257" s="72"/>
      <c r="I1257" s="72"/>
      <c r="J1257" s="72"/>
      <c r="K1257" s="72"/>
    </row>
    <row r="1258" spans="1:11">
      <c r="A1258" s="72"/>
      <c r="B1258" s="72"/>
      <c r="C1258" s="72"/>
      <c r="D1258" s="72"/>
      <c r="E1258" s="72"/>
      <c r="F1258" s="72"/>
      <c r="G1258" s="72"/>
      <c r="H1258" s="72"/>
      <c r="I1258" s="72"/>
      <c r="J1258" s="72"/>
      <c r="K1258" s="72"/>
    </row>
    <row r="1259" spans="1:11">
      <c r="A1259" s="72"/>
      <c r="B1259" s="72"/>
      <c r="C1259" s="72"/>
      <c r="D1259" s="72"/>
      <c r="E1259" s="72"/>
      <c r="F1259" s="72"/>
      <c r="G1259" s="72"/>
      <c r="H1259" s="72"/>
      <c r="I1259" s="72"/>
      <c r="J1259" s="72"/>
      <c r="K1259" s="72"/>
    </row>
    <row r="1260" spans="1:11">
      <c r="A1260" s="72"/>
      <c r="B1260" s="72"/>
      <c r="C1260" s="72"/>
      <c r="D1260" s="72"/>
      <c r="E1260" s="72"/>
      <c r="F1260" s="72"/>
      <c r="G1260" s="72"/>
      <c r="H1260" s="72"/>
      <c r="I1260" s="72"/>
      <c r="J1260" s="72"/>
      <c r="K1260" s="72"/>
    </row>
    <row r="1261" spans="1:11">
      <c r="A1261" s="72"/>
      <c r="B1261" s="72"/>
      <c r="C1261" s="72"/>
      <c r="D1261" s="72"/>
      <c r="E1261" s="72"/>
      <c r="F1261" s="72"/>
      <c r="G1261" s="72"/>
      <c r="H1261" s="72"/>
      <c r="I1261" s="72"/>
      <c r="J1261" s="72"/>
      <c r="K1261" s="72"/>
    </row>
    <row r="1262" spans="1:11">
      <c r="A1262" s="72"/>
      <c r="B1262" s="72"/>
      <c r="C1262" s="72"/>
      <c r="D1262" s="72"/>
      <c r="E1262" s="72"/>
      <c r="F1262" s="72"/>
      <c r="G1262" s="72"/>
      <c r="H1262" s="72"/>
      <c r="I1262" s="72"/>
      <c r="J1262" s="72"/>
      <c r="K1262" s="72"/>
    </row>
    <row r="1263" spans="1:11">
      <c r="A1263" s="72"/>
      <c r="B1263" s="72"/>
      <c r="C1263" s="72"/>
      <c r="D1263" s="72"/>
      <c r="E1263" s="72"/>
      <c r="F1263" s="72"/>
      <c r="G1263" s="72"/>
      <c r="H1263" s="72"/>
      <c r="I1263" s="72"/>
      <c r="J1263" s="72"/>
      <c r="K1263" s="72"/>
    </row>
    <row r="1264" spans="1:11">
      <c r="A1264" s="72"/>
      <c r="B1264" s="72"/>
      <c r="C1264" s="72"/>
      <c r="D1264" s="72"/>
      <c r="E1264" s="72"/>
      <c r="F1264" s="72"/>
      <c r="G1264" s="72"/>
      <c r="H1264" s="72"/>
      <c r="I1264" s="72"/>
      <c r="J1264" s="72"/>
      <c r="K1264" s="72"/>
    </row>
    <row r="1265" spans="1:11">
      <c r="A1265" s="72"/>
      <c r="B1265" s="72"/>
      <c r="C1265" s="72"/>
      <c r="D1265" s="72"/>
      <c r="E1265" s="72"/>
      <c r="F1265" s="72"/>
      <c r="G1265" s="72"/>
      <c r="H1265" s="72"/>
      <c r="I1265" s="72"/>
      <c r="J1265" s="72"/>
      <c r="K1265" s="72"/>
    </row>
    <row r="1266" spans="1:11">
      <c r="A1266" s="72"/>
      <c r="B1266" s="72"/>
      <c r="C1266" s="72"/>
      <c r="D1266" s="72"/>
      <c r="E1266" s="72"/>
      <c r="F1266" s="72"/>
      <c r="G1266" s="72"/>
      <c r="H1266" s="72"/>
      <c r="I1266" s="72"/>
      <c r="J1266" s="72"/>
      <c r="K1266" s="72"/>
    </row>
    <row r="1267" spans="1:11">
      <c r="A1267" s="72"/>
      <c r="B1267" s="72"/>
      <c r="C1267" s="72"/>
      <c r="D1267" s="72"/>
      <c r="E1267" s="72"/>
      <c r="F1267" s="72"/>
      <c r="G1267" s="72"/>
      <c r="H1267" s="72"/>
      <c r="I1267" s="72"/>
      <c r="J1267" s="72"/>
      <c r="K1267" s="72"/>
    </row>
    <row r="1268" spans="1:11">
      <c r="A1268" s="72"/>
      <c r="B1268" s="72"/>
      <c r="C1268" s="72"/>
      <c r="D1268" s="72"/>
      <c r="E1268" s="72"/>
      <c r="F1268" s="72"/>
      <c r="G1268" s="72"/>
      <c r="H1268" s="72"/>
      <c r="I1268" s="72"/>
      <c r="J1268" s="72"/>
      <c r="K1268" s="72"/>
    </row>
    <row r="1269" spans="1:11">
      <c r="A1269" s="72"/>
      <c r="B1269" s="72"/>
      <c r="C1269" s="72"/>
      <c r="D1269" s="72"/>
      <c r="E1269" s="72"/>
      <c r="F1269" s="72"/>
      <c r="G1269" s="72"/>
      <c r="H1269" s="72"/>
      <c r="I1269" s="72"/>
      <c r="J1269" s="72"/>
      <c r="K1269" s="72"/>
    </row>
    <row r="1270" spans="1:11">
      <c r="A1270" s="72"/>
      <c r="B1270" s="72"/>
      <c r="C1270" s="72"/>
      <c r="D1270" s="72"/>
      <c r="E1270" s="72"/>
      <c r="F1270" s="72"/>
      <c r="G1270" s="72"/>
      <c r="H1270" s="72"/>
      <c r="I1270" s="72"/>
      <c r="J1270" s="72"/>
      <c r="K1270" s="72"/>
    </row>
    <row r="1271" spans="1:11">
      <c r="A1271" s="72"/>
      <c r="B1271" s="72"/>
      <c r="C1271" s="72"/>
      <c r="D1271" s="72"/>
      <c r="E1271" s="72"/>
      <c r="F1271" s="72"/>
      <c r="G1271" s="72"/>
      <c r="H1271" s="72"/>
      <c r="I1271" s="72"/>
      <c r="J1271" s="72"/>
      <c r="K1271" s="72"/>
    </row>
    <row r="1272" spans="1:11">
      <c r="A1272" s="72"/>
      <c r="B1272" s="72"/>
      <c r="C1272" s="72"/>
      <c r="D1272" s="72"/>
      <c r="E1272" s="72"/>
      <c r="F1272" s="72"/>
      <c r="G1272" s="72"/>
      <c r="H1272" s="72"/>
      <c r="I1272" s="72"/>
      <c r="J1272" s="72"/>
      <c r="K1272" s="72"/>
    </row>
    <row r="1273" spans="1:11">
      <c r="A1273" s="72"/>
      <c r="B1273" s="72"/>
      <c r="C1273" s="72"/>
      <c r="D1273" s="72"/>
      <c r="E1273" s="72"/>
      <c r="F1273" s="72"/>
      <c r="G1273" s="72"/>
      <c r="H1273" s="72"/>
      <c r="I1273" s="72"/>
      <c r="J1273" s="72"/>
      <c r="K1273" s="72"/>
    </row>
    <row r="1274" spans="1:11">
      <c r="A1274" s="72"/>
      <c r="B1274" s="72"/>
      <c r="C1274" s="72"/>
      <c r="D1274" s="72"/>
      <c r="E1274" s="72"/>
      <c r="F1274" s="72"/>
      <c r="G1274" s="72"/>
      <c r="H1274" s="72"/>
      <c r="I1274" s="72"/>
      <c r="J1274" s="72"/>
      <c r="K1274" s="72"/>
    </row>
    <row r="1275" spans="1:11">
      <c r="A1275" s="72"/>
      <c r="B1275" s="72"/>
      <c r="C1275" s="72"/>
      <c r="D1275" s="72"/>
      <c r="E1275" s="72"/>
      <c r="F1275" s="72"/>
      <c r="G1275" s="72"/>
      <c r="H1275" s="72"/>
      <c r="I1275" s="72"/>
      <c r="J1275" s="72"/>
      <c r="K1275" s="72"/>
    </row>
    <row r="1276" spans="1:11">
      <c r="A1276" s="72"/>
      <c r="B1276" s="72"/>
      <c r="C1276" s="72"/>
      <c r="D1276" s="72"/>
      <c r="E1276" s="72"/>
      <c r="F1276" s="72"/>
      <c r="G1276" s="72"/>
      <c r="H1276" s="72"/>
      <c r="I1276" s="72"/>
      <c r="J1276" s="72"/>
      <c r="K1276" s="72"/>
    </row>
    <row r="1277" spans="1:11">
      <c r="A1277" s="72"/>
      <c r="B1277" s="72"/>
      <c r="C1277" s="72"/>
      <c r="D1277" s="72"/>
      <c r="E1277" s="72"/>
      <c r="F1277" s="72"/>
      <c r="G1277" s="72"/>
      <c r="H1277" s="72"/>
      <c r="I1277" s="72"/>
      <c r="J1277" s="72"/>
      <c r="K1277" s="72"/>
    </row>
    <row r="1278" spans="1:11">
      <c r="A1278" s="72"/>
      <c r="B1278" s="72"/>
      <c r="C1278" s="72"/>
      <c r="D1278" s="72"/>
      <c r="E1278" s="72"/>
      <c r="F1278" s="72"/>
      <c r="G1278" s="72"/>
      <c r="H1278" s="72"/>
      <c r="I1278" s="72"/>
      <c r="J1278" s="72"/>
      <c r="K1278" s="72"/>
    </row>
    <row r="1279" spans="1:11">
      <c r="A1279" s="72"/>
      <c r="B1279" s="72"/>
      <c r="C1279" s="72"/>
      <c r="D1279" s="72"/>
      <c r="E1279" s="72"/>
      <c r="F1279" s="72"/>
      <c r="G1279" s="72"/>
      <c r="H1279" s="72"/>
      <c r="I1279" s="72"/>
      <c r="J1279" s="72"/>
      <c r="K1279" s="72"/>
    </row>
    <row r="1280" spans="1:11">
      <c r="A1280" s="72"/>
      <c r="B1280" s="72"/>
      <c r="C1280" s="72"/>
      <c r="D1280" s="72"/>
      <c r="E1280" s="72"/>
      <c r="F1280" s="72"/>
      <c r="G1280" s="72"/>
      <c r="H1280" s="72"/>
      <c r="I1280" s="72"/>
      <c r="J1280" s="72"/>
      <c r="K1280" s="72"/>
    </row>
    <row r="1281" spans="1:11">
      <c r="A1281" s="72"/>
      <c r="B1281" s="72"/>
      <c r="C1281" s="72"/>
      <c r="D1281" s="72"/>
      <c r="E1281" s="72"/>
      <c r="F1281" s="72"/>
      <c r="G1281" s="72"/>
      <c r="H1281" s="72"/>
      <c r="I1281" s="72"/>
      <c r="J1281" s="72"/>
      <c r="K1281" s="72"/>
    </row>
    <row r="1282" spans="1:11">
      <c r="A1282" s="72"/>
      <c r="B1282" s="72"/>
      <c r="C1282" s="72"/>
      <c r="D1282" s="72"/>
      <c r="E1282" s="72"/>
      <c r="F1282" s="72"/>
      <c r="G1282" s="72"/>
      <c r="H1282" s="72"/>
      <c r="I1282" s="72"/>
      <c r="J1282" s="72"/>
      <c r="K1282" s="72"/>
    </row>
    <row r="1283" spans="1:11">
      <c r="A1283" s="72"/>
      <c r="B1283" s="72"/>
      <c r="C1283" s="72"/>
      <c r="D1283" s="72"/>
      <c r="E1283" s="72"/>
      <c r="F1283" s="72"/>
      <c r="G1283" s="72"/>
      <c r="H1283" s="72"/>
      <c r="I1283" s="72"/>
      <c r="J1283" s="72"/>
      <c r="K1283" s="72"/>
    </row>
    <row r="1284" spans="1:11">
      <c r="A1284" s="72"/>
      <c r="B1284" s="72"/>
      <c r="C1284" s="72"/>
      <c r="D1284" s="72"/>
      <c r="E1284" s="72"/>
      <c r="F1284" s="72"/>
      <c r="G1284" s="72"/>
      <c r="H1284" s="72"/>
      <c r="I1284" s="72"/>
      <c r="J1284" s="72"/>
      <c r="K1284" s="72"/>
    </row>
    <row r="1285" spans="1:11">
      <c r="A1285" s="72"/>
      <c r="B1285" s="72"/>
      <c r="C1285" s="72"/>
      <c r="D1285" s="72"/>
      <c r="E1285" s="72"/>
      <c r="F1285" s="72"/>
      <c r="G1285" s="72"/>
      <c r="H1285" s="72"/>
      <c r="I1285" s="72"/>
      <c r="J1285" s="72"/>
      <c r="K1285" s="72"/>
    </row>
    <row r="1286" spans="1:11">
      <c r="A1286" s="72"/>
      <c r="B1286" s="72"/>
      <c r="C1286" s="72"/>
      <c r="D1286" s="72"/>
      <c r="E1286" s="72"/>
      <c r="F1286" s="72"/>
      <c r="G1286" s="72"/>
      <c r="H1286" s="72"/>
      <c r="I1286" s="72"/>
      <c r="J1286" s="72"/>
      <c r="K1286" s="72"/>
    </row>
    <row r="1287" spans="1:11">
      <c r="A1287" s="72"/>
      <c r="B1287" s="72"/>
      <c r="C1287" s="72"/>
      <c r="D1287" s="72"/>
      <c r="E1287" s="72"/>
      <c r="F1287" s="72"/>
      <c r="G1287" s="72"/>
      <c r="H1287" s="72"/>
      <c r="I1287" s="72"/>
      <c r="J1287" s="72"/>
      <c r="K1287" s="72"/>
    </row>
    <row r="1288" spans="1:11">
      <c r="A1288" s="72"/>
      <c r="B1288" s="72"/>
      <c r="C1288" s="72"/>
      <c r="D1288" s="72"/>
      <c r="E1288" s="72"/>
      <c r="F1288" s="72"/>
      <c r="G1288" s="72"/>
      <c r="H1288" s="72"/>
      <c r="I1288" s="72"/>
      <c r="J1288" s="72"/>
      <c r="K1288" s="72"/>
    </row>
    <row r="1289" spans="1:11">
      <c r="A1289" s="72"/>
      <c r="B1289" s="72"/>
      <c r="C1289" s="72"/>
      <c r="D1289" s="72"/>
      <c r="E1289" s="72"/>
      <c r="F1289" s="72"/>
      <c r="G1289" s="72"/>
      <c r="H1289" s="72"/>
      <c r="I1289" s="72"/>
      <c r="J1289" s="72"/>
      <c r="K1289" s="72"/>
    </row>
    <row r="1290" spans="1:11">
      <c r="A1290" s="72"/>
      <c r="B1290" s="72"/>
      <c r="C1290" s="72"/>
      <c r="D1290" s="72"/>
      <c r="E1290" s="72"/>
      <c r="F1290" s="72"/>
      <c r="G1290" s="72"/>
      <c r="H1290" s="72"/>
      <c r="I1290" s="72"/>
      <c r="J1290" s="72"/>
      <c r="K1290" s="72"/>
    </row>
    <row r="1291" spans="1:11">
      <c r="A1291" s="72"/>
      <c r="B1291" s="72"/>
      <c r="C1291" s="72"/>
      <c r="D1291" s="72"/>
      <c r="E1291" s="72"/>
      <c r="F1291" s="72"/>
      <c r="G1291" s="72"/>
      <c r="H1291" s="72"/>
      <c r="I1291" s="72"/>
      <c r="J1291" s="72"/>
      <c r="K1291" s="72"/>
    </row>
    <row r="1292" spans="1:11">
      <c r="A1292" s="72"/>
      <c r="B1292" s="72"/>
      <c r="C1292" s="72"/>
      <c r="D1292" s="72"/>
      <c r="E1292" s="72"/>
      <c r="F1292" s="72"/>
      <c r="G1292" s="72"/>
      <c r="H1292" s="72"/>
      <c r="I1292" s="72"/>
      <c r="J1292" s="72"/>
      <c r="K1292" s="72"/>
    </row>
    <row r="1293" spans="1:11">
      <c r="A1293" s="72"/>
      <c r="B1293" s="72"/>
      <c r="C1293" s="72"/>
      <c r="D1293" s="72"/>
      <c r="E1293" s="72"/>
      <c r="F1293" s="72"/>
      <c r="G1293" s="72"/>
      <c r="H1293" s="72"/>
      <c r="I1293" s="72"/>
      <c r="J1293" s="72"/>
      <c r="K1293" s="72"/>
    </row>
    <row r="1294" spans="1:11">
      <c r="A1294" s="72"/>
      <c r="B1294" s="72"/>
      <c r="C1294" s="72"/>
      <c r="D1294" s="72"/>
      <c r="E1294" s="72"/>
      <c r="F1294" s="72"/>
      <c r="G1294" s="72"/>
      <c r="H1294" s="72"/>
      <c r="I1294" s="72"/>
      <c r="J1294" s="72"/>
      <c r="K1294" s="72"/>
    </row>
    <row r="1295" spans="1:11">
      <c r="A1295" s="72"/>
      <c r="B1295" s="72"/>
      <c r="C1295" s="72"/>
      <c r="D1295" s="72"/>
      <c r="E1295" s="72"/>
      <c r="F1295" s="72"/>
      <c r="G1295" s="72"/>
      <c r="H1295" s="72"/>
      <c r="I1295" s="72"/>
      <c r="J1295" s="72"/>
      <c r="K1295" s="72"/>
    </row>
    <row r="1296" spans="1:11">
      <c r="A1296" s="72"/>
      <c r="B1296" s="72"/>
      <c r="C1296" s="72"/>
      <c r="D1296" s="72"/>
      <c r="E1296" s="72"/>
      <c r="F1296" s="72"/>
      <c r="G1296" s="72"/>
      <c r="H1296" s="72"/>
      <c r="I1296" s="72"/>
      <c r="J1296" s="72"/>
      <c r="K1296" s="72"/>
    </row>
    <row r="1297" spans="1:11">
      <c r="A1297" s="72"/>
      <c r="B1297" s="72"/>
      <c r="C1297" s="72"/>
      <c r="D1297" s="72"/>
      <c r="E1297" s="72"/>
      <c r="F1297" s="72"/>
      <c r="G1297" s="72"/>
      <c r="H1297" s="72"/>
      <c r="I1297" s="72"/>
      <c r="J1297" s="72"/>
      <c r="K1297" s="72"/>
    </row>
    <row r="1298" spans="1:11">
      <c r="A1298" s="72"/>
      <c r="B1298" s="72"/>
      <c r="C1298" s="72"/>
      <c r="D1298" s="72"/>
      <c r="E1298" s="72"/>
      <c r="F1298" s="72"/>
      <c r="G1298" s="72"/>
      <c r="H1298" s="72"/>
      <c r="I1298" s="72"/>
      <c r="J1298" s="72"/>
      <c r="K1298" s="72"/>
    </row>
    <row r="1299" spans="1:11">
      <c r="A1299" s="72"/>
      <c r="B1299" s="72"/>
      <c r="C1299" s="72"/>
      <c r="D1299" s="72"/>
      <c r="E1299" s="72"/>
      <c r="F1299" s="72"/>
      <c r="G1299" s="72"/>
      <c r="H1299" s="72"/>
      <c r="I1299" s="72"/>
      <c r="J1299" s="72"/>
      <c r="K1299" s="72"/>
    </row>
    <row r="1300" spans="1:11">
      <c r="A1300" s="72"/>
      <c r="B1300" s="72"/>
      <c r="C1300" s="72"/>
      <c r="D1300" s="72"/>
      <c r="E1300" s="72"/>
      <c r="F1300" s="72"/>
      <c r="G1300" s="72"/>
      <c r="H1300" s="72"/>
      <c r="I1300" s="72"/>
      <c r="J1300" s="72"/>
      <c r="K1300" s="72"/>
    </row>
    <row r="1301" spans="1:11">
      <c r="A1301" s="72"/>
      <c r="B1301" s="72"/>
      <c r="C1301" s="72"/>
      <c r="D1301" s="72"/>
      <c r="E1301" s="72"/>
      <c r="F1301" s="72"/>
      <c r="G1301" s="72"/>
      <c r="H1301" s="72"/>
      <c r="I1301" s="72"/>
      <c r="J1301" s="72"/>
      <c r="K1301" s="72"/>
    </row>
    <row r="1302" spans="1:11">
      <c r="A1302" s="72"/>
      <c r="B1302" s="72"/>
      <c r="C1302" s="72"/>
      <c r="D1302" s="72"/>
      <c r="E1302" s="72"/>
      <c r="F1302" s="72"/>
      <c r="G1302" s="72"/>
      <c r="H1302" s="72"/>
      <c r="I1302" s="72"/>
      <c r="J1302" s="72"/>
      <c r="K1302" s="72"/>
    </row>
    <row r="1303" spans="1:11">
      <c r="A1303" s="72"/>
      <c r="B1303" s="72"/>
      <c r="C1303" s="72"/>
      <c r="D1303" s="72"/>
      <c r="E1303" s="72"/>
      <c r="F1303" s="72"/>
      <c r="G1303" s="72"/>
      <c r="H1303" s="72"/>
      <c r="I1303" s="72"/>
      <c r="J1303" s="72"/>
      <c r="K1303" s="72"/>
    </row>
    <row r="1304" spans="1:11">
      <c r="A1304" s="72"/>
      <c r="B1304" s="72"/>
      <c r="C1304" s="72"/>
      <c r="D1304" s="72"/>
      <c r="E1304" s="72"/>
      <c r="F1304" s="72"/>
      <c r="G1304" s="72"/>
      <c r="H1304" s="72"/>
      <c r="I1304" s="72"/>
      <c r="J1304" s="72"/>
      <c r="K1304" s="72"/>
    </row>
    <row r="1305" spans="1:11">
      <c r="A1305" s="72"/>
      <c r="B1305" s="72"/>
      <c r="C1305" s="72"/>
      <c r="D1305" s="72"/>
      <c r="E1305" s="72"/>
      <c r="F1305" s="72"/>
      <c r="G1305" s="72"/>
      <c r="H1305" s="72"/>
      <c r="I1305" s="72"/>
      <c r="J1305" s="72"/>
      <c r="K1305" s="72"/>
    </row>
    <row r="1306" spans="1:11">
      <c r="A1306" s="72"/>
      <c r="B1306" s="72"/>
      <c r="C1306" s="72"/>
      <c r="D1306" s="72"/>
      <c r="E1306" s="72"/>
      <c r="F1306" s="72"/>
      <c r="G1306" s="72"/>
      <c r="H1306" s="72"/>
      <c r="I1306" s="72"/>
      <c r="J1306" s="72"/>
      <c r="K1306" s="72"/>
    </row>
    <row r="1307" spans="1:11">
      <c r="A1307" s="72"/>
      <c r="B1307" s="72"/>
      <c r="C1307" s="72"/>
      <c r="D1307" s="72"/>
      <c r="E1307" s="72"/>
      <c r="F1307" s="72"/>
      <c r="G1307" s="72"/>
      <c r="H1307" s="72"/>
      <c r="I1307" s="72"/>
      <c r="J1307" s="72"/>
      <c r="K1307" s="72"/>
    </row>
    <row r="1308" spans="1:11">
      <c r="A1308" s="72"/>
      <c r="B1308" s="72"/>
      <c r="C1308" s="72"/>
      <c r="D1308" s="72"/>
      <c r="E1308" s="72"/>
      <c r="F1308" s="72"/>
      <c r="G1308" s="72"/>
      <c r="H1308" s="72"/>
      <c r="I1308" s="72"/>
      <c r="J1308" s="72"/>
      <c r="K1308" s="72"/>
    </row>
    <row r="1309" spans="1:11">
      <c r="A1309" s="72"/>
      <c r="B1309" s="72"/>
      <c r="C1309" s="72"/>
      <c r="D1309" s="72"/>
      <c r="E1309" s="72"/>
      <c r="F1309" s="72"/>
      <c r="G1309" s="72"/>
      <c r="H1309" s="72"/>
      <c r="I1309" s="72"/>
      <c r="J1309" s="72"/>
      <c r="K1309" s="72"/>
    </row>
    <row r="1310" spans="1:11">
      <c r="A1310" s="72"/>
      <c r="B1310" s="72"/>
      <c r="C1310" s="72"/>
      <c r="D1310" s="72"/>
      <c r="E1310" s="72"/>
      <c r="F1310" s="72"/>
      <c r="G1310" s="72"/>
      <c r="H1310" s="72"/>
      <c r="I1310" s="72"/>
      <c r="J1310" s="72"/>
      <c r="K1310" s="72"/>
    </row>
    <row r="1311" spans="1:11">
      <c r="A1311" s="72"/>
      <c r="B1311" s="72"/>
      <c r="C1311" s="72"/>
      <c r="D1311" s="72"/>
      <c r="E1311" s="72"/>
      <c r="F1311" s="72"/>
      <c r="G1311" s="72"/>
      <c r="H1311" s="72"/>
      <c r="I1311" s="72"/>
      <c r="J1311" s="72"/>
      <c r="K1311" s="72"/>
    </row>
    <row r="1312" spans="1:11">
      <c r="A1312" s="72"/>
      <c r="B1312" s="72"/>
      <c r="C1312" s="72"/>
      <c r="D1312" s="72"/>
      <c r="E1312" s="72"/>
      <c r="F1312" s="72"/>
      <c r="G1312" s="72"/>
      <c r="H1312" s="72"/>
      <c r="I1312" s="72"/>
      <c r="J1312" s="72"/>
      <c r="K1312" s="72"/>
    </row>
    <row r="1313" spans="1:11">
      <c r="A1313" s="72"/>
      <c r="B1313" s="72"/>
      <c r="C1313" s="72"/>
      <c r="D1313" s="72"/>
      <c r="E1313" s="72"/>
      <c r="F1313" s="72"/>
      <c r="G1313" s="72"/>
      <c r="H1313" s="72"/>
      <c r="I1313" s="72"/>
      <c r="J1313" s="72"/>
      <c r="K1313" s="72"/>
    </row>
    <row r="1314" spans="1:11">
      <c r="A1314" s="72"/>
      <c r="B1314" s="72"/>
      <c r="C1314" s="72"/>
      <c r="D1314" s="72"/>
      <c r="E1314" s="72"/>
      <c r="F1314" s="72"/>
      <c r="G1314" s="72"/>
      <c r="H1314" s="72"/>
      <c r="I1314" s="72"/>
      <c r="J1314" s="72"/>
      <c r="K1314" s="72"/>
    </row>
    <row r="1315" spans="1:11">
      <c r="A1315" s="72"/>
      <c r="B1315" s="72"/>
      <c r="C1315" s="72"/>
      <c r="D1315" s="72"/>
      <c r="E1315" s="72"/>
      <c r="F1315" s="72"/>
      <c r="G1315" s="72"/>
      <c r="H1315" s="72"/>
      <c r="I1315" s="72"/>
      <c r="J1315" s="72"/>
      <c r="K1315" s="72"/>
    </row>
    <row r="1316" spans="1:11">
      <c r="A1316" s="72"/>
      <c r="B1316" s="72"/>
      <c r="C1316" s="72"/>
      <c r="D1316" s="72"/>
      <c r="E1316" s="72"/>
      <c r="F1316" s="72"/>
      <c r="G1316" s="72"/>
      <c r="H1316" s="72"/>
      <c r="I1316" s="72"/>
      <c r="J1316" s="72"/>
      <c r="K1316" s="72"/>
    </row>
    <row r="1317" spans="1:11">
      <c r="A1317" s="72"/>
      <c r="B1317" s="72"/>
      <c r="C1317" s="72"/>
      <c r="D1317" s="72"/>
      <c r="E1317" s="72"/>
      <c r="F1317" s="72"/>
      <c r="G1317" s="72"/>
      <c r="H1317" s="72"/>
      <c r="I1317" s="72"/>
      <c r="J1317" s="72"/>
      <c r="K1317" s="72"/>
    </row>
    <row r="1318" spans="1:11">
      <c r="A1318" s="72"/>
      <c r="B1318" s="72"/>
      <c r="C1318" s="72"/>
      <c r="D1318" s="72"/>
      <c r="E1318" s="72"/>
      <c r="F1318" s="72"/>
      <c r="G1318" s="72"/>
      <c r="H1318" s="72"/>
      <c r="I1318" s="72"/>
      <c r="J1318" s="72"/>
      <c r="K1318" s="72"/>
    </row>
    <row r="1319" spans="1:11">
      <c r="A1319" s="72"/>
      <c r="B1319" s="72"/>
      <c r="C1319" s="72"/>
      <c r="D1319" s="72"/>
      <c r="E1319" s="72"/>
      <c r="F1319" s="72"/>
      <c r="G1319" s="72"/>
      <c r="H1319" s="72"/>
      <c r="I1319" s="72"/>
      <c r="J1319" s="72"/>
      <c r="K1319" s="72"/>
    </row>
    <row r="1320" spans="1:11">
      <c r="A1320" s="72"/>
      <c r="B1320" s="72"/>
      <c r="C1320" s="72"/>
      <c r="D1320" s="72"/>
      <c r="E1320" s="72"/>
      <c r="F1320" s="72"/>
      <c r="G1320" s="72"/>
      <c r="H1320" s="72"/>
      <c r="I1320" s="72"/>
      <c r="J1320" s="72"/>
      <c r="K1320" s="72"/>
    </row>
    <row r="1321" spans="1:11">
      <c r="A1321" s="72"/>
      <c r="B1321" s="72"/>
      <c r="C1321" s="72"/>
      <c r="D1321" s="72"/>
      <c r="E1321" s="72"/>
      <c r="F1321" s="72"/>
      <c r="G1321" s="72"/>
      <c r="H1321" s="72"/>
      <c r="I1321" s="72"/>
      <c r="J1321" s="72"/>
      <c r="K1321" s="72"/>
    </row>
    <row r="1322" spans="1:11">
      <c r="A1322" s="72"/>
      <c r="B1322" s="72"/>
      <c r="C1322" s="72"/>
      <c r="D1322" s="72"/>
      <c r="E1322" s="72"/>
      <c r="F1322" s="72"/>
      <c r="G1322" s="72"/>
      <c r="H1322" s="72"/>
      <c r="I1322" s="72"/>
      <c r="J1322" s="72"/>
      <c r="K1322" s="72"/>
    </row>
    <row r="1323" spans="1:11">
      <c r="A1323" s="72"/>
      <c r="B1323" s="72"/>
      <c r="C1323" s="72"/>
      <c r="D1323" s="72"/>
      <c r="E1323" s="72"/>
      <c r="F1323" s="72"/>
      <c r="G1323" s="72"/>
      <c r="H1323" s="72"/>
      <c r="I1323" s="72"/>
      <c r="J1323" s="72"/>
      <c r="K1323" s="72"/>
    </row>
    <row r="1324" spans="1:11">
      <c r="A1324" s="72"/>
      <c r="B1324" s="72"/>
      <c r="C1324" s="72"/>
      <c r="D1324" s="72"/>
      <c r="E1324" s="72"/>
      <c r="F1324" s="72"/>
      <c r="G1324" s="72"/>
      <c r="H1324" s="72"/>
      <c r="I1324" s="72"/>
      <c r="J1324" s="72"/>
      <c r="K1324" s="72"/>
    </row>
    <row r="1325" spans="1:11">
      <c r="A1325" s="72"/>
      <c r="B1325" s="72"/>
      <c r="C1325" s="72"/>
      <c r="D1325" s="72"/>
      <c r="E1325" s="72"/>
      <c r="F1325" s="72"/>
      <c r="G1325" s="72"/>
      <c r="H1325" s="72"/>
      <c r="I1325" s="72"/>
      <c r="J1325" s="72"/>
      <c r="K1325" s="72"/>
    </row>
    <row r="1326" spans="1:11">
      <c r="A1326" s="72"/>
      <c r="B1326" s="72"/>
      <c r="C1326" s="72"/>
      <c r="D1326" s="72"/>
      <c r="E1326" s="72"/>
      <c r="F1326" s="72"/>
      <c r="G1326" s="72"/>
      <c r="H1326" s="72"/>
      <c r="I1326" s="72"/>
      <c r="J1326" s="72"/>
      <c r="K1326" s="72"/>
    </row>
    <row r="1327" spans="1:11">
      <c r="A1327" s="72"/>
      <c r="B1327" s="72"/>
      <c r="C1327" s="72"/>
      <c r="D1327" s="72"/>
      <c r="E1327" s="72"/>
      <c r="F1327" s="72"/>
      <c r="G1327" s="72"/>
      <c r="H1327" s="72"/>
      <c r="I1327" s="72"/>
      <c r="J1327" s="72"/>
      <c r="K1327" s="72"/>
    </row>
    <row r="1328" spans="1:11">
      <c r="A1328" s="72"/>
      <c r="B1328" s="72"/>
      <c r="C1328" s="72"/>
      <c r="D1328" s="72"/>
      <c r="E1328" s="72"/>
      <c r="F1328" s="72"/>
      <c r="G1328" s="72"/>
      <c r="H1328" s="72"/>
      <c r="I1328" s="72"/>
      <c r="J1328" s="72"/>
      <c r="K1328" s="72"/>
    </row>
    <row r="1329" spans="1:11">
      <c r="A1329" s="72"/>
      <c r="B1329" s="72"/>
      <c r="C1329" s="72"/>
      <c r="D1329" s="72"/>
      <c r="E1329" s="72"/>
      <c r="F1329" s="72"/>
      <c r="G1329" s="72"/>
      <c r="H1329" s="72"/>
      <c r="I1329" s="72"/>
      <c r="J1329" s="72"/>
      <c r="K1329" s="72"/>
    </row>
    <row r="1330" spans="1:11">
      <c r="A1330" s="72"/>
      <c r="B1330" s="72"/>
      <c r="C1330" s="72"/>
      <c r="D1330" s="72"/>
      <c r="E1330" s="72"/>
      <c r="F1330" s="72"/>
      <c r="G1330" s="72"/>
      <c r="H1330" s="72"/>
      <c r="I1330" s="72"/>
      <c r="J1330" s="72"/>
      <c r="K1330" s="72"/>
    </row>
    <row r="1331" spans="1:11">
      <c r="A1331" s="72"/>
      <c r="B1331" s="72"/>
      <c r="C1331" s="72"/>
      <c r="D1331" s="72"/>
      <c r="E1331" s="72"/>
      <c r="F1331" s="72"/>
      <c r="G1331" s="72"/>
      <c r="H1331" s="72"/>
      <c r="I1331" s="72"/>
      <c r="J1331" s="72"/>
      <c r="K1331" s="72"/>
    </row>
    <row r="1332" spans="1:11">
      <c r="A1332" s="72"/>
      <c r="B1332" s="72"/>
      <c r="C1332" s="72"/>
      <c r="D1332" s="72"/>
      <c r="E1332" s="72"/>
      <c r="F1332" s="72"/>
      <c r="G1332" s="72"/>
      <c r="H1332" s="72"/>
      <c r="I1332" s="72"/>
      <c r="J1332" s="72"/>
      <c r="K1332" s="72"/>
    </row>
    <row r="1333" spans="1:11">
      <c r="A1333" s="72"/>
      <c r="B1333" s="72"/>
      <c r="C1333" s="72"/>
      <c r="D1333" s="72"/>
      <c r="E1333" s="72"/>
      <c r="F1333" s="72"/>
      <c r="G1333" s="72"/>
      <c r="H1333" s="72"/>
      <c r="I1333" s="72"/>
      <c r="J1333" s="72"/>
      <c r="K1333" s="72"/>
    </row>
    <row r="1334" spans="1:11">
      <c r="A1334" s="72"/>
      <c r="B1334" s="72"/>
      <c r="C1334" s="72"/>
      <c r="D1334" s="72"/>
      <c r="E1334" s="72"/>
      <c r="F1334" s="72"/>
      <c r="G1334" s="72"/>
      <c r="H1334" s="72"/>
      <c r="I1334" s="72"/>
      <c r="J1334" s="72"/>
      <c r="K1334" s="72"/>
    </row>
    <row r="1335" spans="1:11">
      <c r="A1335" s="72"/>
      <c r="B1335" s="72"/>
      <c r="C1335" s="72"/>
      <c r="D1335" s="72"/>
      <c r="E1335" s="72"/>
      <c r="F1335" s="72"/>
      <c r="G1335" s="72"/>
      <c r="H1335" s="72"/>
      <c r="I1335" s="72"/>
      <c r="J1335" s="72"/>
      <c r="K1335" s="72"/>
    </row>
    <row r="1336" spans="1:11">
      <c r="A1336" s="72"/>
      <c r="B1336" s="72"/>
      <c r="C1336" s="72"/>
      <c r="D1336" s="72"/>
      <c r="E1336" s="72"/>
      <c r="F1336" s="72"/>
      <c r="G1336" s="72"/>
      <c r="H1336" s="72"/>
      <c r="I1336" s="72"/>
      <c r="J1336" s="72"/>
      <c r="K1336" s="72"/>
    </row>
    <row r="1337" spans="1:11">
      <c r="A1337" s="72"/>
      <c r="B1337" s="72"/>
      <c r="C1337" s="72"/>
      <c r="D1337" s="72"/>
      <c r="E1337" s="72"/>
      <c r="F1337" s="72"/>
      <c r="G1337" s="72"/>
      <c r="H1337" s="72"/>
      <c r="I1337" s="72"/>
      <c r="J1337" s="72"/>
      <c r="K1337" s="72"/>
    </row>
    <row r="1338" spans="1:11">
      <c r="A1338" s="72"/>
      <c r="B1338" s="72"/>
      <c r="C1338" s="72"/>
      <c r="D1338" s="72"/>
      <c r="E1338" s="72"/>
      <c r="F1338" s="72"/>
      <c r="G1338" s="72"/>
      <c r="H1338" s="72"/>
      <c r="I1338" s="72"/>
      <c r="J1338" s="72"/>
      <c r="K1338" s="72"/>
    </row>
    <row r="1339" spans="1:11">
      <c r="A1339" s="72"/>
      <c r="B1339" s="72"/>
      <c r="C1339" s="72"/>
      <c r="D1339" s="72"/>
      <c r="E1339" s="72"/>
      <c r="F1339" s="72"/>
      <c r="G1339" s="72"/>
      <c r="H1339" s="72"/>
      <c r="I1339" s="72"/>
      <c r="J1339" s="72"/>
      <c r="K1339" s="72"/>
    </row>
    <row r="1340" spans="1:11">
      <c r="A1340" s="72"/>
      <c r="B1340" s="72"/>
      <c r="C1340" s="72"/>
      <c r="D1340" s="72"/>
      <c r="E1340" s="72"/>
      <c r="F1340" s="72"/>
      <c r="G1340" s="72"/>
      <c r="H1340" s="72"/>
      <c r="I1340" s="72"/>
      <c r="J1340" s="72"/>
      <c r="K1340" s="72"/>
    </row>
    <row r="1341" spans="1:11">
      <c r="A1341" s="72"/>
      <c r="B1341" s="72"/>
      <c r="C1341" s="72"/>
      <c r="D1341" s="72"/>
      <c r="E1341" s="72"/>
      <c r="F1341" s="72"/>
      <c r="G1341" s="72"/>
      <c r="H1341" s="72"/>
      <c r="I1341" s="72"/>
      <c r="J1341" s="72"/>
      <c r="K1341" s="72"/>
    </row>
    <row r="1342" spans="1:11">
      <c r="A1342" s="72"/>
      <c r="B1342" s="72"/>
      <c r="C1342" s="72"/>
      <c r="D1342" s="72"/>
      <c r="E1342" s="72"/>
      <c r="F1342" s="72"/>
      <c r="G1342" s="72"/>
      <c r="H1342" s="72"/>
      <c r="I1342" s="72"/>
      <c r="J1342" s="72"/>
      <c r="K1342" s="72"/>
    </row>
    <row r="1343" spans="1:11">
      <c r="A1343" s="72"/>
      <c r="B1343" s="72"/>
      <c r="C1343" s="72"/>
      <c r="D1343" s="72"/>
      <c r="E1343" s="72"/>
      <c r="F1343" s="72"/>
      <c r="G1343" s="72"/>
      <c r="H1343" s="72"/>
      <c r="I1343" s="72"/>
      <c r="J1343" s="72"/>
      <c r="K1343" s="72"/>
    </row>
    <row r="1344" spans="1:11">
      <c r="A1344" s="72"/>
      <c r="B1344" s="72"/>
      <c r="C1344" s="72"/>
      <c r="D1344" s="72"/>
      <c r="E1344" s="72"/>
      <c r="F1344" s="72"/>
      <c r="G1344" s="72"/>
      <c r="H1344" s="72"/>
      <c r="I1344" s="72"/>
      <c r="J1344" s="72"/>
      <c r="K1344" s="72"/>
    </row>
    <row r="1345" spans="1:11">
      <c r="A1345" s="72"/>
      <c r="B1345" s="72"/>
      <c r="C1345" s="72"/>
      <c r="D1345" s="72"/>
      <c r="E1345" s="72"/>
      <c r="F1345" s="72"/>
      <c r="G1345" s="72"/>
      <c r="H1345" s="72"/>
      <c r="I1345" s="72"/>
      <c r="J1345" s="72"/>
      <c r="K1345" s="72"/>
    </row>
    <row r="1346" spans="1:11">
      <c r="A1346" s="72"/>
      <c r="B1346" s="72"/>
      <c r="C1346" s="72"/>
      <c r="D1346" s="72"/>
      <c r="E1346" s="72"/>
      <c r="F1346" s="72"/>
      <c r="G1346" s="72"/>
      <c r="H1346" s="72"/>
      <c r="I1346" s="72"/>
      <c r="J1346" s="72"/>
      <c r="K1346" s="72"/>
    </row>
    <row r="1347" spans="1:11">
      <c r="A1347" s="72"/>
      <c r="B1347" s="72"/>
      <c r="C1347" s="72"/>
      <c r="D1347" s="72"/>
      <c r="E1347" s="72"/>
      <c r="F1347" s="72"/>
      <c r="G1347" s="72"/>
      <c r="H1347" s="72"/>
      <c r="I1347" s="72"/>
      <c r="J1347" s="72"/>
      <c r="K1347" s="72"/>
    </row>
    <row r="1348" spans="1:11">
      <c r="A1348" s="72"/>
      <c r="B1348" s="72"/>
      <c r="C1348" s="72"/>
      <c r="D1348" s="72"/>
      <c r="E1348" s="72"/>
      <c r="F1348" s="72"/>
      <c r="G1348" s="72"/>
      <c r="H1348" s="72"/>
      <c r="I1348" s="72"/>
      <c r="J1348" s="72"/>
      <c r="K1348" s="72"/>
    </row>
    <row r="1349" spans="1:11">
      <c r="A1349" s="72"/>
      <c r="B1349" s="72"/>
      <c r="C1349" s="72"/>
      <c r="D1349" s="72"/>
      <c r="E1349" s="72"/>
      <c r="F1349" s="72"/>
      <c r="G1349" s="72"/>
      <c r="H1349" s="72"/>
      <c r="I1349" s="72"/>
      <c r="J1349" s="72"/>
      <c r="K1349" s="72"/>
    </row>
    <row r="1350" spans="1:11">
      <c r="A1350" s="72"/>
      <c r="B1350" s="72"/>
      <c r="C1350" s="72"/>
      <c r="D1350" s="72"/>
      <c r="E1350" s="72"/>
      <c r="F1350" s="72"/>
      <c r="G1350" s="72"/>
      <c r="H1350" s="72"/>
      <c r="I1350" s="72"/>
      <c r="J1350" s="72"/>
      <c r="K1350" s="72"/>
    </row>
    <row r="1351" spans="1:11">
      <c r="A1351" s="72"/>
      <c r="B1351" s="72"/>
      <c r="C1351" s="72"/>
      <c r="D1351" s="72"/>
      <c r="E1351" s="72"/>
      <c r="F1351" s="72"/>
      <c r="G1351" s="72"/>
      <c r="H1351" s="72"/>
      <c r="I1351" s="72"/>
      <c r="J1351" s="72"/>
      <c r="K1351" s="72"/>
    </row>
    <row r="1352" spans="1:11">
      <c r="A1352" s="72"/>
      <c r="B1352" s="72"/>
      <c r="C1352" s="72"/>
      <c r="D1352" s="72"/>
      <c r="E1352" s="72"/>
      <c r="F1352" s="72"/>
      <c r="G1352" s="72"/>
      <c r="H1352" s="72"/>
      <c r="I1352" s="72"/>
      <c r="J1352" s="72"/>
      <c r="K1352" s="72"/>
    </row>
    <row r="1353" spans="1:11">
      <c r="A1353" s="72"/>
      <c r="B1353" s="72"/>
      <c r="C1353" s="72"/>
      <c r="D1353" s="72"/>
      <c r="E1353" s="72"/>
      <c r="F1353" s="72"/>
      <c r="G1353" s="72"/>
      <c r="H1353" s="72"/>
      <c r="I1353" s="72"/>
      <c r="J1353" s="72"/>
      <c r="K1353" s="72"/>
    </row>
    <row r="1354" spans="1:11">
      <c r="A1354" s="72"/>
      <c r="B1354" s="72"/>
      <c r="C1354" s="72"/>
      <c r="D1354" s="72"/>
      <c r="E1354" s="72"/>
      <c r="F1354" s="72"/>
      <c r="G1354" s="72"/>
      <c r="H1354" s="72"/>
      <c r="I1354" s="72"/>
      <c r="J1354" s="72"/>
      <c r="K1354" s="72"/>
    </row>
    <row r="1355" spans="1:11">
      <c r="A1355" s="72"/>
      <c r="B1355" s="72"/>
      <c r="C1355" s="72"/>
      <c r="D1355" s="72"/>
      <c r="E1355" s="72"/>
      <c r="F1355" s="72"/>
      <c r="G1355" s="72"/>
      <c r="H1355" s="72"/>
      <c r="I1355" s="72"/>
      <c r="J1355" s="72"/>
      <c r="K1355" s="72"/>
    </row>
    <row r="1356" spans="1:11">
      <c r="A1356" s="72"/>
      <c r="B1356" s="72"/>
      <c r="C1356" s="72"/>
      <c r="D1356" s="72"/>
      <c r="E1356" s="72"/>
      <c r="F1356" s="72"/>
      <c r="G1356" s="72"/>
      <c r="H1356" s="72"/>
      <c r="I1356" s="72"/>
      <c r="J1356" s="72"/>
      <c r="K1356" s="72"/>
    </row>
    <row r="1357" spans="1:11">
      <c r="A1357" s="72"/>
      <c r="B1357" s="72"/>
      <c r="C1357" s="72"/>
      <c r="D1357" s="72"/>
      <c r="E1357" s="72"/>
      <c r="F1357" s="72"/>
      <c r="G1357" s="72"/>
      <c r="H1357" s="72"/>
      <c r="I1357" s="72"/>
      <c r="J1357" s="72"/>
      <c r="K1357" s="72"/>
    </row>
    <row r="1358" spans="1:11">
      <c r="A1358" s="72"/>
      <c r="B1358" s="72"/>
      <c r="C1358" s="72"/>
      <c r="D1358" s="72"/>
      <c r="E1358" s="72"/>
      <c r="F1358" s="72"/>
      <c r="G1358" s="72"/>
      <c r="H1358" s="72"/>
      <c r="I1358" s="72"/>
      <c r="J1358" s="72"/>
      <c r="K1358" s="72"/>
    </row>
    <row r="1359" spans="1:11">
      <c r="A1359" s="72"/>
      <c r="B1359" s="72"/>
      <c r="C1359" s="72"/>
      <c r="D1359" s="72"/>
      <c r="E1359" s="72"/>
      <c r="F1359" s="72"/>
      <c r="G1359" s="72"/>
      <c r="H1359" s="72"/>
      <c r="I1359" s="72"/>
      <c r="J1359" s="72"/>
      <c r="K1359" s="72"/>
    </row>
    <row r="1360" spans="1:11">
      <c r="A1360" s="72"/>
      <c r="B1360" s="72"/>
      <c r="C1360" s="72"/>
      <c r="D1360" s="72"/>
      <c r="E1360" s="72"/>
      <c r="F1360" s="72"/>
      <c r="G1360" s="72"/>
      <c r="H1360" s="72"/>
      <c r="I1360" s="72"/>
      <c r="J1360" s="72"/>
      <c r="K1360" s="72"/>
    </row>
    <row r="1361" spans="1:11">
      <c r="A1361" s="72"/>
      <c r="B1361" s="72"/>
      <c r="C1361" s="72"/>
      <c r="D1361" s="72"/>
      <c r="E1361" s="72"/>
      <c r="F1361" s="72"/>
      <c r="G1361" s="72"/>
      <c r="H1361" s="72"/>
      <c r="I1361" s="72"/>
      <c r="J1361" s="72"/>
      <c r="K1361" s="72"/>
    </row>
    <row r="1362" spans="1:11">
      <c r="A1362" s="72"/>
      <c r="B1362" s="72"/>
      <c r="C1362" s="72"/>
      <c r="D1362" s="72"/>
      <c r="E1362" s="72"/>
      <c r="F1362" s="72"/>
      <c r="G1362" s="72"/>
      <c r="H1362" s="72"/>
      <c r="I1362" s="72"/>
      <c r="J1362" s="72"/>
      <c r="K1362" s="72"/>
    </row>
    <row r="1363" spans="1:11">
      <c r="A1363" s="72"/>
      <c r="B1363" s="72"/>
      <c r="C1363" s="72"/>
      <c r="D1363" s="72"/>
      <c r="E1363" s="72"/>
      <c r="F1363" s="72"/>
      <c r="G1363" s="72"/>
      <c r="H1363" s="72"/>
      <c r="I1363" s="72"/>
      <c r="J1363" s="72"/>
      <c r="K1363" s="72"/>
    </row>
    <row r="1364" spans="1:11">
      <c r="A1364" s="72"/>
      <c r="B1364" s="72"/>
      <c r="C1364" s="72"/>
      <c r="D1364" s="72"/>
      <c r="E1364" s="72"/>
      <c r="F1364" s="72"/>
      <c r="G1364" s="72"/>
      <c r="H1364" s="72"/>
      <c r="I1364" s="72"/>
      <c r="J1364" s="72"/>
      <c r="K1364" s="72"/>
    </row>
    <row r="1365" spans="1:11">
      <c r="A1365" s="72"/>
      <c r="B1365" s="72"/>
      <c r="C1365" s="72"/>
      <c r="D1365" s="72"/>
      <c r="E1365" s="72"/>
      <c r="F1365" s="72"/>
      <c r="G1365" s="72"/>
      <c r="H1365" s="72"/>
      <c r="I1365" s="72"/>
      <c r="J1365" s="72"/>
      <c r="K1365" s="72"/>
    </row>
    <row r="1366" spans="1:11">
      <c r="A1366" s="72"/>
      <c r="B1366" s="72"/>
      <c r="C1366" s="72"/>
      <c r="D1366" s="72"/>
      <c r="E1366" s="72"/>
      <c r="F1366" s="72"/>
      <c r="G1366" s="72"/>
      <c r="H1366" s="72"/>
      <c r="I1366" s="72"/>
      <c r="J1366" s="72"/>
      <c r="K1366" s="72"/>
    </row>
    <row r="1367" spans="1:11">
      <c r="A1367" s="72"/>
      <c r="B1367" s="72"/>
      <c r="C1367" s="72"/>
      <c r="D1367" s="72"/>
      <c r="E1367" s="72"/>
      <c r="F1367" s="72"/>
      <c r="G1367" s="72"/>
      <c r="H1367" s="72"/>
      <c r="I1367" s="72"/>
      <c r="J1367" s="72"/>
      <c r="K1367" s="72"/>
    </row>
    <row r="1368" spans="1:11">
      <c r="A1368" s="72"/>
      <c r="B1368" s="72"/>
      <c r="C1368" s="72"/>
      <c r="D1368" s="72"/>
      <c r="E1368" s="72"/>
      <c r="F1368" s="72"/>
      <c r="G1368" s="72"/>
      <c r="H1368" s="72"/>
      <c r="I1368" s="72"/>
      <c r="J1368" s="72"/>
      <c r="K1368" s="72"/>
    </row>
    <row r="1369" spans="1:11">
      <c r="A1369" s="72"/>
      <c r="B1369" s="72"/>
      <c r="C1369" s="72"/>
      <c r="D1369" s="72"/>
      <c r="E1369" s="72"/>
      <c r="F1369" s="72"/>
      <c r="G1369" s="72"/>
      <c r="H1369" s="72"/>
      <c r="I1369" s="72"/>
      <c r="J1369" s="72"/>
      <c r="K1369" s="72"/>
    </row>
    <row r="1370" spans="1:11">
      <c r="A1370" s="72"/>
      <c r="B1370" s="72"/>
      <c r="C1370" s="72"/>
      <c r="D1370" s="72"/>
      <c r="E1370" s="72"/>
      <c r="F1370" s="72"/>
      <c r="G1370" s="72"/>
      <c r="H1370" s="72"/>
      <c r="I1370" s="72"/>
      <c r="J1370" s="72"/>
      <c r="K1370" s="72"/>
    </row>
    <row r="1371" spans="1:11">
      <c r="A1371" s="72"/>
      <c r="B1371" s="72"/>
      <c r="C1371" s="72"/>
      <c r="D1371" s="72"/>
      <c r="E1371" s="72"/>
      <c r="F1371" s="72"/>
      <c r="G1371" s="72"/>
      <c r="H1371" s="72"/>
      <c r="I1371" s="72"/>
      <c r="J1371" s="72"/>
      <c r="K1371" s="72"/>
    </row>
    <row r="1372" spans="1:11">
      <c r="A1372" s="72"/>
      <c r="B1372" s="72"/>
      <c r="C1372" s="72"/>
      <c r="D1372" s="72"/>
      <c r="E1372" s="72"/>
      <c r="F1372" s="72"/>
      <c r="G1372" s="72"/>
      <c r="H1372" s="72"/>
      <c r="I1372" s="72"/>
      <c r="J1372" s="72"/>
      <c r="K1372" s="72"/>
    </row>
    <row r="1373" spans="1:11">
      <c r="A1373" s="72"/>
      <c r="B1373" s="72"/>
      <c r="C1373" s="72"/>
      <c r="D1373" s="72"/>
      <c r="E1373" s="72"/>
      <c r="F1373" s="72"/>
      <c r="G1373" s="72"/>
      <c r="H1373" s="72"/>
      <c r="I1373" s="72"/>
      <c r="J1373" s="72"/>
      <c r="K1373" s="72"/>
    </row>
    <row r="1374" spans="1:11">
      <c r="A1374" s="72"/>
      <c r="B1374" s="72"/>
      <c r="C1374" s="72"/>
      <c r="D1374" s="72"/>
      <c r="E1374" s="72"/>
      <c r="F1374" s="72"/>
      <c r="G1374" s="72"/>
      <c r="H1374" s="72"/>
      <c r="I1374" s="72"/>
      <c r="J1374" s="72"/>
      <c r="K1374" s="72"/>
    </row>
    <row r="1375" spans="1:11">
      <c r="A1375" s="72"/>
      <c r="B1375" s="72"/>
      <c r="C1375" s="72"/>
      <c r="D1375" s="72"/>
      <c r="E1375" s="72"/>
      <c r="F1375" s="72"/>
      <c r="G1375" s="72"/>
      <c r="H1375" s="72"/>
      <c r="I1375" s="72"/>
      <c r="J1375" s="72"/>
      <c r="K1375" s="72"/>
    </row>
    <row r="1376" spans="1:11">
      <c r="A1376" s="72"/>
      <c r="B1376" s="72"/>
      <c r="C1376" s="72"/>
      <c r="D1376" s="72"/>
      <c r="E1376" s="72"/>
      <c r="F1376" s="72"/>
      <c r="G1376" s="72"/>
      <c r="H1376" s="72"/>
      <c r="I1376" s="72"/>
      <c r="J1376" s="72"/>
      <c r="K1376" s="72"/>
    </row>
    <row r="1377" spans="1:11">
      <c r="A1377" s="72"/>
      <c r="B1377" s="72"/>
      <c r="C1377" s="72"/>
      <c r="D1377" s="72"/>
      <c r="E1377" s="72"/>
      <c r="F1377" s="72"/>
      <c r="G1377" s="72"/>
      <c r="H1377" s="72"/>
      <c r="I1377" s="72"/>
      <c r="J1377" s="72"/>
      <c r="K1377" s="72"/>
    </row>
    <row r="1378" spans="1:11">
      <c r="A1378" s="72"/>
      <c r="B1378" s="72"/>
      <c r="C1378" s="72"/>
      <c r="D1378" s="72"/>
      <c r="E1378" s="72"/>
      <c r="F1378" s="72"/>
      <c r="G1378" s="72"/>
      <c r="H1378" s="72"/>
      <c r="I1378" s="72"/>
      <c r="J1378" s="72"/>
      <c r="K1378" s="72"/>
    </row>
    <row r="1379" spans="1:11">
      <c r="A1379" s="72"/>
      <c r="B1379" s="72"/>
      <c r="C1379" s="72"/>
      <c r="D1379" s="72"/>
      <c r="E1379" s="72"/>
      <c r="F1379" s="72"/>
      <c r="G1379" s="72"/>
      <c r="H1379" s="72"/>
      <c r="I1379" s="72"/>
      <c r="J1379" s="72"/>
      <c r="K1379" s="72"/>
    </row>
    <row r="1380" spans="1:11">
      <c r="A1380" s="72"/>
      <c r="B1380" s="72"/>
      <c r="C1380" s="72"/>
      <c r="D1380" s="72"/>
      <c r="E1380" s="72"/>
      <c r="F1380" s="72"/>
      <c r="G1380" s="72"/>
      <c r="H1380" s="72"/>
      <c r="I1380" s="72"/>
      <c r="J1380" s="72"/>
      <c r="K1380" s="72"/>
    </row>
    <row r="1381" spans="1:11">
      <c r="A1381" s="72"/>
      <c r="B1381" s="72"/>
      <c r="C1381" s="72"/>
      <c r="D1381" s="72"/>
      <c r="E1381" s="72"/>
      <c r="F1381" s="72"/>
      <c r="G1381" s="72"/>
      <c r="H1381" s="72"/>
      <c r="I1381" s="72"/>
      <c r="J1381" s="72"/>
      <c r="K1381" s="72"/>
    </row>
    <row r="1382" spans="1:11">
      <c r="A1382" s="72"/>
      <c r="B1382" s="72"/>
      <c r="C1382" s="72"/>
      <c r="D1382" s="72"/>
      <c r="E1382" s="72"/>
      <c r="F1382" s="72"/>
      <c r="G1382" s="72"/>
      <c r="H1382" s="72"/>
      <c r="I1382" s="72"/>
      <c r="J1382" s="72"/>
      <c r="K1382" s="72"/>
    </row>
    <row r="1383" spans="1:11">
      <c r="A1383" s="72"/>
      <c r="B1383" s="72"/>
      <c r="C1383" s="72"/>
      <c r="D1383" s="72"/>
      <c r="E1383" s="72"/>
      <c r="F1383" s="72"/>
      <c r="G1383" s="72"/>
      <c r="H1383" s="72"/>
      <c r="I1383" s="72"/>
      <c r="J1383" s="72"/>
      <c r="K1383" s="72"/>
    </row>
    <row r="1384" spans="1:11">
      <c r="A1384" s="72"/>
      <c r="B1384" s="72"/>
      <c r="C1384" s="72"/>
      <c r="D1384" s="72"/>
      <c r="E1384" s="72"/>
      <c r="F1384" s="72"/>
      <c r="G1384" s="72"/>
      <c r="H1384" s="72"/>
      <c r="I1384" s="72"/>
      <c r="J1384" s="72"/>
      <c r="K1384" s="72"/>
    </row>
    <row r="1385" spans="1:11">
      <c r="A1385" s="72"/>
      <c r="B1385" s="72"/>
      <c r="C1385" s="72"/>
      <c r="D1385" s="72"/>
      <c r="E1385" s="72"/>
      <c r="F1385" s="72"/>
      <c r="G1385" s="72"/>
      <c r="H1385" s="72"/>
      <c r="I1385" s="72"/>
      <c r="J1385" s="72"/>
      <c r="K1385" s="72"/>
    </row>
    <row r="1386" spans="1:11">
      <c r="A1386" s="72"/>
      <c r="B1386" s="72"/>
      <c r="C1386" s="72"/>
      <c r="D1386" s="72"/>
      <c r="E1386" s="72"/>
      <c r="F1386" s="72"/>
      <c r="G1386" s="72"/>
      <c r="H1386" s="72"/>
      <c r="I1386" s="72"/>
      <c r="J1386" s="72"/>
      <c r="K1386" s="72"/>
    </row>
    <row r="1387" spans="1:11">
      <c r="A1387" s="72"/>
      <c r="B1387" s="72"/>
      <c r="C1387" s="72"/>
      <c r="D1387" s="72"/>
      <c r="E1387" s="72"/>
      <c r="F1387" s="72"/>
      <c r="G1387" s="72"/>
      <c r="H1387" s="72"/>
      <c r="I1387" s="72"/>
      <c r="J1387" s="72"/>
      <c r="K1387" s="72"/>
    </row>
    <row r="1388" spans="1:11">
      <c r="A1388" s="72"/>
      <c r="B1388" s="72"/>
      <c r="C1388" s="72"/>
      <c r="D1388" s="72"/>
      <c r="E1388" s="72"/>
      <c r="F1388" s="72"/>
      <c r="G1388" s="72"/>
      <c r="H1388" s="72"/>
      <c r="I1388" s="72"/>
      <c r="J1388" s="72"/>
      <c r="K1388" s="72"/>
    </row>
    <row r="1389" spans="1:11">
      <c r="A1389" s="72"/>
      <c r="B1389" s="72"/>
      <c r="C1389" s="72"/>
      <c r="D1389" s="72"/>
      <c r="E1389" s="72"/>
      <c r="F1389" s="72"/>
      <c r="G1389" s="72"/>
      <c r="H1389" s="72"/>
      <c r="I1389" s="72"/>
      <c r="J1389" s="72"/>
      <c r="K1389" s="72"/>
    </row>
    <row r="1390" spans="1:11">
      <c r="A1390" s="72"/>
      <c r="B1390" s="72"/>
      <c r="C1390" s="72"/>
      <c r="D1390" s="72"/>
      <c r="E1390" s="72"/>
      <c r="F1390" s="72"/>
      <c r="G1390" s="72"/>
      <c r="H1390" s="72"/>
      <c r="I1390" s="72"/>
      <c r="J1390" s="72"/>
      <c r="K1390" s="72"/>
    </row>
    <row r="1391" spans="1:11">
      <c r="A1391" s="72"/>
      <c r="B1391" s="72"/>
      <c r="C1391" s="72"/>
      <c r="D1391" s="72"/>
      <c r="E1391" s="72"/>
      <c r="F1391" s="72"/>
      <c r="G1391" s="72"/>
      <c r="H1391" s="72"/>
      <c r="I1391" s="72"/>
      <c r="J1391" s="72"/>
      <c r="K1391" s="72"/>
    </row>
    <row r="1392" spans="1:11">
      <c r="A1392" s="72"/>
      <c r="B1392" s="72"/>
      <c r="C1392" s="72"/>
      <c r="D1392" s="72"/>
      <c r="E1392" s="72"/>
      <c r="F1392" s="72"/>
      <c r="G1392" s="72"/>
      <c r="H1392" s="72"/>
      <c r="I1392" s="72"/>
      <c r="J1392" s="72"/>
      <c r="K1392" s="72"/>
    </row>
    <row r="1393" spans="1:11">
      <c r="A1393" s="72"/>
      <c r="B1393" s="72"/>
      <c r="C1393" s="72"/>
      <c r="D1393" s="72"/>
      <c r="E1393" s="72"/>
      <c r="F1393" s="72"/>
      <c r="G1393" s="72"/>
      <c r="H1393" s="72"/>
      <c r="I1393" s="72"/>
      <c r="J1393" s="72"/>
      <c r="K1393" s="72"/>
    </row>
    <row r="1394" spans="1:11">
      <c r="A1394" s="72"/>
      <c r="B1394" s="72"/>
      <c r="C1394" s="72"/>
      <c r="D1394" s="72"/>
      <c r="E1394" s="72"/>
      <c r="F1394" s="72"/>
      <c r="G1394" s="72"/>
      <c r="H1394" s="72"/>
      <c r="I1394" s="72"/>
      <c r="J1394" s="72"/>
      <c r="K1394" s="72"/>
    </row>
    <row r="1395" spans="1:11">
      <c r="A1395" s="72"/>
      <c r="B1395" s="72"/>
      <c r="C1395" s="72"/>
      <c r="D1395" s="72"/>
      <c r="E1395" s="72"/>
      <c r="F1395" s="72"/>
      <c r="G1395" s="72"/>
      <c r="H1395" s="72"/>
      <c r="I1395" s="72"/>
      <c r="J1395" s="72"/>
      <c r="K1395" s="72"/>
    </row>
    <row r="1396" spans="1:11">
      <c r="A1396" s="72"/>
      <c r="B1396" s="72"/>
      <c r="C1396" s="72"/>
      <c r="D1396" s="72"/>
      <c r="E1396" s="72"/>
      <c r="F1396" s="72"/>
      <c r="G1396" s="72"/>
      <c r="H1396" s="72"/>
      <c r="I1396" s="72"/>
      <c r="J1396" s="72"/>
      <c r="K1396" s="72"/>
    </row>
    <row r="1397" spans="1:11">
      <c r="A1397" s="72"/>
      <c r="B1397" s="72"/>
      <c r="C1397" s="72"/>
      <c r="D1397" s="72"/>
      <c r="E1397" s="72"/>
      <c r="F1397" s="72"/>
      <c r="G1397" s="72"/>
      <c r="H1397" s="72"/>
      <c r="I1397" s="72"/>
      <c r="J1397" s="72"/>
      <c r="K1397" s="72"/>
    </row>
    <row r="1398" spans="1:11">
      <c r="A1398" s="72"/>
      <c r="B1398" s="72"/>
      <c r="C1398" s="72"/>
      <c r="D1398" s="72"/>
      <c r="E1398" s="72"/>
      <c r="F1398" s="72"/>
      <c r="G1398" s="72"/>
      <c r="H1398" s="72"/>
      <c r="I1398" s="72"/>
      <c r="J1398" s="72"/>
      <c r="K1398" s="72"/>
    </row>
    <row r="1399" spans="1:11">
      <c r="A1399" s="72"/>
      <c r="B1399" s="72"/>
      <c r="C1399" s="72"/>
      <c r="D1399" s="72"/>
      <c r="E1399" s="72"/>
      <c r="F1399" s="72"/>
      <c r="G1399" s="72"/>
      <c r="H1399" s="72"/>
      <c r="I1399" s="72"/>
      <c r="J1399" s="72"/>
      <c r="K1399" s="72"/>
    </row>
    <row r="1400" spans="1:11">
      <c r="A1400" s="72"/>
      <c r="B1400" s="72"/>
      <c r="C1400" s="72"/>
      <c r="D1400" s="72"/>
      <c r="E1400" s="72"/>
      <c r="F1400" s="72"/>
      <c r="G1400" s="72"/>
      <c r="H1400" s="72"/>
      <c r="I1400" s="72"/>
      <c r="J1400" s="72"/>
      <c r="K1400" s="72"/>
    </row>
    <row r="1401" spans="1:11">
      <c r="A1401" s="72"/>
      <c r="B1401" s="72"/>
      <c r="C1401" s="72"/>
      <c r="D1401" s="72"/>
      <c r="E1401" s="72"/>
      <c r="F1401" s="72"/>
      <c r="G1401" s="72"/>
      <c r="H1401" s="72"/>
      <c r="I1401" s="72"/>
      <c r="J1401" s="72"/>
      <c r="K1401" s="72"/>
    </row>
    <row r="1402" spans="1:11">
      <c r="A1402" s="72"/>
      <c r="B1402" s="72"/>
      <c r="C1402" s="72"/>
      <c r="D1402" s="72"/>
      <c r="E1402" s="72"/>
      <c r="F1402" s="72"/>
      <c r="G1402" s="72"/>
      <c r="H1402" s="72"/>
      <c r="I1402" s="72"/>
      <c r="J1402" s="72"/>
      <c r="K1402" s="72"/>
    </row>
    <row r="1403" spans="1:11">
      <c r="A1403" s="72"/>
      <c r="B1403" s="72"/>
      <c r="C1403" s="72"/>
      <c r="D1403" s="72"/>
      <c r="E1403" s="72"/>
      <c r="F1403" s="72"/>
      <c r="G1403" s="72"/>
      <c r="H1403" s="72"/>
      <c r="I1403" s="72"/>
      <c r="J1403" s="72"/>
      <c r="K1403" s="72"/>
    </row>
    <row r="1404" spans="1:11">
      <c r="A1404" s="72"/>
      <c r="B1404" s="72"/>
      <c r="C1404" s="72"/>
      <c r="D1404" s="72"/>
      <c r="E1404" s="72"/>
      <c r="F1404" s="72"/>
      <c r="G1404" s="72"/>
      <c r="H1404" s="72"/>
      <c r="I1404" s="72"/>
      <c r="J1404" s="72"/>
      <c r="K1404" s="72"/>
    </row>
    <row r="1405" spans="1:11">
      <c r="A1405" s="72"/>
      <c r="B1405" s="72"/>
      <c r="C1405" s="72"/>
      <c r="D1405" s="72"/>
      <c r="E1405" s="72"/>
      <c r="F1405" s="72"/>
      <c r="G1405" s="72"/>
      <c r="H1405" s="72"/>
      <c r="I1405" s="72"/>
      <c r="J1405" s="72"/>
      <c r="K1405" s="72"/>
    </row>
    <row r="1406" spans="1:11">
      <c r="A1406" s="72"/>
      <c r="B1406" s="72"/>
      <c r="C1406" s="72"/>
      <c r="D1406" s="72"/>
      <c r="E1406" s="72"/>
      <c r="F1406" s="72"/>
      <c r="G1406" s="72"/>
      <c r="H1406" s="72"/>
      <c r="I1406" s="72"/>
      <c r="J1406" s="72"/>
      <c r="K1406" s="72"/>
    </row>
    <row r="1407" spans="1:11">
      <c r="A1407" s="72"/>
      <c r="B1407" s="72"/>
      <c r="C1407" s="72"/>
      <c r="D1407" s="72"/>
      <c r="E1407" s="72"/>
      <c r="F1407" s="72"/>
      <c r="G1407" s="72"/>
      <c r="H1407" s="72"/>
      <c r="I1407" s="72"/>
      <c r="J1407" s="72"/>
      <c r="K1407" s="72"/>
    </row>
    <row r="1408" spans="1:11">
      <c r="A1408" s="72"/>
      <c r="B1408" s="72"/>
      <c r="C1408" s="72"/>
      <c r="D1408" s="72"/>
      <c r="E1408" s="72"/>
      <c r="F1408" s="72"/>
      <c r="G1408" s="72"/>
      <c r="H1408" s="72"/>
      <c r="I1408" s="72"/>
      <c r="J1408" s="72"/>
      <c r="K1408" s="72"/>
    </row>
    <row r="1409" spans="1:11">
      <c r="A1409" s="72"/>
      <c r="B1409" s="72"/>
      <c r="C1409" s="72"/>
      <c r="D1409" s="72"/>
      <c r="E1409" s="72"/>
      <c r="F1409" s="72"/>
      <c r="G1409" s="72"/>
      <c r="H1409" s="72"/>
      <c r="I1409" s="72"/>
      <c r="J1409" s="72"/>
      <c r="K1409" s="72"/>
    </row>
    <row r="1410" spans="1:11">
      <c r="A1410" s="72"/>
      <c r="B1410" s="72"/>
      <c r="C1410" s="72"/>
      <c r="D1410" s="72"/>
      <c r="E1410" s="72"/>
      <c r="F1410" s="72"/>
      <c r="G1410" s="72"/>
      <c r="H1410" s="72"/>
      <c r="I1410" s="72"/>
      <c r="J1410" s="72"/>
      <c r="K1410" s="72"/>
    </row>
    <row r="1411" spans="1:11">
      <c r="A1411" s="72"/>
      <c r="B1411" s="72"/>
      <c r="C1411" s="72"/>
      <c r="D1411" s="72"/>
      <c r="E1411" s="72"/>
      <c r="F1411" s="72"/>
      <c r="G1411" s="72"/>
      <c r="H1411" s="72"/>
      <c r="I1411" s="72"/>
      <c r="J1411" s="72"/>
      <c r="K1411" s="72"/>
    </row>
    <row r="1412" spans="1:11">
      <c r="A1412" s="72"/>
      <c r="B1412" s="72"/>
      <c r="C1412" s="72"/>
      <c r="D1412" s="72"/>
      <c r="E1412" s="72"/>
      <c r="F1412" s="72"/>
      <c r="G1412" s="72"/>
      <c r="H1412" s="72"/>
      <c r="I1412" s="72"/>
      <c r="J1412" s="72"/>
      <c r="K1412" s="72"/>
    </row>
    <row r="1413" spans="1:11">
      <c r="A1413" s="72"/>
      <c r="B1413" s="72"/>
      <c r="C1413" s="72"/>
      <c r="D1413" s="72"/>
      <c r="E1413" s="72"/>
      <c r="F1413" s="72"/>
      <c r="G1413" s="72"/>
      <c r="H1413" s="72"/>
      <c r="I1413" s="72"/>
      <c r="J1413" s="72"/>
      <c r="K1413" s="72"/>
    </row>
    <row r="1414" spans="1:11">
      <c r="A1414" s="72"/>
      <c r="B1414" s="72"/>
      <c r="C1414" s="72"/>
      <c r="D1414" s="72"/>
      <c r="E1414" s="72"/>
      <c r="F1414" s="72"/>
      <c r="G1414" s="72"/>
      <c r="H1414" s="72"/>
      <c r="I1414" s="72"/>
      <c r="J1414" s="72"/>
      <c r="K1414" s="72"/>
    </row>
    <row r="1415" spans="1:11">
      <c r="A1415" s="72"/>
      <c r="B1415" s="72"/>
      <c r="C1415" s="72"/>
      <c r="D1415" s="72"/>
      <c r="E1415" s="72"/>
      <c r="F1415" s="72"/>
      <c r="G1415" s="72"/>
      <c r="H1415" s="72"/>
      <c r="I1415" s="72"/>
      <c r="J1415" s="72"/>
      <c r="K1415" s="72"/>
    </row>
    <row r="1416" spans="1:11">
      <c r="A1416" s="72"/>
      <c r="B1416" s="72"/>
      <c r="C1416" s="72"/>
      <c r="D1416" s="72"/>
      <c r="E1416" s="72"/>
      <c r="F1416" s="72"/>
      <c r="G1416" s="72"/>
      <c r="H1416" s="72"/>
      <c r="I1416" s="72"/>
      <c r="J1416" s="72"/>
      <c r="K1416" s="72"/>
    </row>
    <row r="1417" spans="1:11">
      <c r="A1417" s="72"/>
      <c r="B1417" s="72"/>
      <c r="C1417" s="72"/>
      <c r="D1417" s="72"/>
      <c r="E1417" s="72"/>
      <c r="F1417" s="72"/>
      <c r="G1417" s="72"/>
      <c r="H1417" s="72"/>
      <c r="I1417" s="72"/>
      <c r="J1417" s="72"/>
      <c r="K1417" s="72"/>
    </row>
    <row r="1418" spans="1:11">
      <c r="A1418" s="72"/>
      <c r="B1418" s="72"/>
      <c r="C1418" s="72"/>
      <c r="D1418" s="72"/>
      <c r="E1418" s="72"/>
      <c r="F1418" s="72"/>
      <c r="G1418" s="72"/>
      <c r="H1418" s="72"/>
      <c r="I1418" s="72"/>
      <c r="J1418" s="72"/>
      <c r="K1418" s="72"/>
    </row>
    <row r="1419" spans="1:11">
      <c r="A1419" s="72"/>
      <c r="B1419" s="72"/>
      <c r="C1419" s="72"/>
      <c r="D1419" s="72"/>
      <c r="E1419" s="72"/>
      <c r="F1419" s="72"/>
      <c r="G1419" s="72"/>
      <c r="H1419" s="72"/>
      <c r="I1419" s="72"/>
      <c r="J1419" s="72"/>
      <c r="K1419" s="72"/>
    </row>
    <row r="1420" spans="1:11">
      <c r="A1420" s="72"/>
      <c r="B1420" s="72"/>
      <c r="C1420" s="72"/>
      <c r="D1420" s="72"/>
      <c r="E1420" s="72"/>
      <c r="F1420" s="72"/>
      <c r="G1420" s="72"/>
      <c r="H1420" s="72"/>
      <c r="I1420" s="72"/>
      <c r="J1420" s="72"/>
      <c r="K1420" s="72"/>
    </row>
    <row r="1421" spans="1:11">
      <c r="A1421" s="72"/>
      <c r="B1421" s="72"/>
      <c r="C1421" s="72"/>
      <c r="D1421" s="72"/>
      <c r="E1421" s="72"/>
      <c r="F1421" s="72"/>
      <c r="G1421" s="72"/>
      <c r="H1421" s="72"/>
      <c r="I1421" s="72"/>
      <c r="J1421" s="72"/>
      <c r="K1421" s="72"/>
    </row>
    <row r="1422" spans="1:11">
      <c r="A1422" s="72"/>
      <c r="B1422" s="72"/>
      <c r="C1422" s="72"/>
      <c r="D1422" s="72"/>
      <c r="E1422" s="72"/>
      <c r="F1422" s="72"/>
      <c r="G1422" s="72"/>
      <c r="H1422" s="72"/>
      <c r="I1422" s="72"/>
      <c r="J1422" s="72"/>
      <c r="K1422" s="72"/>
    </row>
    <row r="1423" spans="1:11">
      <c r="A1423" s="72"/>
      <c r="B1423" s="72"/>
      <c r="C1423" s="72"/>
      <c r="D1423" s="72"/>
      <c r="E1423" s="72"/>
      <c r="F1423" s="72"/>
      <c r="G1423" s="72"/>
      <c r="H1423" s="72"/>
      <c r="I1423" s="72"/>
      <c r="J1423" s="72"/>
      <c r="K1423" s="72"/>
    </row>
    <row r="1424" spans="1:11">
      <c r="A1424" s="72"/>
      <c r="B1424" s="72"/>
      <c r="C1424" s="72"/>
      <c r="D1424" s="72"/>
      <c r="E1424" s="72"/>
      <c r="F1424" s="72"/>
      <c r="G1424" s="72"/>
      <c r="H1424" s="72"/>
      <c r="I1424" s="72"/>
      <c r="J1424" s="72"/>
      <c r="K1424" s="72"/>
    </row>
    <row r="1425" spans="1:11">
      <c r="A1425" s="72"/>
      <c r="B1425" s="72"/>
      <c r="C1425" s="72"/>
      <c r="D1425" s="72"/>
      <c r="E1425" s="72"/>
      <c r="F1425" s="72"/>
      <c r="G1425" s="72"/>
      <c r="H1425" s="72"/>
      <c r="I1425" s="72"/>
      <c r="J1425" s="72"/>
      <c r="K1425" s="72"/>
    </row>
    <row r="1426" spans="1:11">
      <c r="A1426" s="72"/>
      <c r="B1426" s="72"/>
      <c r="C1426" s="72"/>
      <c r="D1426" s="72"/>
      <c r="E1426" s="72"/>
      <c r="F1426" s="72"/>
      <c r="G1426" s="72"/>
      <c r="H1426" s="72"/>
      <c r="I1426" s="72"/>
      <c r="J1426" s="72"/>
      <c r="K1426" s="72"/>
    </row>
    <row r="1427" spans="1:11">
      <c r="A1427" s="72"/>
      <c r="B1427" s="72"/>
      <c r="C1427" s="72"/>
      <c r="D1427" s="72"/>
      <c r="E1427" s="72"/>
      <c r="F1427" s="72"/>
      <c r="G1427" s="72"/>
      <c r="H1427" s="72"/>
      <c r="I1427" s="72"/>
      <c r="J1427" s="72"/>
      <c r="K1427" s="72"/>
    </row>
    <row r="1428" spans="1:11">
      <c r="A1428" s="72"/>
      <c r="B1428" s="72"/>
      <c r="C1428" s="72"/>
      <c r="D1428" s="72"/>
      <c r="E1428" s="72"/>
      <c r="F1428" s="72"/>
      <c r="G1428" s="72"/>
      <c r="H1428" s="72"/>
      <c r="I1428" s="72"/>
      <c r="J1428" s="72"/>
      <c r="K1428" s="72"/>
    </row>
    <row r="1429" spans="1:11">
      <c r="A1429" s="72"/>
      <c r="B1429" s="72"/>
      <c r="C1429" s="72"/>
      <c r="D1429" s="72"/>
      <c r="E1429" s="72"/>
      <c r="F1429" s="72"/>
      <c r="G1429" s="72"/>
      <c r="H1429" s="72"/>
      <c r="I1429" s="72"/>
      <c r="J1429" s="72"/>
      <c r="K1429" s="72"/>
    </row>
    <row r="1430" spans="1:11">
      <c r="A1430" s="72"/>
      <c r="B1430" s="72"/>
      <c r="C1430" s="72"/>
      <c r="D1430" s="72"/>
      <c r="E1430" s="72"/>
      <c r="F1430" s="72"/>
      <c r="G1430" s="72"/>
      <c r="H1430" s="72"/>
      <c r="I1430" s="72"/>
      <c r="J1430" s="72"/>
      <c r="K1430" s="72"/>
    </row>
    <row r="1431" spans="1:11">
      <c r="A1431" s="72"/>
      <c r="B1431" s="72"/>
      <c r="C1431" s="72"/>
      <c r="D1431" s="72"/>
      <c r="E1431" s="72"/>
      <c r="F1431" s="72"/>
      <c r="G1431" s="72"/>
      <c r="H1431" s="72"/>
      <c r="I1431" s="72"/>
      <c r="J1431" s="72"/>
      <c r="K1431" s="72"/>
    </row>
    <row r="1432" spans="1:11">
      <c r="A1432" s="72"/>
      <c r="B1432" s="72"/>
      <c r="C1432" s="72"/>
      <c r="D1432" s="72"/>
      <c r="E1432" s="72"/>
      <c r="F1432" s="72"/>
      <c r="G1432" s="72"/>
      <c r="H1432" s="72"/>
      <c r="I1432" s="72"/>
      <c r="J1432" s="72"/>
      <c r="K1432" s="72"/>
    </row>
    <row r="1433" spans="1:11">
      <c r="A1433" s="72"/>
      <c r="B1433" s="72"/>
      <c r="C1433" s="72"/>
      <c r="D1433" s="72"/>
      <c r="E1433" s="72"/>
      <c r="F1433" s="72"/>
      <c r="G1433" s="72"/>
      <c r="H1433" s="72"/>
      <c r="I1433" s="72"/>
      <c r="J1433" s="72"/>
      <c r="K1433" s="72"/>
    </row>
    <row r="1434" spans="1:11">
      <c r="A1434" s="72"/>
      <c r="B1434" s="72"/>
      <c r="C1434" s="72"/>
      <c r="D1434" s="72"/>
      <c r="E1434" s="72"/>
      <c r="F1434" s="72"/>
      <c r="G1434" s="72"/>
      <c r="H1434" s="72"/>
      <c r="I1434" s="72"/>
      <c r="J1434" s="72"/>
      <c r="K1434" s="72"/>
    </row>
    <row r="1435" spans="1:11">
      <c r="A1435" s="72"/>
      <c r="B1435" s="72"/>
      <c r="C1435" s="72"/>
      <c r="D1435" s="72"/>
      <c r="E1435" s="72"/>
      <c r="F1435" s="72"/>
      <c r="G1435" s="72"/>
      <c r="H1435" s="72"/>
      <c r="I1435" s="72"/>
      <c r="J1435" s="72"/>
      <c r="K1435" s="72"/>
    </row>
    <row r="1436" spans="1:11">
      <c r="A1436" s="72"/>
      <c r="B1436" s="72"/>
      <c r="C1436" s="72"/>
      <c r="D1436" s="72"/>
      <c r="E1436" s="72"/>
      <c r="F1436" s="72"/>
      <c r="G1436" s="72"/>
      <c r="H1436" s="72"/>
      <c r="I1436" s="72"/>
      <c r="J1436" s="72"/>
      <c r="K1436" s="72"/>
    </row>
    <row r="1437" spans="1:11">
      <c r="A1437" s="72"/>
      <c r="B1437" s="72"/>
      <c r="C1437" s="72"/>
      <c r="D1437" s="72"/>
      <c r="E1437" s="72"/>
      <c r="F1437" s="72"/>
      <c r="G1437" s="72"/>
      <c r="H1437" s="72"/>
      <c r="I1437" s="72"/>
      <c r="J1437" s="72"/>
      <c r="K1437" s="72"/>
    </row>
  </sheetData>
  <autoFilter ref="A1:M325" xr:uid="{00000000-0001-0000-0200-000000000000}"/>
  <hyperlinks>
    <hyperlink ref="L2" r:id="rId1" xr:uid="{00000000-0004-0000-0200-000000000000}"/>
    <hyperlink ref="M2" r:id="rId2" xr:uid="{00000000-0004-0000-0200-000001000000}"/>
    <hyperlink ref="L3" r:id="rId3" xr:uid="{00000000-0004-0000-0200-000002000000}"/>
    <hyperlink ref="M3" r:id="rId4" xr:uid="{00000000-0004-0000-0200-000003000000}"/>
    <hyperlink ref="L4" r:id="rId5" xr:uid="{00000000-0004-0000-0200-000004000000}"/>
    <hyperlink ref="M4" r:id="rId6" xr:uid="{00000000-0004-0000-0200-000005000000}"/>
    <hyperlink ref="L5" r:id="rId7" xr:uid="{00000000-0004-0000-0200-000006000000}"/>
    <hyperlink ref="M5" r:id="rId8" xr:uid="{00000000-0004-0000-0200-000007000000}"/>
    <hyperlink ref="L6" r:id="rId9" xr:uid="{00000000-0004-0000-0200-000008000000}"/>
    <hyperlink ref="M6" r:id="rId10" xr:uid="{00000000-0004-0000-0200-000009000000}"/>
    <hyperlink ref="L7" r:id="rId11" xr:uid="{00000000-0004-0000-0200-00000A000000}"/>
    <hyperlink ref="M7" r:id="rId12" xr:uid="{00000000-0004-0000-0200-00000B000000}"/>
    <hyperlink ref="L8" r:id="rId13" xr:uid="{00000000-0004-0000-0200-00000C000000}"/>
    <hyperlink ref="M8" r:id="rId14" xr:uid="{00000000-0004-0000-0200-00000D000000}"/>
    <hyperlink ref="L9" r:id="rId15" xr:uid="{00000000-0004-0000-0200-00000E000000}"/>
    <hyperlink ref="M9" r:id="rId16" xr:uid="{00000000-0004-0000-0200-00000F000000}"/>
    <hyperlink ref="L10" r:id="rId17" xr:uid="{00000000-0004-0000-0200-000010000000}"/>
    <hyperlink ref="M10" r:id="rId18" xr:uid="{00000000-0004-0000-0200-000011000000}"/>
    <hyperlink ref="L11" r:id="rId19" xr:uid="{00000000-0004-0000-0200-000012000000}"/>
    <hyperlink ref="M11" r:id="rId20" xr:uid="{00000000-0004-0000-0200-000013000000}"/>
    <hyperlink ref="L12" r:id="rId21" xr:uid="{00000000-0004-0000-0200-000014000000}"/>
    <hyperlink ref="M12" r:id="rId22" xr:uid="{00000000-0004-0000-0200-000015000000}"/>
    <hyperlink ref="L13" r:id="rId23" xr:uid="{00000000-0004-0000-0200-000016000000}"/>
    <hyperlink ref="M13" r:id="rId24" xr:uid="{00000000-0004-0000-0200-000017000000}"/>
    <hyperlink ref="M14" r:id="rId25" xr:uid="{00000000-0004-0000-0200-000018000000}"/>
    <hyperlink ref="L15" r:id="rId26" xr:uid="{00000000-0004-0000-0200-000019000000}"/>
    <hyperlink ref="M15" r:id="rId27" xr:uid="{00000000-0004-0000-0200-00001A000000}"/>
    <hyperlink ref="L16" r:id="rId28" xr:uid="{00000000-0004-0000-0200-00001B000000}"/>
    <hyperlink ref="M16" r:id="rId29" xr:uid="{00000000-0004-0000-0200-00001C000000}"/>
    <hyperlink ref="L17" r:id="rId30" xr:uid="{00000000-0004-0000-0200-00001D000000}"/>
    <hyperlink ref="M17" r:id="rId31" xr:uid="{00000000-0004-0000-0200-00001E000000}"/>
    <hyperlink ref="M18" r:id="rId32" xr:uid="{00000000-0004-0000-0200-00001F000000}"/>
    <hyperlink ref="L19" r:id="rId33" xr:uid="{00000000-0004-0000-0200-000020000000}"/>
    <hyperlink ref="M19" r:id="rId34" xr:uid="{00000000-0004-0000-0200-000021000000}"/>
    <hyperlink ref="L20" r:id="rId35" xr:uid="{00000000-0004-0000-0200-000022000000}"/>
    <hyperlink ref="M20" r:id="rId36" xr:uid="{00000000-0004-0000-0200-000023000000}"/>
    <hyperlink ref="L21" r:id="rId37" xr:uid="{00000000-0004-0000-0200-000024000000}"/>
    <hyperlink ref="M21" r:id="rId38" xr:uid="{00000000-0004-0000-0200-000025000000}"/>
    <hyperlink ref="L22" r:id="rId39" xr:uid="{00000000-0004-0000-0200-000026000000}"/>
    <hyperlink ref="M22" r:id="rId40" xr:uid="{00000000-0004-0000-0200-000027000000}"/>
    <hyperlink ref="L23" r:id="rId41" xr:uid="{00000000-0004-0000-0200-000028000000}"/>
    <hyperlink ref="M23" r:id="rId42" xr:uid="{00000000-0004-0000-0200-000029000000}"/>
    <hyperlink ref="L24" r:id="rId43" xr:uid="{00000000-0004-0000-0200-00002A000000}"/>
    <hyperlink ref="M24" r:id="rId44" xr:uid="{00000000-0004-0000-0200-00002B000000}"/>
    <hyperlink ref="K25" r:id="rId45" display="комунальний ,https://youcontrol.com.ua/search/?q=%D0%9B%D1%83%D1%86%D1%8C%D0%BA%D0%B8%D0%B9+%D0%BC%D1%96%D1%81%D1%8C%D0%BA%D0%B8%D0%B9+%D0%BC%D0%BE%D0%BB%D0%BE%D0%B4%D1%96%D0%B6%D0%BD%D0%B8%D0%B9+%D1%86%D0%B5%D0%BD%D1%82%D1%80" xr:uid="{00000000-0004-0000-0200-00002C000000}"/>
    <hyperlink ref="L25" r:id="rId46" xr:uid="{00000000-0004-0000-0200-00002D000000}"/>
    <hyperlink ref="M25" r:id="rId47" xr:uid="{00000000-0004-0000-0200-00002E000000}"/>
    <hyperlink ref="L26" r:id="rId48" xr:uid="{00000000-0004-0000-0200-00002F000000}"/>
    <hyperlink ref="M26" r:id="rId49" xr:uid="{00000000-0004-0000-0200-000030000000}"/>
    <hyperlink ref="L27" r:id="rId50" xr:uid="{00000000-0004-0000-0200-000031000000}"/>
    <hyperlink ref="M27" r:id="rId51" xr:uid="{00000000-0004-0000-0200-000032000000}"/>
    <hyperlink ref="L28" r:id="rId52" xr:uid="{00000000-0004-0000-0200-000033000000}"/>
    <hyperlink ref="M28" r:id="rId53" xr:uid="{00000000-0004-0000-0200-000034000000}"/>
    <hyperlink ref="L29" r:id="rId54" xr:uid="{00000000-0004-0000-0200-000035000000}"/>
    <hyperlink ref="M29" r:id="rId55" xr:uid="{00000000-0004-0000-0200-000036000000}"/>
    <hyperlink ref="L30" r:id="rId56" xr:uid="{00000000-0004-0000-0200-000037000000}"/>
    <hyperlink ref="M30" r:id="rId57" xr:uid="{00000000-0004-0000-0200-000038000000}"/>
    <hyperlink ref="L31" r:id="rId58" xr:uid="{00000000-0004-0000-0200-000039000000}"/>
    <hyperlink ref="M31" r:id="rId59" xr:uid="{00000000-0004-0000-0200-00003A000000}"/>
    <hyperlink ref="L32" r:id="rId60" xr:uid="{00000000-0004-0000-0200-00003B000000}"/>
    <hyperlink ref="M32" r:id="rId61" xr:uid="{00000000-0004-0000-0200-00003C000000}"/>
    <hyperlink ref="L33" r:id="rId62" xr:uid="{00000000-0004-0000-0200-00003D000000}"/>
    <hyperlink ref="M33" r:id="rId63" xr:uid="{00000000-0004-0000-0200-00003E000000}"/>
    <hyperlink ref="L34" r:id="rId64" xr:uid="{00000000-0004-0000-0200-00003F000000}"/>
    <hyperlink ref="M34" r:id="rId65" xr:uid="{00000000-0004-0000-0200-000040000000}"/>
    <hyperlink ref="L35" r:id="rId66" xr:uid="{00000000-0004-0000-0200-000041000000}"/>
    <hyperlink ref="M35" r:id="rId67" xr:uid="{00000000-0004-0000-0200-000042000000}"/>
    <hyperlink ref="M36" r:id="rId68" xr:uid="{00000000-0004-0000-0200-000043000000}"/>
    <hyperlink ref="L37" r:id="rId69" xr:uid="{00000000-0004-0000-0200-000044000000}"/>
    <hyperlink ref="M37" r:id="rId70" xr:uid="{00000000-0004-0000-0200-000045000000}"/>
    <hyperlink ref="L38" r:id="rId71" xr:uid="{00000000-0004-0000-0200-000046000000}"/>
    <hyperlink ref="M38" r:id="rId72" xr:uid="{00000000-0004-0000-0200-000047000000}"/>
    <hyperlink ref="M39" r:id="rId73" xr:uid="{00000000-0004-0000-0200-000048000000}"/>
    <hyperlink ref="L40" r:id="rId74" xr:uid="{00000000-0004-0000-0200-000049000000}"/>
    <hyperlink ref="M40" r:id="rId75" xr:uid="{00000000-0004-0000-0200-00004A000000}"/>
    <hyperlink ref="L41" r:id="rId76" xr:uid="{00000000-0004-0000-0200-00004B000000}"/>
    <hyperlink ref="M41" r:id="rId77" xr:uid="{00000000-0004-0000-0200-00004C000000}"/>
    <hyperlink ref="L42" r:id="rId78" xr:uid="{00000000-0004-0000-0200-00004D000000}"/>
    <hyperlink ref="M42" r:id="rId79" xr:uid="{00000000-0004-0000-0200-00004E000000}"/>
    <hyperlink ref="L43" r:id="rId80" xr:uid="{00000000-0004-0000-0200-00004F000000}"/>
    <hyperlink ref="M43" r:id="rId81" xr:uid="{00000000-0004-0000-0200-000050000000}"/>
    <hyperlink ref="L44" r:id="rId82" xr:uid="{00000000-0004-0000-0200-000051000000}"/>
    <hyperlink ref="M44" r:id="rId83" xr:uid="{00000000-0004-0000-0200-000052000000}"/>
    <hyperlink ref="L45" r:id="rId84" xr:uid="{00000000-0004-0000-0200-000053000000}"/>
    <hyperlink ref="M45" r:id="rId85" xr:uid="{00000000-0004-0000-0200-000054000000}"/>
    <hyperlink ref="L46" r:id="rId86" xr:uid="{00000000-0004-0000-0200-000055000000}"/>
    <hyperlink ref="M46" r:id="rId87" xr:uid="{00000000-0004-0000-0200-000056000000}"/>
    <hyperlink ref="L47" r:id="rId88" xr:uid="{00000000-0004-0000-0200-000057000000}"/>
    <hyperlink ref="M47" r:id="rId89" xr:uid="{00000000-0004-0000-0200-000058000000}"/>
    <hyperlink ref="M48" r:id="rId90" xr:uid="{00000000-0004-0000-0200-000059000000}"/>
    <hyperlink ref="L49" r:id="rId91" xr:uid="{00000000-0004-0000-0200-00005A000000}"/>
    <hyperlink ref="M49" r:id="rId92" xr:uid="{00000000-0004-0000-0200-00005B000000}"/>
    <hyperlink ref="L50" r:id="rId93" xr:uid="{00000000-0004-0000-0200-00005C000000}"/>
    <hyperlink ref="M50" r:id="rId94" xr:uid="{00000000-0004-0000-0200-00005D000000}"/>
    <hyperlink ref="L51" r:id="rId95" xr:uid="{00000000-0004-0000-0200-00005E000000}"/>
    <hyperlink ref="M51" r:id="rId96" xr:uid="{00000000-0004-0000-0200-00005F000000}"/>
    <hyperlink ref="L52" r:id="rId97" xr:uid="{00000000-0004-0000-0200-000060000000}"/>
    <hyperlink ref="M52" r:id="rId98" xr:uid="{00000000-0004-0000-0200-000061000000}"/>
    <hyperlink ref="J53" r:id="rId99" xr:uid="{00000000-0004-0000-0200-000062000000}"/>
    <hyperlink ref="L53" r:id="rId100" xr:uid="{00000000-0004-0000-0200-000063000000}"/>
    <hyperlink ref="M53" r:id="rId101" xr:uid="{00000000-0004-0000-0200-000064000000}"/>
    <hyperlink ref="L54" r:id="rId102" xr:uid="{00000000-0004-0000-0200-000066000000}"/>
    <hyperlink ref="M54" r:id="rId103" xr:uid="{00000000-0004-0000-0200-000067000000}"/>
    <hyperlink ref="L55" r:id="rId104" xr:uid="{00000000-0004-0000-0200-000068000000}"/>
    <hyperlink ref="M55" r:id="rId105" xr:uid="{00000000-0004-0000-0200-000069000000}"/>
    <hyperlink ref="L56" r:id="rId106" xr:uid="{00000000-0004-0000-0200-00006B000000}"/>
    <hyperlink ref="M56" r:id="rId107" xr:uid="{00000000-0004-0000-0200-00006C000000}"/>
    <hyperlink ref="L57" r:id="rId108" xr:uid="{00000000-0004-0000-0200-00006D000000}"/>
    <hyperlink ref="M57" r:id="rId109" xr:uid="{00000000-0004-0000-0200-00006E000000}"/>
    <hyperlink ref="J58" r:id="rId110" xr:uid="{00000000-0004-0000-0200-00006F000000}"/>
    <hyperlink ref="L58" r:id="rId111" xr:uid="{00000000-0004-0000-0200-000070000000}"/>
    <hyperlink ref="M58" r:id="rId112" xr:uid="{00000000-0004-0000-0200-000071000000}"/>
    <hyperlink ref="L59" r:id="rId113" xr:uid="{00000000-0004-0000-0200-000072000000}"/>
    <hyperlink ref="M59" r:id="rId114" xr:uid="{00000000-0004-0000-0200-000073000000}"/>
    <hyperlink ref="J60" r:id="rId115" xr:uid="{00000000-0004-0000-0200-000074000000}"/>
    <hyperlink ref="L60" r:id="rId116" xr:uid="{00000000-0004-0000-0200-000075000000}"/>
    <hyperlink ref="M60" r:id="rId117" xr:uid="{00000000-0004-0000-0200-000076000000}"/>
    <hyperlink ref="M61" r:id="rId118" xr:uid="{00000000-0004-0000-0200-000077000000}"/>
    <hyperlink ref="L62" r:id="rId119" xr:uid="{00000000-0004-0000-0200-000078000000}"/>
    <hyperlink ref="M62" r:id="rId120" xr:uid="{00000000-0004-0000-0200-000079000000}"/>
    <hyperlink ref="L63" r:id="rId121" xr:uid="{00000000-0004-0000-0200-00007A000000}"/>
    <hyperlink ref="M63" r:id="rId122" xr:uid="{00000000-0004-0000-0200-00007B000000}"/>
    <hyperlink ref="M64" r:id="rId123" xr:uid="{00000000-0004-0000-0200-00007C000000}"/>
    <hyperlink ref="L65" r:id="rId124" xr:uid="{00000000-0004-0000-0200-00007E000000}"/>
    <hyperlink ref="M65" r:id="rId125" xr:uid="{00000000-0004-0000-0200-00007F000000}"/>
    <hyperlink ref="L66" r:id="rId126" xr:uid="{00000000-0004-0000-0200-000080000000}"/>
    <hyperlink ref="M66" r:id="rId127" xr:uid="{00000000-0004-0000-0200-000081000000}"/>
    <hyperlink ref="L67" r:id="rId128" xr:uid="{00000000-0004-0000-0200-000082000000}"/>
    <hyperlink ref="M67" r:id="rId129" xr:uid="{00000000-0004-0000-0200-000083000000}"/>
    <hyperlink ref="L68" r:id="rId130" xr:uid="{00000000-0004-0000-0200-000084000000}"/>
    <hyperlink ref="M68" r:id="rId131" xr:uid="{00000000-0004-0000-0200-000085000000}"/>
    <hyperlink ref="L69" r:id="rId132" xr:uid="{00000000-0004-0000-0200-000086000000}"/>
    <hyperlink ref="M69" r:id="rId133" xr:uid="{00000000-0004-0000-0200-000087000000}"/>
    <hyperlink ref="L70" r:id="rId134" xr:uid="{00000000-0004-0000-0200-000088000000}"/>
    <hyperlink ref="M70" r:id="rId135" xr:uid="{00000000-0004-0000-0200-000089000000}"/>
    <hyperlink ref="L71" r:id="rId136" xr:uid="{00000000-0004-0000-0200-00008A000000}"/>
    <hyperlink ref="M71" r:id="rId137" xr:uid="{00000000-0004-0000-0200-00008B000000}"/>
    <hyperlink ref="L72" r:id="rId138" xr:uid="{00000000-0004-0000-0200-00008C000000}"/>
    <hyperlink ref="M72" r:id="rId139" xr:uid="{00000000-0004-0000-0200-00008D000000}"/>
    <hyperlink ref="L73" r:id="rId140" xr:uid="{00000000-0004-0000-0200-00008E000000}"/>
    <hyperlink ref="M73" r:id="rId141" xr:uid="{00000000-0004-0000-0200-00008F000000}"/>
    <hyperlink ref="M74" r:id="rId142" xr:uid="{00000000-0004-0000-0200-000090000000}"/>
    <hyperlink ref="L75" r:id="rId143" xr:uid="{00000000-0004-0000-0200-000091000000}"/>
    <hyperlink ref="M75" r:id="rId144" xr:uid="{00000000-0004-0000-0200-000092000000}"/>
    <hyperlink ref="L76" r:id="rId145" xr:uid="{00000000-0004-0000-0200-000093000000}"/>
    <hyperlink ref="M76" r:id="rId146" xr:uid="{00000000-0004-0000-0200-000094000000}"/>
    <hyperlink ref="L77" r:id="rId147" xr:uid="{00000000-0004-0000-0200-000095000000}"/>
    <hyperlink ref="M77" r:id="rId148" xr:uid="{00000000-0004-0000-0200-000096000000}"/>
    <hyperlink ref="L78" r:id="rId149" xr:uid="{00000000-0004-0000-0200-000097000000}"/>
    <hyperlink ref="M78" r:id="rId150" xr:uid="{00000000-0004-0000-0200-000098000000}"/>
    <hyperlink ref="L79" r:id="rId151" xr:uid="{00000000-0004-0000-0200-000099000000}"/>
    <hyperlink ref="M79" r:id="rId152" xr:uid="{00000000-0004-0000-0200-00009A000000}"/>
    <hyperlink ref="L80" r:id="rId153" xr:uid="{00000000-0004-0000-0200-00009B000000}"/>
    <hyperlink ref="M80" r:id="rId154" xr:uid="{00000000-0004-0000-0200-00009C000000}"/>
    <hyperlink ref="L81" r:id="rId155" xr:uid="{00000000-0004-0000-0200-00009D000000}"/>
    <hyperlink ref="M81" r:id="rId156" xr:uid="{00000000-0004-0000-0200-00009E000000}"/>
    <hyperlink ref="L82" r:id="rId157" xr:uid="{00000000-0004-0000-0200-00009F000000}"/>
    <hyperlink ref="M82" r:id="rId158" xr:uid="{00000000-0004-0000-0200-0000A0000000}"/>
    <hyperlink ref="M83" r:id="rId159" xr:uid="{00000000-0004-0000-0200-0000A1000000}"/>
    <hyperlink ref="L84" r:id="rId160" xr:uid="{00000000-0004-0000-0200-0000A2000000}"/>
    <hyperlink ref="M84" r:id="rId161" xr:uid="{00000000-0004-0000-0200-0000A3000000}"/>
    <hyperlink ref="L85" r:id="rId162" xr:uid="{00000000-0004-0000-0200-0000A4000000}"/>
    <hyperlink ref="M85" r:id="rId163" xr:uid="{00000000-0004-0000-0200-0000A5000000}"/>
    <hyperlink ref="L86" r:id="rId164" xr:uid="{00000000-0004-0000-0200-0000A6000000}"/>
    <hyperlink ref="M86" r:id="rId165" xr:uid="{00000000-0004-0000-0200-0000A7000000}"/>
    <hyperlink ref="L87" r:id="rId166" xr:uid="{00000000-0004-0000-0200-0000A8000000}"/>
    <hyperlink ref="M87" r:id="rId167" xr:uid="{00000000-0004-0000-0200-0000A9000000}"/>
    <hyperlink ref="L88" r:id="rId168" xr:uid="{00000000-0004-0000-0200-0000AA000000}"/>
    <hyperlink ref="M88" r:id="rId169" xr:uid="{00000000-0004-0000-0200-0000AB000000}"/>
    <hyperlink ref="L89" r:id="rId170" xr:uid="{00000000-0004-0000-0200-0000AC000000}"/>
    <hyperlink ref="M89" r:id="rId171" xr:uid="{00000000-0004-0000-0200-0000AD000000}"/>
    <hyperlink ref="L90" r:id="rId172" xr:uid="{00000000-0004-0000-0200-0000AE000000}"/>
    <hyperlink ref="M90" r:id="rId173" xr:uid="{00000000-0004-0000-0200-0000AF000000}"/>
    <hyperlink ref="M91" r:id="rId174" xr:uid="{00000000-0004-0000-0200-0000B0000000}"/>
    <hyperlink ref="M92" r:id="rId175" xr:uid="{00000000-0004-0000-0200-0000B1000000}"/>
    <hyperlink ref="L93" r:id="rId176" xr:uid="{00000000-0004-0000-0200-0000B2000000}"/>
    <hyperlink ref="M93" r:id="rId177" xr:uid="{00000000-0004-0000-0200-0000B3000000}"/>
    <hyperlink ref="M94" r:id="rId178" xr:uid="{00000000-0004-0000-0200-0000B4000000}"/>
    <hyperlink ref="L95" r:id="rId179" xr:uid="{00000000-0004-0000-0200-0000B5000000}"/>
    <hyperlink ref="M95" r:id="rId180" xr:uid="{00000000-0004-0000-0200-0000B6000000}"/>
    <hyperlink ref="M96" r:id="rId181" xr:uid="{00000000-0004-0000-0200-0000B7000000}"/>
    <hyperlink ref="M97" r:id="rId182" xr:uid="{00000000-0004-0000-0200-0000B8000000}"/>
    <hyperlink ref="M98" r:id="rId183" xr:uid="{00000000-0004-0000-0200-0000B9000000}"/>
    <hyperlink ref="M99" r:id="rId184" xr:uid="{00000000-0004-0000-0200-0000BA000000}"/>
    <hyperlink ref="M100" r:id="rId185" xr:uid="{00000000-0004-0000-0200-0000BB000000}"/>
    <hyperlink ref="M101" r:id="rId186" xr:uid="{00000000-0004-0000-0200-0000BC000000}"/>
    <hyperlink ref="M102" r:id="rId187" xr:uid="{00000000-0004-0000-0200-0000BD000000}"/>
    <hyperlink ref="L103" r:id="rId188" xr:uid="{00000000-0004-0000-0200-0000BE000000}"/>
    <hyperlink ref="M103" r:id="rId189" xr:uid="{00000000-0004-0000-0200-0000BF000000}"/>
    <hyperlink ref="L104" r:id="rId190" xr:uid="{00000000-0004-0000-0200-0000C0000000}"/>
    <hyperlink ref="M104" r:id="rId191" xr:uid="{00000000-0004-0000-0200-0000C1000000}"/>
    <hyperlink ref="L105" r:id="rId192" xr:uid="{00000000-0004-0000-0200-0000C6000000}"/>
    <hyperlink ref="M105" r:id="rId193" xr:uid="{00000000-0004-0000-0200-0000C7000000}"/>
    <hyperlink ref="M106" r:id="rId194" xr:uid="{00000000-0004-0000-0200-0000C8000000}"/>
    <hyperlink ref="L107" r:id="rId195" xr:uid="{00000000-0004-0000-0200-0000C9000000}"/>
    <hyperlink ref="M107" r:id="rId196" xr:uid="{00000000-0004-0000-0200-0000CA000000}"/>
    <hyperlink ref="L108" r:id="rId197" xr:uid="{00000000-0004-0000-0200-0000CB000000}"/>
    <hyperlink ref="M108" r:id="rId198" xr:uid="{00000000-0004-0000-0200-0000CC000000}"/>
    <hyperlink ref="L109" r:id="rId199" xr:uid="{00000000-0004-0000-0200-0000CD000000}"/>
    <hyperlink ref="M109" r:id="rId200" xr:uid="{00000000-0004-0000-0200-0000CE000000}"/>
    <hyperlink ref="L110" r:id="rId201" xr:uid="{00000000-0004-0000-0200-0000CF000000}"/>
    <hyperlink ref="M110" r:id="rId202" xr:uid="{00000000-0004-0000-0200-0000D0000000}"/>
    <hyperlink ref="L111" r:id="rId203" xr:uid="{00000000-0004-0000-0200-0000D1000000}"/>
    <hyperlink ref="M111" r:id="rId204" xr:uid="{00000000-0004-0000-0200-0000D2000000}"/>
    <hyperlink ref="M112" r:id="rId205" xr:uid="{00000000-0004-0000-0200-0000D3000000}"/>
    <hyperlink ref="M113" r:id="rId206" xr:uid="{00000000-0004-0000-0200-0000D4000000}"/>
    <hyperlink ref="L114" r:id="rId207" xr:uid="{00000000-0004-0000-0200-0000D5000000}"/>
    <hyperlink ref="M114" r:id="rId208" xr:uid="{00000000-0004-0000-0200-0000D6000000}"/>
    <hyperlink ref="L115" r:id="rId209" xr:uid="{00000000-0004-0000-0200-0000D7000000}"/>
    <hyperlink ref="M115" r:id="rId210" xr:uid="{00000000-0004-0000-0200-0000D8000000}"/>
    <hyperlink ref="M116" r:id="rId211" xr:uid="{00000000-0004-0000-0200-0000D9000000}"/>
    <hyperlink ref="L117" r:id="rId212" xr:uid="{00000000-0004-0000-0200-0000DA000000}"/>
    <hyperlink ref="M117" r:id="rId213" xr:uid="{00000000-0004-0000-0200-0000DB000000}"/>
    <hyperlink ref="M118" r:id="rId214" xr:uid="{00000000-0004-0000-0200-0000DC000000}"/>
    <hyperlink ref="L119" r:id="rId215" xr:uid="{00000000-0004-0000-0200-0000DD000000}"/>
    <hyperlink ref="M119" r:id="rId216" xr:uid="{00000000-0004-0000-0200-0000DE000000}"/>
    <hyperlink ref="M120" r:id="rId217" xr:uid="{00000000-0004-0000-0200-0000DF000000}"/>
    <hyperlink ref="M121" r:id="rId218" xr:uid="{00000000-0004-0000-0200-0000E0000000}"/>
    <hyperlink ref="M122" r:id="rId219" xr:uid="{00000000-0004-0000-0200-0000E2000000}"/>
    <hyperlink ref="L123" r:id="rId220" xr:uid="{00000000-0004-0000-0200-0000E3000000}"/>
    <hyperlink ref="M123" r:id="rId221" xr:uid="{00000000-0004-0000-0200-0000E4000000}"/>
    <hyperlink ref="M124" r:id="rId222" xr:uid="{00000000-0004-0000-0200-0000E6000000}"/>
    <hyperlink ref="L125" r:id="rId223" xr:uid="{00000000-0004-0000-0200-0000E7000000}"/>
    <hyperlink ref="M125" r:id="rId224" xr:uid="{00000000-0004-0000-0200-0000E8000000}"/>
    <hyperlink ref="M126" r:id="rId225" xr:uid="{00000000-0004-0000-0200-0000E9000000}"/>
    <hyperlink ref="M127" r:id="rId226" xr:uid="{00000000-0004-0000-0200-0000EA000000}"/>
    <hyperlink ref="M128" r:id="rId227" xr:uid="{00000000-0004-0000-0200-0000EB000000}"/>
    <hyperlink ref="M129" r:id="rId228" xr:uid="{00000000-0004-0000-0200-0000EC000000}"/>
    <hyperlink ref="M130" r:id="rId229" xr:uid="{00000000-0004-0000-0200-0000ED000000}"/>
    <hyperlink ref="M131" r:id="rId230" xr:uid="{00000000-0004-0000-0200-0000EE000000}"/>
    <hyperlink ref="M132" r:id="rId231" xr:uid="{00000000-0004-0000-0200-0000EF000000}"/>
    <hyperlink ref="M133" r:id="rId232" xr:uid="{00000000-0004-0000-0200-0000F0000000}"/>
    <hyperlink ref="M134" r:id="rId233" xr:uid="{00000000-0004-0000-0200-0000F1000000}"/>
    <hyperlink ref="M135" r:id="rId234" xr:uid="{00000000-0004-0000-0200-0000F2000000}"/>
    <hyperlink ref="M136" r:id="rId235" xr:uid="{00000000-0004-0000-0200-0000F3000000}"/>
    <hyperlink ref="M137" r:id="rId236" xr:uid="{00000000-0004-0000-0200-0000F4000000}"/>
    <hyperlink ref="M138" r:id="rId237" xr:uid="{00000000-0004-0000-0200-0000F5000000}"/>
    <hyperlink ref="M139" r:id="rId238" xr:uid="{00000000-0004-0000-0200-0000F6000000}"/>
    <hyperlink ref="M140" r:id="rId239" xr:uid="{00000000-0004-0000-0200-0000F7000000}"/>
    <hyperlink ref="M141" r:id="rId240" xr:uid="{00000000-0004-0000-0200-0000F8000000}"/>
    <hyperlink ref="M142" r:id="rId241" xr:uid="{00000000-0004-0000-0200-0000F9000000}"/>
    <hyperlink ref="M143" r:id="rId242" xr:uid="{00000000-0004-0000-0200-0000FA000000}"/>
    <hyperlink ref="M144" r:id="rId243" xr:uid="{00000000-0004-0000-0200-0000FB000000}"/>
    <hyperlink ref="M145" r:id="rId244" xr:uid="{00000000-0004-0000-0200-0000FC000000}"/>
    <hyperlink ref="M146" r:id="rId245" xr:uid="{00000000-0004-0000-0200-0000FD000000}"/>
    <hyperlink ref="M147" r:id="rId246" xr:uid="{00000000-0004-0000-0200-0000FE000000}"/>
    <hyperlink ref="M148" r:id="rId247" xr:uid="{00000000-0004-0000-0200-0000FF000000}"/>
    <hyperlink ref="M149" r:id="rId248" xr:uid="{00000000-0004-0000-0200-000000010000}"/>
    <hyperlink ref="M150" r:id="rId249" xr:uid="{00000000-0004-0000-0200-000001010000}"/>
    <hyperlink ref="M151" r:id="rId250" xr:uid="{00000000-0004-0000-0200-000002010000}"/>
    <hyperlink ref="M152" r:id="rId251" xr:uid="{00000000-0004-0000-0200-000003010000}"/>
    <hyperlink ref="M153" r:id="rId252" xr:uid="{00000000-0004-0000-0200-000004010000}"/>
    <hyperlink ref="M154" r:id="rId253" xr:uid="{00000000-0004-0000-0200-000005010000}"/>
    <hyperlink ref="M155" r:id="rId254" xr:uid="{00000000-0004-0000-0200-000006010000}"/>
    <hyperlink ref="M156" r:id="rId255" xr:uid="{00000000-0004-0000-0200-000007010000}"/>
    <hyperlink ref="M157" r:id="rId256" xr:uid="{00000000-0004-0000-0200-000008010000}"/>
    <hyperlink ref="M158" r:id="rId257" xr:uid="{00000000-0004-0000-0200-000009010000}"/>
    <hyperlink ref="M159" r:id="rId258" xr:uid="{00000000-0004-0000-0200-00000A010000}"/>
    <hyperlink ref="M160" r:id="rId259" xr:uid="{00000000-0004-0000-0200-00000B010000}"/>
    <hyperlink ref="M161" r:id="rId260" xr:uid="{00000000-0004-0000-0200-00000C010000}"/>
    <hyperlink ref="M162" r:id="rId261" xr:uid="{00000000-0004-0000-0200-00000D010000}"/>
    <hyperlink ref="L163" r:id="rId262" xr:uid="{00000000-0004-0000-0200-00000E010000}"/>
    <hyperlink ref="M163" r:id="rId263" xr:uid="{00000000-0004-0000-0200-00000F010000}"/>
    <hyperlink ref="L164" r:id="rId264" xr:uid="{00000000-0004-0000-0200-000010010000}"/>
    <hyperlink ref="M164" r:id="rId265" xr:uid="{00000000-0004-0000-0200-000011010000}"/>
    <hyperlink ref="M165" r:id="rId266" xr:uid="{00000000-0004-0000-0200-000012010000}"/>
    <hyperlink ref="L166" r:id="rId267" xr:uid="{00000000-0004-0000-0200-000013010000}"/>
    <hyperlink ref="M166" r:id="rId268" xr:uid="{00000000-0004-0000-0200-000014010000}"/>
    <hyperlink ref="L167" r:id="rId269" xr:uid="{00000000-0004-0000-0200-000015010000}"/>
    <hyperlink ref="M167" r:id="rId270" xr:uid="{00000000-0004-0000-0200-000016010000}"/>
    <hyperlink ref="M168" r:id="rId271" xr:uid="{00000000-0004-0000-0200-000017010000}"/>
    <hyperlink ref="M169" r:id="rId272" xr:uid="{00000000-0004-0000-0200-000018010000}"/>
    <hyperlink ref="M170" r:id="rId273" xr:uid="{00000000-0004-0000-0200-000019010000}"/>
    <hyperlink ref="M171" r:id="rId274" xr:uid="{00000000-0004-0000-0200-00001A010000}"/>
    <hyperlink ref="M172" r:id="rId275" xr:uid="{00000000-0004-0000-0200-00001B010000}"/>
    <hyperlink ref="M173" r:id="rId276" xr:uid="{00000000-0004-0000-0200-00001C010000}"/>
    <hyperlink ref="M174" r:id="rId277" xr:uid="{00000000-0004-0000-0200-00001D010000}"/>
    <hyperlink ref="M175" r:id="rId278" xr:uid="{00000000-0004-0000-0200-00001E010000}"/>
    <hyperlink ref="M176" r:id="rId279" xr:uid="{00000000-0004-0000-0200-00001F010000}"/>
    <hyperlink ref="M177" r:id="rId280" xr:uid="{00000000-0004-0000-0200-000020010000}"/>
    <hyperlink ref="M178" r:id="rId281" xr:uid="{00000000-0004-0000-0200-000021010000}"/>
    <hyperlink ref="M179" r:id="rId282" xr:uid="{00000000-0004-0000-0200-000022010000}"/>
    <hyperlink ref="M180" r:id="rId283" xr:uid="{00000000-0004-0000-0200-000023010000}"/>
    <hyperlink ref="M181" r:id="rId284" xr:uid="{00000000-0004-0000-0200-000024010000}"/>
    <hyperlink ref="M182" r:id="rId285" xr:uid="{00000000-0004-0000-0200-000025010000}"/>
    <hyperlink ref="M183" r:id="rId286" xr:uid="{00000000-0004-0000-0200-000026010000}"/>
    <hyperlink ref="M184" r:id="rId287" xr:uid="{00000000-0004-0000-0200-000027010000}"/>
    <hyperlink ref="M185" r:id="rId288" xr:uid="{00000000-0004-0000-0200-000028010000}"/>
    <hyperlink ref="M186" r:id="rId289" xr:uid="{00000000-0004-0000-0200-000029010000}"/>
    <hyperlink ref="M187" r:id="rId290" xr:uid="{00000000-0004-0000-0200-00002A010000}"/>
    <hyperlink ref="M188" r:id="rId291" xr:uid="{00000000-0004-0000-0200-00002B010000}"/>
    <hyperlink ref="M189" r:id="rId292" xr:uid="{00000000-0004-0000-0200-00002C010000}"/>
    <hyperlink ref="M190" r:id="rId293" xr:uid="{00000000-0004-0000-0200-00002D010000}"/>
    <hyperlink ref="M191" r:id="rId294" xr:uid="{00000000-0004-0000-0200-00002E010000}"/>
    <hyperlink ref="M192" r:id="rId295" xr:uid="{00000000-0004-0000-0200-00002F010000}"/>
    <hyperlink ref="M193" r:id="rId296" xr:uid="{00000000-0004-0000-0200-000030010000}"/>
    <hyperlink ref="M194" r:id="rId297" xr:uid="{00000000-0004-0000-0200-000031010000}"/>
    <hyperlink ref="M195" r:id="rId298" xr:uid="{00000000-0004-0000-0200-000032010000}"/>
    <hyperlink ref="M196" r:id="rId299" xr:uid="{00000000-0004-0000-0200-000033010000}"/>
    <hyperlink ref="M197" r:id="rId300" xr:uid="{00000000-0004-0000-0200-000034010000}"/>
    <hyperlink ref="M198" r:id="rId301" xr:uid="{00000000-0004-0000-0200-000035010000}"/>
    <hyperlink ref="M199" r:id="rId302" xr:uid="{00000000-0004-0000-0200-000036010000}"/>
    <hyperlink ref="M200" r:id="rId303" xr:uid="{00000000-0004-0000-0200-000037010000}"/>
    <hyperlink ref="M201" r:id="rId304" xr:uid="{00000000-0004-0000-0200-000038010000}"/>
    <hyperlink ref="M202" r:id="rId305" xr:uid="{00000000-0004-0000-0200-000039010000}"/>
    <hyperlink ref="M203" r:id="rId306" xr:uid="{00000000-0004-0000-0200-00003A010000}"/>
    <hyperlink ref="M204" r:id="rId307" xr:uid="{00000000-0004-0000-0200-00003B010000}"/>
    <hyperlink ref="M205" r:id="rId308" xr:uid="{00000000-0004-0000-0200-00003C010000}"/>
    <hyperlink ref="M206" r:id="rId309" xr:uid="{00000000-0004-0000-0200-00003D010000}"/>
    <hyperlink ref="M207" r:id="rId310" xr:uid="{00000000-0004-0000-0200-00003E010000}"/>
    <hyperlink ref="M208" r:id="rId311" xr:uid="{00000000-0004-0000-0200-00003F010000}"/>
    <hyperlink ref="M209" r:id="rId312" xr:uid="{00000000-0004-0000-0200-000040010000}"/>
    <hyperlink ref="M210" r:id="rId313" xr:uid="{00000000-0004-0000-0200-000041010000}"/>
    <hyperlink ref="M211" r:id="rId314" xr:uid="{00000000-0004-0000-0200-000042010000}"/>
    <hyperlink ref="M212" r:id="rId315" xr:uid="{00000000-0004-0000-0200-000043010000}"/>
    <hyperlink ref="M213" r:id="rId316" xr:uid="{00000000-0004-0000-0200-000044010000}"/>
    <hyperlink ref="M214" r:id="rId317" xr:uid="{00000000-0004-0000-0200-000045010000}"/>
    <hyperlink ref="M215" r:id="rId318" xr:uid="{00000000-0004-0000-0200-000046010000}"/>
    <hyperlink ref="M216" r:id="rId319" xr:uid="{00000000-0004-0000-0200-000047010000}"/>
    <hyperlink ref="M217" r:id="rId320" xr:uid="{00000000-0004-0000-0200-000048010000}"/>
    <hyperlink ref="M218" r:id="rId321" xr:uid="{00000000-0004-0000-0200-000049010000}"/>
    <hyperlink ref="M219" r:id="rId322" xr:uid="{00000000-0004-0000-0200-00004A010000}"/>
    <hyperlink ref="M220" r:id="rId323" xr:uid="{00000000-0004-0000-0200-00004B010000}"/>
    <hyperlink ref="M221" r:id="rId324" xr:uid="{00000000-0004-0000-0200-00004C010000}"/>
    <hyperlink ref="M222" r:id="rId325" xr:uid="{00000000-0004-0000-0200-00004D010000}"/>
    <hyperlink ref="M223" r:id="rId326" xr:uid="{00000000-0004-0000-0200-00004E010000}"/>
    <hyperlink ref="M224" r:id="rId327" xr:uid="{00000000-0004-0000-0200-00004F010000}"/>
    <hyperlink ref="M225" r:id="rId328" xr:uid="{00000000-0004-0000-0200-000050010000}"/>
    <hyperlink ref="M226" r:id="rId329" xr:uid="{00000000-0004-0000-0200-000051010000}"/>
    <hyperlink ref="M227" r:id="rId330" xr:uid="{00000000-0004-0000-0200-000052010000}"/>
    <hyperlink ref="M228" r:id="rId331" xr:uid="{00000000-0004-0000-0200-000053010000}"/>
    <hyperlink ref="M229" r:id="rId332" xr:uid="{00000000-0004-0000-0200-000054010000}"/>
    <hyperlink ref="M230" r:id="rId333" xr:uid="{00000000-0004-0000-0200-000055010000}"/>
    <hyperlink ref="M231" r:id="rId334" xr:uid="{00000000-0004-0000-0200-000056010000}"/>
    <hyperlink ref="M232" r:id="rId335" xr:uid="{00000000-0004-0000-0200-000057010000}"/>
    <hyperlink ref="M233" r:id="rId336" xr:uid="{00000000-0004-0000-0200-000058010000}"/>
    <hyperlink ref="M234" r:id="rId337" xr:uid="{00000000-0004-0000-0200-000059010000}"/>
    <hyperlink ref="M235" r:id="rId338" xr:uid="{00000000-0004-0000-0200-00005A010000}"/>
    <hyperlink ref="M236" r:id="rId339" xr:uid="{00000000-0004-0000-0200-00005B010000}"/>
    <hyperlink ref="M237" r:id="rId340" xr:uid="{00000000-0004-0000-0200-00005C010000}"/>
    <hyperlink ref="M238" r:id="rId341" xr:uid="{00000000-0004-0000-0200-00005D010000}"/>
    <hyperlink ref="M239" r:id="rId342" xr:uid="{00000000-0004-0000-0200-00005E010000}"/>
    <hyperlink ref="M240" r:id="rId343" xr:uid="{00000000-0004-0000-0200-00005F010000}"/>
    <hyperlink ref="M241" r:id="rId344" xr:uid="{00000000-0004-0000-0200-000060010000}"/>
    <hyperlink ref="M242" r:id="rId345" xr:uid="{00000000-0004-0000-0200-000061010000}"/>
    <hyperlink ref="M243" r:id="rId346" xr:uid="{00000000-0004-0000-0200-000062010000}"/>
    <hyperlink ref="M244" r:id="rId347" xr:uid="{00000000-0004-0000-0200-000063010000}"/>
    <hyperlink ref="M245" r:id="rId348" xr:uid="{00000000-0004-0000-0200-000064010000}"/>
    <hyperlink ref="M246" r:id="rId349" xr:uid="{00000000-0004-0000-0200-000065010000}"/>
    <hyperlink ref="M247" r:id="rId350" xr:uid="{00000000-0004-0000-0200-000066010000}"/>
    <hyperlink ref="M248" r:id="rId351" xr:uid="{00000000-0004-0000-0200-000067010000}"/>
    <hyperlink ref="M249" r:id="rId352" xr:uid="{00000000-0004-0000-0200-000068010000}"/>
    <hyperlink ref="M250" r:id="rId353" xr:uid="{00000000-0004-0000-0200-000069010000}"/>
    <hyperlink ref="M251" r:id="rId354" xr:uid="{00000000-0004-0000-0200-00006A010000}"/>
    <hyperlink ref="M252" r:id="rId355" xr:uid="{00000000-0004-0000-0200-00006B010000}"/>
    <hyperlink ref="M253" r:id="rId356" xr:uid="{00000000-0004-0000-0200-00006C010000}"/>
    <hyperlink ref="M254" r:id="rId357" xr:uid="{00000000-0004-0000-0200-00006D010000}"/>
    <hyperlink ref="M255" r:id="rId358" xr:uid="{00000000-0004-0000-0200-00006E010000}"/>
    <hyperlink ref="M256" r:id="rId359" xr:uid="{00000000-0004-0000-0200-00006F010000}"/>
    <hyperlink ref="M257" r:id="rId360" xr:uid="{00000000-0004-0000-0200-000070010000}"/>
    <hyperlink ref="M258" r:id="rId361" xr:uid="{00000000-0004-0000-0200-000071010000}"/>
    <hyperlink ref="M259" r:id="rId362" xr:uid="{00000000-0004-0000-0200-000072010000}"/>
    <hyperlink ref="M260" r:id="rId363" xr:uid="{00000000-0004-0000-0200-000073010000}"/>
    <hyperlink ref="M261" r:id="rId364" xr:uid="{00000000-0004-0000-0200-000074010000}"/>
    <hyperlink ref="M262" r:id="rId365" xr:uid="{00000000-0004-0000-0200-000075010000}"/>
    <hyperlink ref="M263" r:id="rId366" xr:uid="{00000000-0004-0000-0200-000076010000}"/>
    <hyperlink ref="M264" r:id="rId367" xr:uid="{00000000-0004-0000-0200-000077010000}"/>
    <hyperlink ref="M265" r:id="rId368" xr:uid="{00000000-0004-0000-0200-000078010000}"/>
    <hyperlink ref="M266" r:id="rId369" xr:uid="{00000000-0004-0000-0200-000079010000}"/>
    <hyperlink ref="M267" r:id="rId370" xr:uid="{00000000-0004-0000-0200-00007A010000}"/>
    <hyperlink ref="M268" r:id="rId371" xr:uid="{00000000-0004-0000-0200-00007B010000}"/>
    <hyperlink ref="M269" r:id="rId372" xr:uid="{00000000-0004-0000-0200-00007C010000}"/>
    <hyperlink ref="M270" r:id="rId373" xr:uid="{00000000-0004-0000-0200-00007D010000}"/>
    <hyperlink ref="M271" r:id="rId374" xr:uid="{00000000-0004-0000-0200-00007E010000}"/>
    <hyperlink ref="M272" r:id="rId375" xr:uid="{00000000-0004-0000-0200-00007F010000}"/>
    <hyperlink ref="M273" r:id="rId376" xr:uid="{00000000-0004-0000-0200-000080010000}"/>
    <hyperlink ref="M274" r:id="rId377" xr:uid="{00000000-0004-0000-0200-000081010000}"/>
    <hyperlink ref="M275" r:id="rId378" xr:uid="{00000000-0004-0000-0200-000082010000}"/>
    <hyperlink ref="M276" r:id="rId379" xr:uid="{00000000-0004-0000-0200-000083010000}"/>
    <hyperlink ref="M277" r:id="rId380" xr:uid="{00000000-0004-0000-0200-000084010000}"/>
    <hyperlink ref="M278" r:id="rId381" xr:uid="{00000000-0004-0000-0200-000085010000}"/>
    <hyperlink ref="M279" r:id="rId382" xr:uid="{00000000-0004-0000-0200-000086010000}"/>
    <hyperlink ref="M280" r:id="rId383" xr:uid="{00000000-0004-0000-0200-000087010000}"/>
    <hyperlink ref="M281" r:id="rId384" xr:uid="{00000000-0004-0000-0200-000088010000}"/>
    <hyperlink ref="M282" r:id="rId385" xr:uid="{00000000-0004-0000-0200-000089010000}"/>
    <hyperlink ref="M283" r:id="rId386" xr:uid="{00000000-0004-0000-0200-00008A010000}"/>
    <hyperlink ref="M284" r:id="rId387" xr:uid="{00000000-0004-0000-0200-00008B010000}"/>
    <hyperlink ref="M285" r:id="rId388" xr:uid="{00000000-0004-0000-0200-00008C010000}"/>
    <hyperlink ref="M286" r:id="rId389" xr:uid="{00000000-0004-0000-0200-00008D010000}"/>
    <hyperlink ref="M287" r:id="rId390" xr:uid="{00000000-0004-0000-0200-00008E010000}"/>
    <hyperlink ref="M288" r:id="rId391" xr:uid="{00000000-0004-0000-0200-00008F010000}"/>
    <hyperlink ref="M289" r:id="rId392" xr:uid="{00000000-0004-0000-0200-000090010000}"/>
    <hyperlink ref="M290" r:id="rId393" xr:uid="{00000000-0004-0000-0200-000091010000}"/>
    <hyperlink ref="M291" r:id="rId394" xr:uid="{00000000-0004-0000-0200-000092010000}"/>
    <hyperlink ref="M292" r:id="rId395" xr:uid="{00000000-0004-0000-0200-000093010000}"/>
    <hyperlink ref="M293" r:id="rId396" xr:uid="{00000000-0004-0000-0200-000094010000}"/>
    <hyperlink ref="M294" r:id="rId397" xr:uid="{00000000-0004-0000-0200-000095010000}"/>
    <hyperlink ref="M295" r:id="rId398" xr:uid="{00000000-0004-0000-0200-000096010000}"/>
    <hyperlink ref="M296" r:id="rId399" xr:uid="{00000000-0004-0000-0200-000097010000}"/>
    <hyperlink ref="M297" r:id="rId400" xr:uid="{00000000-0004-0000-0200-000098010000}"/>
    <hyperlink ref="M298" r:id="rId401" xr:uid="{00000000-0004-0000-0200-000099010000}"/>
    <hyperlink ref="M299" r:id="rId402" xr:uid="{00000000-0004-0000-0200-00009A010000}"/>
    <hyperlink ref="M300" r:id="rId403" xr:uid="{00000000-0004-0000-0200-00009B010000}"/>
    <hyperlink ref="M301" r:id="rId404" xr:uid="{00000000-0004-0000-0200-00009C010000}"/>
    <hyperlink ref="M302" r:id="rId405" xr:uid="{00000000-0004-0000-0200-00009D010000}"/>
    <hyperlink ref="M303" r:id="rId406" xr:uid="{00000000-0004-0000-0200-00009E010000}"/>
    <hyperlink ref="M304" r:id="rId407" xr:uid="{00000000-0004-0000-0200-00009F010000}"/>
    <hyperlink ref="M305" r:id="rId408" xr:uid="{00000000-0004-0000-0200-0000A0010000}"/>
    <hyperlink ref="M306" r:id="rId409" xr:uid="{00000000-0004-0000-0200-0000A1010000}"/>
    <hyperlink ref="M307" r:id="rId410" xr:uid="{00000000-0004-0000-0200-0000A2010000}"/>
    <hyperlink ref="M308" r:id="rId411" xr:uid="{00000000-0004-0000-0200-0000A3010000}"/>
    <hyperlink ref="M309" r:id="rId412" xr:uid="{00000000-0004-0000-0200-0000A4010000}"/>
    <hyperlink ref="M310" r:id="rId413" xr:uid="{00000000-0004-0000-0200-0000A5010000}"/>
    <hyperlink ref="M311" r:id="rId414" xr:uid="{00000000-0004-0000-0200-0000A6010000}"/>
    <hyperlink ref="M312" r:id="rId415" xr:uid="{00000000-0004-0000-0200-0000A7010000}"/>
    <hyperlink ref="M313" r:id="rId416" xr:uid="{00000000-0004-0000-0200-0000A8010000}"/>
    <hyperlink ref="M314" r:id="rId417" xr:uid="{00000000-0004-0000-0200-0000A9010000}"/>
    <hyperlink ref="M315" r:id="rId418" xr:uid="{00000000-0004-0000-0200-0000AA010000}"/>
    <hyperlink ref="M316" r:id="rId419" xr:uid="{00000000-0004-0000-0200-0000AB010000}"/>
    <hyperlink ref="M317" r:id="rId420" xr:uid="{00000000-0004-0000-0200-0000AC010000}"/>
    <hyperlink ref="M318" r:id="rId421" xr:uid="{00000000-0004-0000-0200-0000AD010000}"/>
    <hyperlink ref="M319" r:id="rId422" xr:uid="{00000000-0004-0000-0200-0000AE010000}"/>
    <hyperlink ref="M320" r:id="rId423" xr:uid="{00000000-0004-0000-0200-0000AF010000}"/>
    <hyperlink ref="M321" r:id="rId424" xr:uid="{00000000-0004-0000-0200-0000B0010000}"/>
    <hyperlink ref="M322" r:id="rId425" xr:uid="{00000000-0004-0000-0200-0000B1010000}"/>
    <hyperlink ref="M323" r:id="rId426" xr:uid="{00000000-0004-0000-0200-0000B2010000}"/>
    <hyperlink ref="M324" r:id="rId427" xr:uid="{00000000-0004-0000-0200-0000B3010000}"/>
    <hyperlink ref="M325" r:id="rId428" xr:uid="{00000000-0004-0000-0200-0000B4010000}"/>
    <hyperlink ref="K8" r:id="rId429" display="комунальний ,https://youcontrol.com.ua/search/?q=%D0%9B%D1%83%D1%86%D1%8C%D0%BA%D0%B8%D0%B9+%D0%BC%D1%96%D1%81%D1%8C%D0%BA%D0%B8%D0%B9+%D0%BC%D0%BE%D0%BB%D0%BE%D0%B4%D1%96%D0%B6%D0%BD%D0%B8%D0%B9+%D1%86%D0%B5%D0%BD%D1%82%D1%80" xr:uid="{99DEC227-523F-49B9-B6C3-76477D1A6583}"/>
  </hyperlinks>
  <pageMargins left="0.7" right="0.7" top="0.75" bottom="0.75" header="0.3" footer="0.3"/>
  <pageSetup paperSize="9" orientation="portrait" r:id="rId4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439"/>
  <sheetViews>
    <sheetView tabSelected="1" zoomScale="70" zoomScaleNormal="70" workbookViewId="0">
      <pane ySplit="1" topLeftCell="A2" activePane="bottomLeft" state="frozen"/>
      <selection pane="bottomLeft" activeCell="D490" sqref="D490"/>
    </sheetView>
  </sheetViews>
  <sheetFormatPr defaultColWidth="12.6328125" defaultRowHeight="15.75" customHeight="1"/>
  <cols>
    <col min="2" max="2" width="17.26953125" customWidth="1"/>
    <col min="3" max="3" width="15.7265625" customWidth="1"/>
    <col min="5" max="5" width="29.6328125" customWidth="1"/>
    <col min="6" max="6" width="24.08984375" customWidth="1"/>
    <col min="7" max="7" width="83.08984375" customWidth="1"/>
    <col min="8" max="8" width="32.26953125" customWidth="1"/>
  </cols>
  <sheetData>
    <row r="1" spans="1:8" ht="15.75" customHeight="1">
      <c r="A1" s="28" t="s">
        <v>3439</v>
      </c>
      <c r="B1" s="37" t="s">
        <v>7690</v>
      </c>
      <c r="C1" s="37" t="s">
        <v>7698</v>
      </c>
      <c r="D1" s="28" t="s">
        <v>5156</v>
      </c>
      <c r="E1" s="36" t="s">
        <v>5157</v>
      </c>
      <c r="F1" s="28" t="s">
        <v>5158</v>
      </c>
      <c r="G1" s="36" t="s">
        <v>5159</v>
      </c>
      <c r="H1" s="36" t="s">
        <v>5160</v>
      </c>
    </row>
    <row r="2" spans="1:8" ht="15.75" customHeight="1">
      <c r="A2" s="28" t="s">
        <v>171</v>
      </c>
      <c r="B2" s="8" t="s">
        <v>7714</v>
      </c>
      <c r="C2" s="37" t="s">
        <v>7693</v>
      </c>
      <c r="D2" s="28" t="s">
        <v>3442</v>
      </c>
      <c r="E2" s="36" t="s">
        <v>5161</v>
      </c>
      <c r="F2" s="28" t="s">
        <v>5162</v>
      </c>
      <c r="G2" s="36" t="s">
        <v>5163</v>
      </c>
      <c r="H2" s="36" t="s">
        <v>5164</v>
      </c>
    </row>
    <row r="3" spans="1:8" ht="15.75" customHeight="1">
      <c r="A3" s="28" t="s">
        <v>915</v>
      </c>
      <c r="B3" s="8" t="s">
        <v>7701</v>
      </c>
      <c r="C3" s="37" t="s">
        <v>7693</v>
      </c>
      <c r="D3" s="28" t="s">
        <v>949</v>
      </c>
      <c r="E3" s="36" t="s">
        <v>5165</v>
      </c>
      <c r="F3" s="28" t="s">
        <v>5166</v>
      </c>
      <c r="G3" s="36" t="s">
        <v>5167</v>
      </c>
      <c r="H3" s="36" t="s">
        <v>5168</v>
      </c>
    </row>
    <row r="4" spans="1:8" ht="15.75" customHeight="1">
      <c r="A4" s="28" t="s">
        <v>1597</v>
      </c>
      <c r="B4" s="8" t="s">
        <v>7704</v>
      </c>
      <c r="C4" s="37" t="s">
        <v>7693</v>
      </c>
      <c r="D4" s="28" t="s">
        <v>1662</v>
      </c>
      <c r="E4" s="36" t="s">
        <v>5169</v>
      </c>
      <c r="F4" s="28" t="s">
        <v>5166</v>
      </c>
      <c r="G4" s="36" t="s">
        <v>5170</v>
      </c>
      <c r="H4" s="36" t="s">
        <v>5171</v>
      </c>
    </row>
    <row r="5" spans="1:8" ht="15.75" customHeight="1">
      <c r="A5" s="28" t="s">
        <v>1220</v>
      </c>
      <c r="B5" s="8" t="s">
        <v>7732</v>
      </c>
      <c r="C5" s="37" t="s">
        <v>7693</v>
      </c>
      <c r="D5" s="28" t="s">
        <v>1391</v>
      </c>
      <c r="E5" s="36" t="s">
        <v>5172</v>
      </c>
      <c r="F5" s="28" t="s">
        <v>5173</v>
      </c>
      <c r="G5" s="36" t="s">
        <v>5174</v>
      </c>
      <c r="H5" s="36" t="s">
        <v>5175</v>
      </c>
    </row>
    <row r="6" spans="1:8" ht="15.75" customHeight="1">
      <c r="A6" s="28" t="s">
        <v>17</v>
      </c>
      <c r="B6" s="8" t="s">
        <v>7699</v>
      </c>
      <c r="C6" s="37" t="s">
        <v>7693</v>
      </c>
      <c r="D6" s="28" t="s">
        <v>3705</v>
      </c>
      <c r="E6" s="36" t="s">
        <v>5176</v>
      </c>
      <c r="F6" s="28" t="s">
        <v>5173</v>
      </c>
      <c r="G6" s="36" t="s">
        <v>5177</v>
      </c>
      <c r="H6" s="36" t="s">
        <v>5178</v>
      </c>
    </row>
    <row r="7" spans="1:8" ht="15.75" customHeight="1">
      <c r="A7" s="28" t="s">
        <v>1532</v>
      </c>
      <c r="B7" s="8" t="s">
        <v>7754</v>
      </c>
      <c r="C7" s="37" t="s">
        <v>7693</v>
      </c>
      <c r="D7" s="28" t="s">
        <v>1584</v>
      </c>
      <c r="E7" s="36" t="s">
        <v>5179</v>
      </c>
      <c r="F7" s="28" t="s">
        <v>5180</v>
      </c>
      <c r="G7" s="36" t="s">
        <v>5181</v>
      </c>
      <c r="H7" s="36" t="s">
        <v>5182</v>
      </c>
    </row>
    <row r="8" spans="1:8" ht="15.75" customHeight="1">
      <c r="A8" s="28" t="s">
        <v>2264</v>
      </c>
      <c r="B8" s="8" t="s">
        <v>3603</v>
      </c>
      <c r="C8" s="37" t="s">
        <v>7693</v>
      </c>
      <c r="D8" s="28" t="s">
        <v>3645</v>
      </c>
      <c r="E8" s="36" t="s">
        <v>5183</v>
      </c>
      <c r="F8" s="28" t="s">
        <v>5162</v>
      </c>
      <c r="G8" s="36" t="s">
        <v>5184</v>
      </c>
      <c r="H8" s="36" t="s">
        <v>5185</v>
      </c>
    </row>
    <row r="9" spans="1:8" ht="15.75" customHeight="1">
      <c r="A9" s="28" t="s">
        <v>464</v>
      </c>
      <c r="B9" s="8" t="s">
        <v>7710</v>
      </c>
      <c r="C9" s="37" t="s">
        <v>7693</v>
      </c>
      <c r="D9" s="28" t="s">
        <v>4422</v>
      </c>
      <c r="E9" s="36" t="s">
        <v>5186</v>
      </c>
      <c r="F9" s="28" t="s">
        <v>5166</v>
      </c>
      <c r="G9" s="36" t="s">
        <v>5187</v>
      </c>
      <c r="H9" s="36" t="s">
        <v>5188</v>
      </c>
    </row>
    <row r="10" spans="1:8" ht="15.75" customHeight="1">
      <c r="A10" s="28" t="s">
        <v>1597</v>
      </c>
      <c r="B10" s="8" t="s">
        <v>7704</v>
      </c>
      <c r="C10" s="37" t="s">
        <v>7693</v>
      </c>
      <c r="D10" s="28" t="s">
        <v>1662</v>
      </c>
      <c r="E10" s="36" t="s">
        <v>5189</v>
      </c>
      <c r="F10" s="28" t="s">
        <v>5190</v>
      </c>
      <c r="G10" s="36" t="s">
        <v>5191</v>
      </c>
      <c r="H10" s="36" t="s">
        <v>5192</v>
      </c>
    </row>
    <row r="11" spans="1:8" ht="15.75" customHeight="1">
      <c r="A11" s="28" t="s">
        <v>3315</v>
      </c>
      <c r="B11" s="8" t="s">
        <v>7705</v>
      </c>
      <c r="C11" s="37" t="s">
        <v>7693</v>
      </c>
      <c r="D11" s="28" t="s">
        <v>3435</v>
      </c>
      <c r="E11" s="36" t="s">
        <v>5193</v>
      </c>
      <c r="F11" s="28" t="s">
        <v>5194</v>
      </c>
      <c r="G11" s="36" t="s">
        <v>5195</v>
      </c>
      <c r="H11" s="36" t="s">
        <v>5196</v>
      </c>
    </row>
    <row r="12" spans="1:8" ht="15.75" customHeight="1">
      <c r="A12" s="28" t="s">
        <v>1597</v>
      </c>
      <c r="B12" s="8" t="s">
        <v>7704</v>
      </c>
      <c r="C12" s="37" t="s">
        <v>7693</v>
      </c>
      <c r="D12" s="28" t="s">
        <v>1662</v>
      </c>
      <c r="E12" s="36" t="s">
        <v>5197</v>
      </c>
      <c r="F12" s="28" t="s">
        <v>5173</v>
      </c>
      <c r="G12" s="36" t="s">
        <v>5198</v>
      </c>
      <c r="H12" s="36" t="s">
        <v>5199</v>
      </c>
    </row>
    <row r="13" spans="1:8" ht="15.75" customHeight="1">
      <c r="A13" s="28" t="s">
        <v>1900</v>
      </c>
      <c r="B13" s="8" t="s">
        <v>7781</v>
      </c>
      <c r="C13" s="37" t="s">
        <v>7693</v>
      </c>
      <c r="D13" s="28" t="s">
        <v>2055</v>
      </c>
      <c r="E13" s="36" t="s">
        <v>5200</v>
      </c>
      <c r="F13" s="28" t="s">
        <v>5173</v>
      </c>
      <c r="G13" s="36" t="s">
        <v>5201</v>
      </c>
      <c r="H13" s="36" t="s">
        <v>5202</v>
      </c>
    </row>
    <row r="14" spans="1:8" ht="15.75" customHeight="1">
      <c r="A14" s="28" t="s">
        <v>2648</v>
      </c>
      <c r="B14" s="8" t="s">
        <v>7601</v>
      </c>
      <c r="C14" s="37" t="s">
        <v>7693</v>
      </c>
      <c r="D14" s="28" t="s">
        <v>2768</v>
      </c>
      <c r="E14" s="36" t="s">
        <v>5203</v>
      </c>
      <c r="F14" s="28" t="s">
        <v>5173</v>
      </c>
      <c r="G14" s="36" t="s">
        <v>5204</v>
      </c>
      <c r="H14" s="36" t="s">
        <v>5205</v>
      </c>
    </row>
    <row r="15" spans="1:8" ht="15.75" customHeight="1">
      <c r="A15" s="28" t="s">
        <v>287</v>
      </c>
      <c r="B15" s="8" t="s">
        <v>7700</v>
      </c>
      <c r="C15" s="37" t="s">
        <v>7693</v>
      </c>
      <c r="D15" s="28" t="s">
        <v>3497</v>
      </c>
      <c r="E15" s="36" t="s">
        <v>5206</v>
      </c>
      <c r="F15" s="28" t="s">
        <v>5173</v>
      </c>
      <c r="G15" s="36" t="s">
        <v>5207</v>
      </c>
      <c r="H15" s="36" t="s">
        <v>5208</v>
      </c>
    </row>
    <row r="16" spans="1:8" ht="15.75" customHeight="1">
      <c r="A16" s="28" t="s">
        <v>1065</v>
      </c>
      <c r="B16" s="8" t="s">
        <v>7702</v>
      </c>
      <c r="C16" s="37" t="s">
        <v>7693</v>
      </c>
      <c r="D16" s="28" t="s">
        <v>1070</v>
      </c>
      <c r="E16" s="36" t="s">
        <v>5209</v>
      </c>
      <c r="F16" s="28" t="s">
        <v>5194</v>
      </c>
      <c r="G16" s="36" t="s">
        <v>5210</v>
      </c>
      <c r="H16" s="36" t="s">
        <v>5211</v>
      </c>
    </row>
    <row r="17" spans="1:8" ht="15.75" customHeight="1">
      <c r="A17" s="28" t="s">
        <v>915</v>
      </c>
      <c r="B17" s="8" t="s">
        <v>7701</v>
      </c>
      <c r="C17" s="37" t="s">
        <v>7693</v>
      </c>
      <c r="D17" s="28" t="s">
        <v>1007</v>
      </c>
      <c r="E17" s="36" t="s">
        <v>5212</v>
      </c>
      <c r="F17" s="28" t="s">
        <v>5213</v>
      </c>
      <c r="G17" s="36" t="s">
        <v>5214</v>
      </c>
      <c r="H17" s="36" t="s">
        <v>5215</v>
      </c>
    </row>
    <row r="18" spans="1:8" ht="30.5">
      <c r="A18" s="28" t="s">
        <v>1220</v>
      </c>
      <c r="B18" s="37" t="s">
        <v>7732</v>
      </c>
      <c r="C18" s="37" t="s">
        <v>7693</v>
      </c>
      <c r="D18" s="28" t="s">
        <v>6526</v>
      </c>
      <c r="E18" s="36" t="s">
        <v>5216</v>
      </c>
      <c r="F18" s="28" t="s">
        <v>5173</v>
      </c>
      <c r="G18" s="36" t="s">
        <v>5217</v>
      </c>
      <c r="H18" s="36" t="s">
        <v>5218</v>
      </c>
    </row>
    <row r="19" spans="1:8" ht="20.5">
      <c r="A19" s="28" t="s">
        <v>464</v>
      </c>
      <c r="B19" s="8" t="s">
        <v>7710</v>
      </c>
      <c r="C19" s="37" t="s">
        <v>7693</v>
      </c>
      <c r="D19" s="28" t="s">
        <v>478</v>
      </c>
      <c r="E19" s="36" t="s">
        <v>5219</v>
      </c>
      <c r="F19" s="28" t="s">
        <v>5220</v>
      </c>
      <c r="G19" s="36" t="s">
        <v>5221</v>
      </c>
      <c r="H19" s="36" t="s">
        <v>5222</v>
      </c>
    </row>
    <row r="20" spans="1:8" ht="40.5">
      <c r="A20" s="28" t="s">
        <v>3194</v>
      </c>
      <c r="B20" s="8" t="s">
        <v>7707</v>
      </c>
      <c r="C20" s="37" t="s">
        <v>7693</v>
      </c>
      <c r="D20" s="28" t="s">
        <v>3309</v>
      </c>
      <c r="E20" s="36" t="s">
        <v>5223</v>
      </c>
      <c r="F20" s="28" t="s">
        <v>5180</v>
      </c>
      <c r="G20" s="36" t="s">
        <v>5224</v>
      </c>
      <c r="H20" s="36" t="s">
        <v>5225</v>
      </c>
    </row>
    <row r="21" spans="1:8" ht="20.5">
      <c r="A21" s="28" t="s">
        <v>2909</v>
      </c>
      <c r="B21" s="8" t="s">
        <v>7717</v>
      </c>
      <c r="C21" s="37" t="s">
        <v>7693</v>
      </c>
      <c r="D21" s="28" t="s">
        <v>3587</v>
      </c>
      <c r="E21" s="36" t="s">
        <v>5226</v>
      </c>
      <c r="F21" s="28" t="s">
        <v>5173</v>
      </c>
      <c r="G21" s="36" t="s">
        <v>5227</v>
      </c>
      <c r="H21" s="36" t="s">
        <v>5228</v>
      </c>
    </row>
    <row r="22" spans="1:8" ht="20.5">
      <c r="A22" s="28" t="s">
        <v>1065</v>
      </c>
      <c r="B22" s="8" t="s">
        <v>7702</v>
      </c>
      <c r="C22" s="37" t="s">
        <v>7695</v>
      </c>
      <c r="D22" s="28" t="s">
        <v>5229</v>
      </c>
      <c r="E22" s="36" t="s">
        <v>5230</v>
      </c>
      <c r="F22" s="28" t="s">
        <v>5173</v>
      </c>
      <c r="G22" s="36" t="s">
        <v>5231</v>
      </c>
      <c r="H22" s="36" t="s">
        <v>5232</v>
      </c>
    </row>
    <row r="23" spans="1:8" ht="40.5">
      <c r="A23" s="28" t="s">
        <v>464</v>
      </c>
      <c r="B23" s="8" t="s">
        <v>7710</v>
      </c>
      <c r="C23" s="37" t="s">
        <v>7693</v>
      </c>
      <c r="D23" s="28" t="s">
        <v>478</v>
      </c>
      <c r="E23" s="36" t="s">
        <v>5233</v>
      </c>
      <c r="F23" s="28" t="s">
        <v>5173</v>
      </c>
      <c r="G23" s="36" t="s">
        <v>5234</v>
      </c>
      <c r="H23" s="36" t="s">
        <v>5235</v>
      </c>
    </row>
    <row r="24" spans="1:8" ht="80.5">
      <c r="A24" s="28" t="s">
        <v>1065</v>
      </c>
      <c r="B24" s="8" t="s">
        <v>7702</v>
      </c>
      <c r="C24" s="37" t="s">
        <v>7693</v>
      </c>
      <c r="D24" s="28" t="s">
        <v>6054</v>
      </c>
      <c r="E24" s="36" t="s">
        <v>5236</v>
      </c>
      <c r="F24" s="28" t="s">
        <v>5173</v>
      </c>
      <c r="G24" s="36" t="s">
        <v>5237</v>
      </c>
      <c r="H24" s="36" t="s">
        <v>5238</v>
      </c>
    </row>
    <row r="25" spans="1:8" ht="30.5">
      <c r="A25" s="28" t="s">
        <v>2527</v>
      </c>
      <c r="B25" s="8" t="s">
        <v>7727</v>
      </c>
      <c r="C25" s="37" t="s">
        <v>7693</v>
      </c>
      <c r="D25" s="28" t="s">
        <v>2620</v>
      </c>
      <c r="E25" s="36" t="s">
        <v>5239</v>
      </c>
      <c r="F25" s="28" t="s">
        <v>5162</v>
      </c>
      <c r="G25" s="36" t="s">
        <v>5240</v>
      </c>
      <c r="H25" s="36" t="s">
        <v>5241</v>
      </c>
    </row>
    <row r="26" spans="1:8" ht="40.5">
      <c r="A26" s="28" t="s">
        <v>3315</v>
      </c>
      <c r="B26" s="8" t="s">
        <v>7705</v>
      </c>
      <c r="C26" s="37" t="s">
        <v>7693</v>
      </c>
      <c r="D26" s="28" t="s">
        <v>3435</v>
      </c>
      <c r="E26" s="36" t="s">
        <v>5242</v>
      </c>
      <c r="F26" s="28" t="s">
        <v>5166</v>
      </c>
      <c r="G26" s="36" t="s">
        <v>5243</v>
      </c>
      <c r="H26" s="36" t="s">
        <v>5196</v>
      </c>
    </row>
    <row r="27" spans="1:8" ht="30.5">
      <c r="A27" s="28" t="s">
        <v>1065</v>
      </c>
      <c r="B27" s="8" t="s">
        <v>7702</v>
      </c>
      <c r="C27" s="37" t="s">
        <v>7693</v>
      </c>
      <c r="D27" s="28" t="s">
        <v>1070</v>
      </c>
      <c r="E27" s="36" t="s">
        <v>5244</v>
      </c>
      <c r="F27" s="28" t="s">
        <v>5173</v>
      </c>
      <c r="G27" s="36" t="s">
        <v>5245</v>
      </c>
      <c r="H27" s="36" t="s">
        <v>5246</v>
      </c>
    </row>
    <row r="28" spans="1:8" ht="20.5">
      <c r="A28" s="28" t="s">
        <v>3315</v>
      </c>
      <c r="B28" s="8" t="s">
        <v>7705</v>
      </c>
      <c r="C28" s="37" t="s">
        <v>7693</v>
      </c>
      <c r="D28" s="28" t="s">
        <v>3435</v>
      </c>
      <c r="E28" s="36" t="s">
        <v>5247</v>
      </c>
      <c r="F28" s="28" t="s">
        <v>5180</v>
      </c>
      <c r="G28" s="36" t="s">
        <v>5248</v>
      </c>
      <c r="H28" s="36" t="s">
        <v>5249</v>
      </c>
    </row>
    <row r="29" spans="1:8" ht="50.5">
      <c r="A29" s="28" t="s">
        <v>1532</v>
      </c>
      <c r="B29" s="8" t="s">
        <v>7754</v>
      </c>
      <c r="C29" s="37" t="s">
        <v>7693</v>
      </c>
      <c r="D29" s="28" t="s">
        <v>1584</v>
      </c>
      <c r="E29" s="36" t="s">
        <v>5250</v>
      </c>
      <c r="F29" s="28" t="s">
        <v>5173</v>
      </c>
      <c r="G29" s="36" t="s">
        <v>5251</v>
      </c>
      <c r="H29" s="36" t="s">
        <v>5252</v>
      </c>
    </row>
    <row r="30" spans="1:8" ht="30.5">
      <c r="A30" s="28" t="s">
        <v>3315</v>
      </c>
      <c r="B30" s="8" t="s">
        <v>7705</v>
      </c>
      <c r="C30" s="37" t="s">
        <v>7693</v>
      </c>
      <c r="D30" s="28" t="s">
        <v>3435</v>
      </c>
      <c r="E30" s="36" t="s">
        <v>5253</v>
      </c>
      <c r="F30" s="28" t="s">
        <v>5173</v>
      </c>
      <c r="G30" s="36" t="s">
        <v>5254</v>
      </c>
      <c r="H30" s="36" t="s">
        <v>5255</v>
      </c>
    </row>
    <row r="31" spans="1:8" ht="12.5">
      <c r="A31" s="28" t="s">
        <v>2264</v>
      </c>
      <c r="B31" s="8" t="s">
        <v>3603</v>
      </c>
      <c r="C31" s="37" t="s">
        <v>7693</v>
      </c>
      <c r="D31" s="28" t="s">
        <v>1504</v>
      </c>
      <c r="E31" s="36" t="s">
        <v>5256</v>
      </c>
      <c r="F31" s="28" t="s">
        <v>5180</v>
      </c>
      <c r="G31" s="36" t="s">
        <v>5257</v>
      </c>
      <c r="H31" s="36" t="s">
        <v>5258</v>
      </c>
    </row>
    <row r="32" spans="1:8" ht="40.5">
      <c r="A32" s="28" t="s">
        <v>464</v>
      </c>
      <c r="B32" s="8" t="s">
        <v>7710</v>
      </c>
      <c r="C32" s="37" t="s">
        <v>7693</v>
      </c>
      <c r="D32" s="28" t="s">
        <v>566</v>
      </c>
      <c r="E32" s="36" t="s">
        <v>5259</v>
      </c>
      <c r="F32" s="28" t="s">
        <v>5173</v>
      </c>
      <c r="G32" s="36" t="s">
        <v>5260</v>
      </c>
      <c r="H32" s="36" t="s">
        <v>5261</v>
      </c>
    </row>
    <row r="33" spans="1:8" ht="50.5">
      <c r="A33" s="28" t="s">
        <v>1597</v>
      </c>
      <c r="B33" s="8" t="s">
        <v>7704</v>
      </c>
      <c r="C33" s="37" t="s">
        <v>7693</v>
      </c>
      <c r="D33" s="28" t="s">
        <v>1662</v>
      </c>
      <c r="E33" s="36" t="s">
        <v>5262</v>
      </c>
      <c r="F33" s="28" t="s">
        <v>5162</v>
      </c>
      <c r="G33" s="36" t="s">
        <v>5263</v>
      </c>
      <c r="H33" s="36" t="s">
        <v>5264</v>
      </c>
    </row>
    <row r="34" spans="1:8" ht="20.5">
      <c r="A34" s="28" t="s">
        <v>3315</v>
      </c>
      <c r="B34" s="8" t="s">
        <v>7705</v>
      </c>
      <c r="C34" s="37" t="s">
        <v>7693</v>
      </c>
      <c r="D34" s="28" t="s">
        <v>3435</v>
      </c>
      <c r="E34" s="36" t="s">
        <v>5265</v>
      </c>
      <c r="F34" s="28" t="s">
        <v>5173</v>
      </c>
      <c r="G34" s="36"/>
      <c r="H34" s="36" t="s">
        <v>5266</v>
      </c>
    </row>
    <row r="35" spans="1:8" ht="30.5">
      <c r="A35" s="28" t="s">
        <v>1532</v>
      </c>
      <c r="B35" s="8" t="s">
        <v>7754</v>
      </c>
      <c r="C35" s="37" t="s">
        <v>8065</v>
      </c>
      <c r="D35" s="28" t="s">
        <v>5267</v>
      </c>
      <c r="E35" s="36" t="s">
        <v>5268</v>
      </c>
      <c r="F35" s="28" t="s">
        <v>5173</v>
      </c>
      <c r="G35" s="36" t="s">
        <v>5269</v>
      </c>
      <c r="H35" s="36" t="s">
        <v>5270</v>
      </c>
    </row>
    <row r="36" spans="1:8" ht="40.5">
      <c r="A36" s="28" t="s">
        <v>3194</v>
      </c>
      <c r="B36" s="8" t="s">
        <v>7707</v>
      </c>
      <c r="C36" s="37" t="s">
        <v>7693</v>
      </c>
      <c r="D36" s="28" t="s">
        <v>3309</v>
      </c>
      <c r="E36" s="36" t="s">
        <v>5271</v>
      </c>
      <c r="F36" s="28" t="s">
        <v>5162</v>
      </c>
      <c r="G36" s="36" t="s">
        <v>5272</v>
      </c>
      <c r="H36" s="36" t="s">
        <v>5273</v>
      </c>
    </row>
    <row r="37" spans="1:8" ht="25">
      <c r="A37" s="28" t="s">
        <v>1220</v>
      </c>
      <c r="B37" s="8" t="s">
        <v>7732</v>
      </c>
      <c r="C37" s="37" t="s">
        <v>8065</v>
      </c>
      <c r="D37" s="28" t="s">
        <v>5274</v>
      </c>
      <c r="E37" s="36" t="s">
        <v>5275</v>
      </c>
      <c r="F37" s="28" t="s">
        <v>5173</v>
      </c>
      <c r="G37" s="36"/>
      <c r="H37" s="36" t="s">
        <v>5276</v>
      </c>
    </row>
    <row r="38" spans="1:8" ht="20.5">
      <c r="A38" s="28" t="s">
        <v>915</v>
      </c>
      <c r="B38" s="8" t="s">
        <v>7701</v>
      </c>
      <c r="C38" s="37" t="s">
        <v>7693</v>
      </c>
      <c r="D38" s="28" t="s">
        <v>5277</v>
      </c>
      <c r="E38" s="36" t="s">
        <v>5278</v>
      </c>
      <c r="F38" s="28" t="s">
        <v>5220</v>
      </c>
      <c r="G38" s="36"/>
      <c r="H38" s="36" t="s">
        <v>5279</v>
      </c>
    </row>
    <row r="39" spans="1:8" ht="20.5">
      <c r="A39" s="28" t="s">
        <v>584</v>
      </c>
      <c r="B39" s="8" t="s">
        <v>7780</v>
      </c>
      <c r="C39" s="37" t="s">
        <v>7695</v>
      </c>
      <c r="D39" s="28" t="s">
        <v>5280</v>
      </c>
      <c r="E39" s="36" t="s">
        <v>5281</v>
      </c>
      <c r="F39" s="28" t="s">
        <v>5173</v>
      </c>
      <c r="G39" s="36"/>
      <c r="H39" s="36" t="s">
        <v>5282</v>
      </c>
    </row>
    <row r="40" spans="1:8" ht="40.5">
      <c r="A40" s="28" t="s">
        <v>2412</v>
      </c>
      <c r="B40" s="8" t="s">
        <v>7709</v>
      </c>
      <c r="C40" s="37" t="s">
        <v>7693</v>
      </c>
      <c r="D40" s="28" t="s">
        <v>2523</v>
      </c>
      <c r="E40" s="36" t="s">
        <v>5283</v>
      </c>
      <c r="F40" s="28" t="s">
        <v>5213</v>
      </c>
      <c r="G40" s="36" t="s">
        <v>5284</v>
      </c>
      <c r="H40" s="36" t="s">
        <v>5285</v>
      </c>
    </row>
    <row r="41" spans="1:8" ht="20.5">
      <c r="A41" s="28" t="s">
        <v>2412</v>
      </c>
      <c r="B41" s="8" t="s">
        <v>7709</v>
      </c>
      <c r="C41" s="37" t="s">
        <v>7693</v>
      </c>
      <c r="D41" s="28" t="s">
        <v>2523</v>
      </c>
      <c r="E41" s="36" t="s">
        <v>5286</v>
      </c>
      <c r="F41" s="28" t="s">
        <v>5213</v>
      </c>
      <c r="G41" s="36" t="s">
        <v>5287</v>
      </c>
      <c r="H41" s="36" t="s">
        <v>5288</v>
      </c>
    </row>
    <row r="42" spans="1:8" ht="30.5">
      <c r="A42" s="28" t="s">
        <v>1788</v>
      </c>
      <c r="B42" s="8" t="s">
        <v>7706</v>
      </c>
      <c r="C42" s="37" t="s">
        <v>8065</v>
      </c>
      <c r="D42" s="28" t="s">
        <v>3609</v>
      </c>
      <c r="E42" s="36" t="s">
        <v>5289</v>
      </c>
      <c r="F42" s="28" t="s">
        <v>5173</v>
      </c>
      <c r="G42" s="36" t="s">
        <v>5290</v>
      </c>
      <c r="H42" s="36" t="s">
        <v>5291</v>
      </c>
    </row>
    <row r="43" spans="1:8" ht="25">
      <c r="A43" s="28" t="s">
        <v>1788</v>
      </c>
      <c r="B43" s="8" t="s">
        <v>7706</v>
      </c>
      <c r="C43" s="37" t="s">
        <v>8065</v>
      </c>
      <c r="D43" s="28" t="s">
        <v>3609</v>
      </c>
      <c r="E43" s="36" t="s">
        <v>5292</v>
      </c>
      <c r="F43" s="28" t="s">
        <v>5173</v>
      </c>
      <c r="G43" s="36"/>
      <c r="H43" s="36" t="s">
        <v>5293</v>
      </c>
    </row>
    <row r="44" spans="1:8" ht="12.5">
      <c r="A44" s="28" t="s">
        <v>584</v>
      </c>
      <c r="B44" s="8" t="s">
        <v>7780</v>
      </c>
      <c r="C44" s="37" t="s">
        <v>7693</v>
      </c>
      <c r="D44" s="28" t="s">
        <v>687</v>
      </c>
      <c r="E44" s="36" t="s">
        <v>5294</v>
      </c>
      <c r="F44" s="28" t="s">
        <v>5220</v>
      </c>
      <c r="G44" s="36" t="s">
        <v>5295</v>
      </c>
      <c r="H44" s="36" t="s">
        <v>5296</v>
      </c>
    </row>
    <row r="45" spans="1:8" ht="12.5">
      <c r="A45" s="28" t="s">
        <v>584</v>
      </c>
      <c r="B45" s="8" t="s">
        <v>7780</v>
      </c>
      <c r="C45" s="37" t="s">
        <v>7693</v>
      </c>
      <c r="D45" s="28" t="s">
        <v>687</v>
      </c>
      <c r="E45" s="36" t="s">
        <v>5297</v>
      </c>
      <c r="F45" s="28" t="s">
        <v>5166</v>
      </c>
      <c r="G45" s="36" t="s">
        <v>5298</v>
      </c>
      <c r="H45" s="36" t="s">
        <v>5296</v>
      </c>
    </row>
    <row r="46" spans="1:8" ht="20.5">
      <c r="A46" s="28" t="s">
        <v>584</v>
      </c>
      <c r="B46" s="8" t="s">
        <v>7780</v>
      </c>
      <c r="C46" s="37" t="s">
        <v>7693</v>
      </c>
      <c r="D46" s="28" t="s">
        <v>687</v>
      </c>
      <c r="E46" s="36" t="s">
        <v>5299</v>
      </c>
      <c r="F46" s="28" t="s">
        <v>5173</v>
      </c>
      <c r="G46" s="36" t="s">
        <v>5298</v>
      </c>
      <c r="H46" s="36" t="s">
        <v>5300</v>
      </c>
    </row>
    <row r="47" spans="1:8" ht="12.5">
      <c r="A47" s="28" t="s">
        <v>584</v>
      </c>
      <c r="B47" s="8" t="s">
        <v>7780</v>
      </c>
      <c r="C47" s="37" t="s">
        <v>7693</v>
      </c>
      <c r="D47" s="28" t="s">
        <v>687</v>
      </c>
      <c r="E47" s="36" t="s">
        <v>5301</v>
      </c>
      <c r="F47" s="28" t="s">
        <v>5173</v>
      </c>
      <c r="G47" s="36" t="s">
        <v>5298</v>
      </c>
      <c r="H47" s="36" t="s">
        <v>5302</v>
      </c>
    </row>
    <row r="48" spans="1:8" ht="30.5">
      <c r="A48" s="28" t="s">
        <v>584</v>
      </c>
      <c r="B48" s="8" t="s">
        <v>7780</v>
      </c>
      <c r="C48" s="37" t="s">
        <v>7693</v>
      </c>
      <c r="D48" s="28" t="s">
        <v>687</v>
      </c>
      <c r="E48" s="36" t="s">
        <v>5303</v>
      </c>
      <c r="F48" s="28" t="s">
        <v>5173</v>
      </c>
      <c r="G48" s="36" t="s">
        <v>5298</v>
      </c>
      <c r="H48" s="36" t="s">
        <v>5302</v>
      </c>
    </row>
    <row r="49" spans="1:8" ht="20.5">
      <c r="A49" s="28" t="s">
        <v>2412</v>
      </c>
      <c r="B49" s="8" t="s">
        <v>7709</v>
      </c>
      <c r="C49" s="37" t="s">
        <v>7693</v>
      </c>
      <c r="D49" s="28" t="s">
        <v>2445</v>
      </c>
      <c r="E49" s="36" t="s">
        <v>5304</v>
      </c>
      <c r="F49" s="28" t="s">
        <v>5173</v>
      </c>
      <c r="G49" s="36"/>
      <c r="H49" s="36" t="s">
        <v>5305</v>
      </c>
    </row>
    <row r="50" spans="1:8" ht="20.5">
      <c r="A50" s="28" t="s">
        <v>2412</v>
      </c>
      <c r="B50" s="8" t="s">
        <v>7709</v>
      </c>
      <c r="C50" s="37" t="s">
        <v>7693</v>
      </c>
      <c r="D50" s="28" t="s">
        <v>2445</v>
      </c>
      <c r="E50" s="36" t="s">
        <v>5306</v>
      </c>
      <c r="F50" s="28" t="s">
        <v>5173</v>
      </c>
      <c r="G50" s="36"/>
      <c r="H50" s="36" t="s">
        <v>5307</v>
      </c>
    </row>
    <row r="51" spans="1:8" ht="20.5">
      <c r="A51" s="28" t="s">
        <v>2412</v>
      </c>
      <c r="B51" s="8" t="s">
        <v>7709</v>
      </c>
      <c r="C51" s="37" t="s">
        <v>7693</v>
      </c>
      <c r="D51" s="28" t="s">
        <v>2445</v>
      </c>
      <c r="E51" s="36" t="s">
        <v>5308</v>
      </c>
      <c r="F51" s="28" t="s">
        <v>5173</v>
      </c>
      <c r="G51" s="36"/>
      <c r="H51" s="36" t="s">
        <v>5309</v>
      </c>
    </row>
    <row r="52" spans="1:8" ht="20.5">
      <c r="A52" s="28" t="s">
        <v>1065</v>
      </c>
      <c r="B52" s="8" t="s">
        <v>7702</v>
      </c>
      <c r="C52" s="37" t="s">
        <v>7693</v>
      </c>
      <c r="D52" s="28" t="s">
        <v>5310</v>
      </c>
      <c r="E52" s="36" t="s">
        <v>5311</v>
      </c>
      <c r="F52" s="28" t="s">
        <v>5194</v>
      </c>
      <c r="G52" s="36"/>
      <c r="H52" s="36" t="s">
        <v>5312</v>
      </c>
    </row>
    <row r="53" spans="1:8" ht="20.5">
      <c r="A53" s="28" t="s">
        <v>1220</v>
      </c>
      <c r="B53" s="8" t="s">
        <v>7732</v>
      </c>
      <c r="C53" s="37" t="s">
        <v>7693</v>
      </c>
      <c r="D53" s="28" t="s">
        <v>1308</v>
      </c>
      <c r="E53" s="36" t="s">
        <v>5313</v>
      </c>
      <c r="F53" s="28" t="s">
        <v>5213</v>
      </c>
      <c r="G53" s="36"/>
      <c r="H53" s="36" t="s">
        <v>5314</v>
      </c>
    </row>
    <row r="54" spans="1:8" ht="20.5">
      <c r="A54" s="28" t="s">
        <v>1220</v>
      </c>
      <c r="B54" s="8" t="s">
        <v>7732</v>
      </c>
      <c r="C54" s="37" t="s">
        <v>7693</v>
      </c>
      <c r="D54" s="28" t="s">
        <v>1308</v>
      </c>
      <c r="E54" s="36" t="s">
        <v>5315</v>
      </c>
      <c r="F54" s="28" t="s">
        <v>5316</v>
      </c>
      <c r="G54" s="36"/>
      <c r="H54" s="36" t="s">
        <v>5317</v>
      </c>
    </row>
    <row r="55" spans="1:8" ht="20.5">
      <c r="A55" s="28" t="s">
        <v>1220</v>
      </c>
      <c r="B55" s="8" t="s">
        <v>7732</v>
      </c>
      <c r="C55" s="37" t="s">
        <v>7695</v>
      </c>
      <c r="D55" s="28" t="s">
        <v>1240</v>
      </c>
      <c r="E55" s="36" t="s">
        <v>5318</v>
      </c>
      <c r="F55" s="28" t="s">
        <v>5194</v>
      </c>
      <c r="G55" s="36"/>
      <c r="H55" s="36" t="s">
        <v>5319</v>
      </c>
    </row>
    <row r="56" spans="1:8" ht="30.5">
      <c r="A56" s="28" t="s">
        <v>1220</v>
      </c>
      <c r="B56" s="8" t="s">
        <v>7732</v>
      </c>
      <c r="C56" s="37" t="s">
        <v>7693</v>
      </c>
      <c r="D56" s="28" t="s">
        <v>1346</v>
      </c>
      <c r="E56" s="36" t="s">
        <v>5320</v>
      </c>
      <c r="F56" s="28" t="s">
        <v>5194</v>
      </c>
      <c r="G56" s="36"/>
      <c r="H56" s="36" t="s">
        <v>5321</v>
      </c>
    </row>
    <row r="57" spans="1:8" ht="20.5">
      <c r="A57" s="28" t="s">
        <v>1220</v>
      </c>
      <c r="B57" s="8" t="s">
        <v>7732</v>
      </c>
      <c r="C57" s="37" t="s">
        <v>7693</v>
      </c>
      <c r="D57" s="28" t="s">
        <v>1272</v>
      </c>
      <c r="E57" s="36" t="s">
        <v>5322</v>
      </c>
      <c r="F57" s="28" t="s">
        <v>5194</v>
      </c>
      <c r="G57" s="36"/>
      <c r="H57" s="36" t="s">
        <v>5323</v>
      </c>
    </row>
    <row r="58" spans="1:8" ht="20.5">
      <c r="A58" s="28" t="s">
        <v>1220</v>
      </c>
      <c r="B58" s="8" t="s">
        <v>7732</v>
      </c>
      <c r="C58" s="37" t="s">
        <v>7693</v>
      </c>
      <c r="D58" s="28" t="s">
        <v>1361</v>
      </c>
      <c r="E58" s="36" t="s">
        <v>5324</v>
      </c>
      <c r="F58" s="28" t="s">
        <v>5194</v>
      </c>
      <c r="G58" s="36"/>
      <c r="H58" s="36" t="s">
        <v>5325</v>
      </c>
    </row>
    <row r="59" spans="1:8" ht="20.5">
      <c r="A59" s="28" t="s">
        <v>1220</v>
      </c>
      <c r="B59" s="8" t="s">
        <v>7732</v>
      </c>
      <c r="C59" s="37" t="s">
        <v>7693</v>
      </c>
      <c r="D59" s="28" t="s">
        <v>1404</v>
      </c>
      <c r="E59" s="36" t="s">
        <v>5326</v>
      </c>
      <c r="F59" s="28" t="s">
        <v>5220</v>
      </c>
      <c r="G59" s="36"/>
      <c r="H59" s="36" t="s">
        <v>5327</v>
      </c>
    </row>
    <row r="60" spans="1:8" ht="20.5">
      <c r="A60" s="28" t="s">
        <v>1220</v>
      </c>
      <c r="B60" s="8" t="s">
        <v>7732</v>
      </c>
      <c r="C60" s="37" t="s">
        <v>7695</v>
      </c>
      <c r="D60" s="28" t="s">
        <v>1352</v>
      </c>
      <c r="E60" s="36" t="s">
        <v>5328</v>
      </c>
      <c r="F60" s="28" t="s">
        <v>5316</v>
      </c>
      <c r="G60" s="36"/>
      <c r="H60" s="36" t="s">
        <v>5329</v>
      </c>
    </row>
    <row r="61" spans="1:8" ht="20.5">
      <c r="A61" s="28" t="s">
        <v>1220</v>
      </c>
      <c r="B61" s="8" t="s">
        <v>7732</v>
      </c>
      <c r="C61" s="37" t="s">
        <v>7693</v>
      </c>
      <c r="D61" s="28" t="s">
        <v>1308</v>
      </c>
      <c r="E61" s="36" t="s">
        <v>5330</v>
      </c>
      <c r="F61" s="28" t="s">
        <v>5331</v>
      </c>
      <c r="G61" s="36"/>
      <c r="H61" s="36" t="s">
        <v>5332</v>
      </c>
    </row>
    <row r="62" spans="1:8" ht="20.5">
      <c r="A62" s="28" t="s">
        <v>1220</v>
      </c>
      <c r="B62" s="8" t="s">
        <v>7732</v>
      </c>
      <c r="C62" s="37" t="s">
        <v>7693</v>
      </c>
      <c r="D62" s="28" t="s">
        <v>1308</v>
      </c>
      <c r="E62" s="36" t="s">
        <v>5333</v>
      </c>
      <c r="F62" s="28" t="s">
        <v>5331</v>
      </c>
      <c r="G62" s="36"/>
      <c r="H62" s="36" t="s">
        <v>5332</v>
      </c>
    </row>
    <row r="63" spans="1:8" ht="12.5">
      <c r="A63" s="28" t="s">
        <v>1220</v>
      </c>
      <c r="B63" s="8" t="s">
        <v>7732</v>
      </c>
      <c r="C63" s="37" t="s">
        <v>7693</v>
      </c>
      <c r="D63" s="28" t="s">
        <v>1404</v>
      </c>
      <c r="E63" s="36" t="s">
        <v>5334</v>
      </c>
      <c r="F63" s="28" t="s">
        <v>5331</v>
      </c>
      <c r="G63" s="36"/>
      <c r="H63" s="36" t="s">
        <v>5335</v>
      </c>
    </row>
    <row r="64" spans="1:8" ht="30.5">
      <c r="A64" s="28" t="s">
        <v>1220</v>
      </c>
      <c r="B64" s="8" t="s">
        <v>7732</v>
      </c>
      <c r="C64" s="37" t="s">
        <v>7693</v>
      </c>
      <c r="D64" s="28" t="s">
        <v>1376</v>
      </c>
      <c r="E64" s="36" t="s">
        <v>5336</v>
      </c>
      <c r="F64" s="28" t="s">
        <v>5173</v>
      </c>
      <c r="G64" s="36"/>
      <c r="H64" s="36" t="s">
        <v>5337</v>
      </c>
    </row>
    <row r="65" spans="1:8" ht="20.5">
      <c r="A65" s="28" t="s">
        <v>1220</v>
      </c>
      <c r="B65" s="8" t="s">
        <v>7732</v>
      </c>
      <c r="C65" s="37" t="s">
        <v>7693</v>
      </c>
      <c r="D65" s="28" t="s">
        <v>1308</v>
      </c>
      <c r="E65" s="36" t="s">
        <v>5338</v>
      </c>
      <c r="F65" s="28" t="s">
        <v>5173</v>
      </c>
      <c r="G65" s="36"/>
      <c r="H65" s="36" t="s">
        <v>5339</v>
      </c>
    </row>
    <row r="66" spans="1:8" ht="25">
      <c r="A66" s="28" t="s">
        <v>1220</v>
      </c>
      <c r="B66" s="8" t="s">
        <v>7732</v>
      </c>
      <c r="C66" s="37" t="s">
        <v>8065</v>
      </c>
      <c r="D66" s="28" t="s">
        <v>5340</v>
      </c>
      <c r="E66" s="36" t="s">
        <v>5341</v>
      </c>
      <c r="F66" s="28" t="s">
        <v>5173</v>
      </c>
      <c r="G66" s="36"/>
      <c r="H66" s="36" t="s">
        <v>5342</v>
      </c>
    </row>
    <row r="67" spans="1:8" ht="25">
      <c r="A67" s="28" t="s">
        <v>1220</v>
      </c>
      <c r="B67" s="8" t="s">
        <v>7732</v>
      </c>
      <c r="C67" s="37" t="s">
        <v>8065</v>
      </c>
      <c r="D67" s="28" t="s">
        <v>1311</v>
      </c>
      <c r="E67" s="36" t="s">
        <v>5343</v>
      </c>
      <c r="F67" s="28" t="s">
        <v>5173</v>
      </c>
      <c r="G67" s="36"/>
      <c r="H67" s="36" t="s">
        <v>5344</v>
      </c>
    </row>
    <row r="68" spans="1:8" ht="25">
      <c r="A68" s="28" t="s">
        <v>1220</v>
      </c>
      <c r="B68" s="8" t="s">
        <v>7732</v>
      </c>
      <c r="C68" s="37" t="s">
        <v>8065</v>
      </c>
      <c r="D68" s="28" t="s">
        <v>1343</v>
      </c>
      <c r="E68" s="36" t="s">
        <v>5345</v>
      </c>
      <c r="F68" s="28" t="s">
        <v>5220</v>
      </c>
      <c r="G68" s="36"/>
      <c r="H68" s="36" t="s">
        <v>5346</v>
      </c>
    </row>
    <row r="69" spans="1:8" ht="30.5">
      <c r="A69" s="28" t="s">
        <v>1220</v>
      </c>
      <c r="B69" s="8" t="s">
        <v>7732</v>
      </c>
      <c r="C69" s="37" t="s">
        <v>7693</v>
      </c>
      <c r="D69" s="28" t="s">
        <v>1333</v>
      </c>
      <c r="E69" s="36" t="s">
        <v>5347</v>
      </c>
      <c r="F69" s="28" t="s">
        <v>5173</v>
      </c>
      <c r="G69" s="36"/>
      <c r="H69" s="36" t="s">
        <v>5348</v>
      </c>
    </row>
    <row r="70" spans="1:8" ht="20.5">
      <c r="A70" s="28" t="s">
        <v>1220</v>
      </c>
      <c r="B70" s="8" t="s">
        <v>7732</v>
      </c>
      <c r="C70" s="37" t="s">
        <v>7693</v>
      </c>
      <c r="D70" s="28" t="s">
        <v>1333</v>
      </c>
      <c r="E70" s="36" t="s">
        <v>5349</v>
      </c>
      <c r="F70" s="28" t="s">
        <v>5173</v>
      </c>
      <c r="G70" s="36"/>
      <c r="H70" s="36" t="s">
        <v>5350</v>
      </c>
    </row>
    <row r="71" spans="1:8" ht="20.5">
      <c r="A71" s="28" t="s">
        <v>1220</v>
      </c>
      <c r="B71" s="8" t="s">
        <v>7732</v>
      </c>
      <c r="C71" s="37" t="s">
        <v>7693</v>
      </c>
      <c r="D71" s="28" t="s">
        <v>1308</v>
      </c>
      <c r="E71" s="36" t="s">
        <v>5351</v>
      </c>
      <c r="F71" s="28" t="s">
        <v>5173</v>
      </c>
      <c r="G71" s="36"/>
      <c r="H71" s="36" t="s">
        <v>5352</v>
      </c>
    </row>
    <row r="72" spans="1:8" ht="20.5">
      <c r="A72" s="28" t="s">
        <v>1220</v>
      </c>
      <c r="B72" s="8" t="s">
        <v>7732</v>
      </c>
      <c r="C72" s="37" t="s">
        <v>7693</v>
      </c>
      <c r="D72" s="28" t="s">
        <v>1308</v>
      </c>
      <c r="E72" s="36" t="s">
        <v>5353</v>
      </c>
      <c r="F72" s="28" t="s">
        <v>5173</v>
      </c>
      <c r="G72" s="36"/>
      <c r="H72" s="36" t="s">
        <v>5354</v>
      </c>
    </row>
    <row r="73" spans="1:8" ht="20.5">
      <c r="A73" s="28" t="s">
        <v>1220</v>
      </c>
      <c r="B73" s="8" t="s">
        <v>7732</v>
      </c>
      <c r="C73" s="37" t="s">
        <v>7693</v>
      </c>
      <c r="D73" s="28" t="s">
        <v>1308</v>
      </c>
      <c r="E73" s="36" t="s">
        <v>5355</v>
      </c>
      <c r="F73" s="28" t="s">
        <v>5173</v>
      </c>
      <c r="G73" s="36"/>
      <c r="H73" s="36" t="s">
        <v>5356</v>
      </c>
    </row>
    <row r="74" spans="1:8" ht="20.5">
      <c r="A74" s="28" t="s">
        <v>1220</v>
      </c>
      <c r="B74" s="8" t="s">
        <v>7732</v>
      </c>
      <c r="C74" s="37" t="s">
        <v>7693</v>
      </c>
      <c r="D74" s="28" t="s">
        <v>1223</v>
      </c>
      <c r="E74" s="36" t="s">
        <v>5357</v>
      </c>
      <c r="F74" s="28" t="s">
        <v>5173</v>
      </c>
      <c r="G74" s="36"/>
      <c r="H74" s="36" t="s">
        <v>5358</v>
      </c>
    </row>
    <row r="75" spans="1:8" ht="30.5">
      <c r="A75" s="28" t="s">
        <v>1220</v>
      </c>
      <c r="B75" s="8" t="s">
        <v>7732</v>
      </c>
      <c r="C75" s="37" t="s">
        <v>7693</v>
      </c>
      <c r="D75" s="28" t="s">
        <v>1223</v>
      </c>
      <c r="E75" s="36" t="s">
        <v>5359</v>
      </c>
      <c r="F75" s="28" t="s">
        <v>5173</v>
      </c>
      <c r="G75" s="36"/>
      <c r="H75" s="36" t="s">
        <v>5360</v>
      </c>
    </row>
    <row r="76" spans="1:8" ht="20.5">
      <c r="A76" s="28" t="s">
        <v>1220</v>
      </c>
      <c r="B76" s="8" t="s">
        <v>7732</v>
      </c>
      <c r="C76" s="37" t="s">
        <v>7693</v>
      </c>
      <c r="D76" s="28" t="s">
        <v>1223</v>
      </c>
      <c r="E76" s="36" t="s">
        <v>5361</v>
      </c>
      <c r="F76" s="28" t="s">
        <v>5173</v>
      </c>
      <c r="G76" s="36"/>
      <c r="H76" s="36" t="s">
        <v>5362</v>
      </c>
    </row>
    <row r="77" spans="1:8" ht="12.5">
      <c r="A77" s="28" t="s">
        <v>1220</v>
      </c>
      <c r="B77" s="8" t="s">
        <v>7732</v>
      </c>
      <c r="C77" s="37" t="s">
        <v>7693</v>
      </c>
      <c r="D77" s="28" t="s">
        <v>1223</v>
      </c>
      <c r="E77" s="36" t="s">
        <v>5363</v>
      </c>
      <c r="F77" s="28" t="s">
        <v>5173</v>
      </c>
      <c r="G77" s="36"/>
      <c r="H77" s="36" t="s">
        <v>5364</v>
      </c>
    </row>
    <row r="78" spans="1:8" ht="20.5">
      <c r="A78" s="28" t="s">
        <v>1220</v>
      </c>
      <c r="B78" s="8" t="s">
        <v>7732</v>
      </c>
      <c r="C78" s="37" t="s">
        <v>7693</v>
      </c>
      <c r="D78" s="28" t="s">
        <v>1223</v>
      </c>
      <c r="E78" s="36" t="s">
        <v>5365</v>
      </c>
      <c r="F78" s="28" t="s">
        <v>5173</v>
      </c>
      <c r="G78" s="36"/>
      <c r="H78" s="36" t="s">
        <v>5366</v>
      </c>
    </row>
    <row r="79" spans="1:8" ht="12.5">
      <c r="A79" s="28" t="s">
        <v>1220</v>
      </c>
      <c r="B79" s="8" t="s">
        <v>7732</v>
      </c>
      <c r="C79" s="37" t="s">
        <v>7693</v>
      </c>
      <c r="D79" s="28" t="s">
        <v>1404</v>
      </c>
      <c r="E79" s="36" t="s">
        <v>5367</v>
      </c>
      <c r="F79" s="28" t="s">
        <v>5173</v>
      </c>
      <c r="G79" s="36"/>
      <c r="H79" s="36" t="s">
        <v>5368</v>
      </c>
    </row>
    <row r="80" spans="1:8" ht="12.5">
      <c r="A80" s="28" t="s">
        <v>1220</v>
      </c>
      <c r="B80" s="8" t="s">
        <v>7732</v>
      </c>
      <c r="C80" s="37" t="s">
        <v>7693</v>
      </c>
      <c r="D80" s="28" t="s">
        <v>1404</v>
      </c>
      <c r="E80" s="36" t="s">
        <v>5369</v>
      </c>
      <c r="F80" s="28" t="s">
        <v>5190</v>
      </c>
      <c r="G80" s="36"/>
      <c r="H80" s="36" t="s">
        <v>5370</v>
      </c>
    </row>
    <row r="81" spans="1:8" ht="20.5">
      <c r="A81" s="28" t="s">
        <v>1220</v>
      </c>
      <c r="B81" s="8" t="s">
        <v>7732</v>
      </c>
      <c r="C81" s="37" t="s">
        <v>7693</v>
      </c>
      <c r="D81" s="28" t="s">
        <v>1361</v>
      </c>
      <c r="E81" s="36" t="s">
        <v>5371</v>
      </c>
      <c r="F81" s="28" t="s">
        <v>5166</v>
      </c>
      <c r="G81" s="36"/>
      <c r="H81" s="36" t="s">
        <v>5372</v>
      </c>
    </row>
    <row r="82" spans="1:8" ht="20.5">
      <c r="A82" s="28" t="s">
        <v>1220</v>
      </c>
      <c r="B82" s="8" t="s">
        <v>7732</v>
      </c>
      <c r="C82" s="37" t="s">
        <v>7693</v>
      </c>
      <c r="D82" s="28" t="s">
        <v>1308</v>
      </c>
      <c r="E82" s="36" t="s">
        <v>5373</v>
      </c>
      <c r="F82" s="28" t="s">
        <v>5166</v>
      </c>
      <c r="G82" s="36"/>
      <c r="H82" s="36" t="s">
        <v>5374</v>
      </c>
    </row>
    <row r="83" spans="1:8" ht="50.5">
      <c r="A83" s="28" t="s">
        <v>1220</v>
      </c>
      <c r="B83" s="37" t="s">
        <v>7732</v>
      </c>
      <c r="C83" s="37" t="s">
        <v>7693</v>
      </c>
      <c r="D83" s="28" t="s">
        <v>6526</v>
      </c>
      <c r="E83" s="36" t="s">
        <v>5375</v>
      </c>
      <c r="F83" s="28" t="s">
        <v>5166</v>
      </c>
      <c r="G83" s="36" t="s">
        <v>5376</v>
      </c>
      <c r="H83" s="36" t="s">
        <v>5377</v>
      </c>
    </row>
    <row r="84" spans="1:8" ht="30.5">
      <c r="A84" s="28" t="s">
        <v>2909</v>
      </c>
      <c r="B84" s="8" t="s">
        <v>7717</v>
      </c>
      <c r="C84" s="37" t="s">
        <v>7693</v>
      </c>
      <c r="D84" s="28" t="s">
        <v>2996</v>
      </c>
      <c r="E84" s="36" t="s">
        <v>5378</v>
      </c>
      <c r="F84" s="28" t="s">
        <v>5166</v>
      </c>
      <c r="G84" s="36"/>
      <c r="H84" s="36" t="s">
        <v>5379</v>
      </c>
    </row>
    <row r="85" spans="1:8" ht="30.5">
      <c r="A85" s="28" t="s">
        <v>1220</v>
      </c>
      <c r="B85" s="8" t="s">
        <v>7732</v>
      </c>
      <c r="C85" s="37" t="s">
        <v>7693</v>
      </c>
      <c r="D85" s="28" t="s">
        <v>5380</v>
      </c>
      <c r="E85" s="36" t="s">
        <v>5381</v>
      </c>
      <c r="F85" s="28" t="s">
        <v>5166</v>
      </c>
      <c r="G85" s="36"/>
      <c r="H85" s="36" t="s">
        <v>5382</v>
      </c>
    </row>
    <row r="86" spans="1:8" ht="25">
      <c r="A86" s="28" t="s">
        <v>1220</v>
      </c>
      <c r="B86" s="8" t="s">
        <v>7732</v>
      </c>
      <c r="C86" s="37" t="s">
        <v>8065</v>
      </c>
      <c r="D86" s="28" t="s">
        <v>1265</v>
      </c>
      <c r="E86" s="36" t="s">
        <v>5383</v>
      </c>
      <c r="F86" s="28" t="s">
        <v>5173</v>
      </c>
      <c r="G86" s="36"/>
      <c r="H86" s="36" t="s">
        <v>5384</v>
      </c>
    </row>
    <row r="87" spans="1:8" ht="20.5">
      <c r="A87" s="28" t="s">
        <v>1220</v>
      </c>
      <c r="B87" s="8" t="s">
        <v>7732</v>
      </c>
      <c r="C87" s="37" t="s">
        <v>7693</v>
      </c>
      <c r="D87" s="28" t="s">
        <v>2660</v>
      </c>
      <c r="E87" s="36" t="s">
        <v>5385</v>
      </c>
      <c r="F87" s="28" t="s">
        <v>5173</v>
      </c>
      <c r="G87" s="36"/>
      <c r="H87" s="36" t="s">
        <v>5386</v>
      </c>
    </row>
    <row r="88" spans="1:8" ht="20.5">
      <c r="A88" s="28" t="s">
        <v>1220</v>
      </c>
      <c r="B88" s="8" t="s">
        <v>7732</v>
      </c>
      <c r="C88" s="37" t="s">
        <v>7693</v>
      </c>
      <c r="D88" s="28" t="s">
        <v>1298</v>
      </c>
      <c r="E88" s="36" t="s">
        <v>5387</v>
      </c>
      <c r="F88" s="28" t="s">
        <v>5173</v>
      </c>
      <c r="G88" s="36"/>
      <c r="H88" s="36" t="s">
        <v>5388</v>
      </c>
    </row>
    <row r="89" spans="1:8" ht="20.5">
      <c r="A89" s="28" t="s">
        <v>3315</v>
      </c>
      <c r="B89" s="8" t="s">
        <v>7705</v>
      </c>
      <c r="C89" s="37" t="s">
        <v>7693</v>
      </c>
      <c r="D89" s="28" t="s">
        <v>5389</v>
      </c>
      <c r="E89" s="36" t="s">
        <v>5390</v>
      </c>
      <c r="F89" s="28" t="s">
        <v>5173</v>
      </c>
      <c r="G89" s="36"/>
      <c r="H89" s="36" t="s">
        <v>5391</v>
      </c>
    </row>
    <row r="90" spans="1:8" ht="30.5">
      <c r="A90" s="28" t="s">
        <v>2793</v>
      </c>
      <c r="B90" s="8" t="s">
        <v>7737</v>
      </c>
      <c r="C90" s="37" t="s">
        <v>7693</v>
      </c>
      <c r="D90" s="28" t="s">
        <v>5392</v>
      </c>
      <c r="E90" s="36" t="s">
        <v>5393</v>
      </c>
      <c r="F90" s="28" t="s">
        <v>5166</v>
      </c>
      <c r="G90" s="36" t="s">
        <v>5394</v>
      </c>
      <c r="H90" s="36" t="s">
        <v>5395</v>
      </c>
    </row>
    <row r="91" spans="1:8" ht="30.5">
      <c r="A91" s="28" t="s">
        <v>2793</v>
      </c>
      <c r="B91" s="8" t="s">
        <v>7737</v>
      </c>
      <c r="C91" s="37" t="s">
        <v>7693</v>
      </c>
      <c r="D91" s="28" t="s">
        <v>5392</v>
      </c>
      <c r="E91" s="36" t="s">
        <v>5396</v>
      </c>
      <c r="F91" s="28" t="s">
        <v>5166</v>
      </c>
      <c r="G91" s="36" t="s">
        <v>5397</v>
      </c>
      <c r="H91" s="36" t="s">
        <v>5398</v>
      </c>
    </row>
    <row r="92" spans="1:8" ht="12.5">
      <c r="A92" s="28" t="s">
        <v>2793</v>
      </c>
      <c r="B92" s="8" t="s">
        <v>7737</v>
      </c>
      <c r="C92" s="37" t="s">
        <v>7693</v>
      </c>
      <c r="D92" s="28" t="s">
        <v>5392</v>
      </c>
      <c r="E92" s="36" t="s">
        <v>5399</v>
      </c>
      <c r="F92" s="28" t="s">
        <v>5173</v>
      </c>
      <c r="G92" s="36" t="s">
        <v>5400</v>
      </c>
      <c r="H92" s="36" t="s">
        <v>5401</v>
      </c>
    </row>
    <row r="93" spans="1:8" ht="20.5">
      <c r="A93" s="28" t="s">
        <v>287</v>
      </c>
      <c r="B93" s="8" t="s">
        <v>7700</v>
      </c>
      <c r="C93" s="37" t="s">
        <v>7695</v>
      </c>
      <c r="D93" s="28" t="s">
        <v>5402</v>
      </c>
      <c r="E93" s="36" t="s">
        <v>5403</v>
      </c>
      <c r="F93" s="28" t="s">
        <v>5173</v>
      </c>
      <c r="G93" s="36" t="s">
        <v>5404</v>
      </c>
      <c r="H93" s="36" t="s">
        <v>5405</v>
      </c>
    </row>
    <row r="94" spans="1:8" ht="40.5">
      <c r="A94" s="28" t="s">
        <v>915</v>
      </c>
      <c r="B94" s="8" t="s">
        <v>7701</v>
      </c>
      <c r="C94" s="37" t="s">
        <v>7693</v>
      </c>
      <c r="D94" s="28" t="s">
        <v>972</v>
      </c>
      <c r="E94" s="36" t="s">
        <v>5406</v>
      </c>
      <c r="F94" s="28" t="s">
        <v>5166</v>
      </c>
      <c r="G94" s="36" t="s">
        <v>5407</v>
      </c>
      <c r="H94" s="36" t="s">
        <v>5408</v>
      </c>
    </row>
    <row r="95" spans="1:8" ht="30.5">
      <c r="A95" s="28" t="s">
        <v>915</v>
      </c>
      <c r="B95" s="8" t="s">
        <v>7701</v>
      </c>
      <c r="C95" s="37" t="s">
        <v>7693</v>
      </c>
      <c r="D95" s="28" t="s">
        <v>1061</v>
      </c>
      <c r="E95" s="36" t="s">
        <v>5409</v>
      </c>
      <c r="F95" s="28" t="s">
        <v>5213</v>
      </c>
      <c r="G95" s="36" t="s">
        <v>5410</v>
      </c>
      <c r="H95" s="36" t="s">
        <v>5411</v>
      </c>
    </row>
    <row r="96" spans="1:8" ht="12.5">
      <c r="A96" s="28" t="s">
        <v>915</v>
      </c>
      <c r="B96" s="8" t="s">
        <v>7701</v>
      </c>
      <c r="C96" s="37" t="s">
        <v>7693</v>
      </c>
      <c r="D96" s="28" t="s">
        <v>1061</v>
      </c>
      <c r="E96" s="36" t="s">
        <v>5412</v>
      </c>
      <c r="F96" s="28" t="s">
        <v>5173</v>
      </c>
      <c r="G96" s="36" t="s">
        <v>5413</v>
      </c>
      <c r="H96" s="36" t="s">
        <v>5414</v>
      </c>
    </row>
    <row r="97" spans="1:8" ht="20.5">
      <c r="A97" s="28" t="s">
        <v>915</v>
      </c>
      <c r="B97" s="8" t="s">
        <v>7701</v>
      </c>
      <c r="C97" s="37" t="s">
        <v>7693</v>
      </c>
      <c r="D97" s="28" t="s">
        <v>1061</v>
      </c>
      <c r="E97" s="36" t="s">
        <v>5415</v>
      </c>
      <c r="F97" s="28" t="s">
        <v>5173</v>
      </c>
      <c r="G97" s="36" t="s">
        <v>5416</v>
      </c>
      <c r="H97" s="36" t="s">
        <v>5417</v>
      </c>
    </row>
    <row r="98" spans="1:8" ht="20.5">
      <c r="A98" s="28" t="s">
        <v>17</v>
      </c>
      <c r="B98" s="8" t="s">
        <v>7699</v>
      </c>
      <c r="C98" s="37" t="s">
        <v>7695</v>
      </c>
      <c r="D98" s="28" t="s">
        <v>5418</v>
      </c>
      <c r="E98" s="36" t="s">
        <v>5419</v>
      </c>
      <c r="F98" s="28" t="s">
        <v>5166</v>
      </c>
      <c r="G98" s="36"/>
      <c r="H98" s="36" t="s">
        <v>5420</v>
      </c>
    </row>
    <row r="99" spans="1:8" ht="25">
      <c r="A99" s="28" t="s">
        <v>584</v>
      </c>
      <c r="B99" s="8" t="s">
        <v>7780</v>
      </c>
      <c r="C99" s="37" t="s">
        <v>8065</v>
      </c>
      <c r="D99" s="28" t="s">
        <v>599</v>
      </c>
      <c r="E99" s="36" t="s">
        <v>5421</v>
      </c>
      <c r="F99" s="28" t="s">
        <v>5220</v>
      </c>
      <c r="G99" s="36"/>
      <c r="H99" s="36" t="s">
        <v>5422</v>
      </c>
    </row>
    <row r="100" spans="1:8" ht="25">
      <c r="A100" s="28" t="s">
        <v>584</v>
      </c>
      <c r="B100" s="8" t="s">
        <v>7780</v>
      </c>
      <c r="C100" s="37" t="s">
        <v>8065</v>
      </c>
      <c r="D100" s="28" t="s">
        <v>599</v>
      </c>
      <c r="E100" s="36" t="s">
        <v>5423</v>
      </c>
      <c r="F100" s="28" t="s">
        <v>5173</v>
      </c>
      <c r="G100" s="36"/>
      <c r="H100" s="36" t="s">
        <v>5424</v>
      </c>
    </row>
    <row r="101" spans="1:8" ht="20.5">
      <c r="A101" s="28" t="s">
        <v>2793</v>
      </c>
      <c r="B101" s="8" t="s">
        <v>7737</v>
      </c>
      <c r="C101" s="37" t="s">
        <v>7693</v>
      </c>
      <c r="D101" s="28" t="s">
        <v>2847</v>
      </c>
      <c r="E101" s="36" t="s">
        <v>5425</v>
      </c>
      <c r="F101" s="28" t="s">
        <v>5173</v>
      </c>
      <c r="G101" s="36" t="s">
        <v>5426</v>
      </c>
      <c r="H101" s="36" t="s">
        <v>5427</v>
      </c>
    </row>
    <row r="102" spans="1:8" ht="20.5">
      <c r="A102" s="28" t="s">
        <v>915</v>
      </c>
      <c r="B102" s="8" t="s">
        <v>7701</v>
      </c>
      <c r="C102" s="37" t="s">
        <v>7693</v>
      </c>
      <c r="D102" s="28" t="s">
        <v>922</v>
      </c>
      <c r="E102" s="36" t="s">
        <v>5428</v>
      </c>
      <c r="F102" s="28" t="s">
        <v>5173</v>
      </c>
      <c r="G102" s="36"/>
      <c r="H102" s="36" t="s">
        <v>5429</v>
      </c>
    </row>
    <row r="103" spans="1:8" ht="40.5">
      <c r="A103" s="28" t="s">
        <v>915</v>
      </c>
      <c r="B103" s="8" t="s">
        <v>7701</v>
      </c>
      <c r="C103" s="37" t="s">
        <v>7693</v>
      </c>
      <c r="D103" s="28" t="s">
        <v>922</v>
      </c>
      <c r="E103" s="36" t="s">
        <v>5430</v>
      </c>
      <c r="F103" s="28" t="s">
        <v>5173</v>
      </c>
      <c r="G103" s="36" t="s">
        <v>5431</v>
      </c>
      <c r="H103" s="36" t="s">
        <v>5432</v>
      </c>
    </row>
    <row r="104" spans="1:8" ht="50.5">
      <c r="A104" s="28" t="s">
        <v>584</v>
      </c>
      <c r="B104" s="8" t="s">
        <v>7780</v>
      </c>
      <c r="C104" s="37" t="s">
        <v>7693</v>
      </c>
      <c r="D104" s="28" t="s">
        <v>5433</v>
      </c>
      <c r="E104" s="36" t="s">
        <v>5434</v>
      </c>
      <c r="F104" s="28" t="s">
        <v>5166</v>
      </c>
      <c r="G104" s="36" t="s">
        <v>5435</v>
      </c>
      <c r="H104" s="36" t="s">
        <v>5436</v>
      </c>
    </row>
    <row r="105" spans="1:8" ht="40.5">
      <c r="A105" s="28" t="s">
        <v>584</v>
      </c>
      <c r="B105" s="8" t="s">
        <v>7780</v>
      </c>
      <c r="C105" s="37" t="s">
        <v>8065</v>
      </c>
      <c r="D105" s="28" t="s">
        <v>4027</v>
      </c>
      <c r="E105" s="36" t="s">
        <v>5437</v>
      </c>
      <c r="F105" s="28" t="s">
        <v>5173</v>
      </c>
      <c r="G105" s="36" t="s">
        <v>5438</v>
      </c>
      <c r="H105" s="36" t="s">
        <v>5439</v>
      </c>
    </row>
    <row r="106" spans="1:8" ht="20.5">
      <c r="A106" s="28" t="s">
        <v>2412</v>
      </c>
      <c r="B106" s="8" t="s">
        <v>7709</v>
      </c>
      <c r="C106" s="37" t="s">
        <v>7693</v>
      </c>
      <c r="D106" s="28" t="s">
        <v>5440</v>
      </c>
      <c r="E106" s="36" t="s">
        <v>5441</v>
      </c>
      <c r="F106" s="28" t="s">
        <v>5166</v>
      </c>
      <c r="G106" s="36" t="s">
        <v>5442</v>
      </c>
      <c r="H106" s="36" t="s">
        <v>5443</v>
      </c>
    </row>
    <row r="107" spans="1:8" ht="30.5">
      <c r="A107" s="28" t="s">
        <v>584</v>
      </c>
      <c r="B107" s="8" t="s">
        <v>7780</v>
      </c>
      <c r="C107" s="37" t="s">
        <v>7693</v>
      </c>
      <c r="D107" s="28" t="s">
        <v>722</v>
      </c>
      <c r="E107" s="36" t="s">
        <v>5444</v>
      </c>
      <c r="F107" s="28" t="s">
        <v>5220</v>
      </c>
      <c r="G107" s="36" t="s">
        <v>5445</v>
      </c>
      <c r="H107" s="36" t="s">
        <v>5446</v>
      </c>
    </row>
    <row r="108" spans="1:8" ht="20.5">
      <c r="A108" s="28" t="s">
        <v>1900</v>
      </c>
      <c r="B108" s="8" t="s">
        <v>7781</v>
      </c>
      <c r="C108" s="37" t="s">
        <v>7693</v>
      </c>
      <c r="D108" s="28" t="s">
        <v>611</v>
      </c>
      <c r="E108" s="36" t="s">
        <v>5447</v>
      </c>
      <c r="F108" s="28" t="s">
        <v>5173</v>
      </c>
      <c r="G108" s="36" t="s">
        <v>5448</v>
      </c>
      <c r="H108" s="36" t="s">
        <v>5449</v>
      </c>
    </row>
    <row r="109" spans="1:8" ht="20.5">
      <c r="A109" s="28" t="s">
        <v>1220</v>
      </c>
      <c r="B109" s="8" t="s">
        <v>7732</v>
      </c>
      <c r="C109" s="37" t="s">
        <v>7693</v>
      </c>
      <c r="D109" s="28" t="s">
        <v>3538</v>
      </c>
      <c r="E109" s="36" t="s">
        <v>5450</v>
      </c>
      <c r="F109" s="28" t="s">
        <v>5213</v>
      </c>
      <c r="G109" s="36" t="s">
        <v>5451</v>
      </c>
      <c r="H109" s="36" t="s">
        <v>5452</v>
      </c>
    </row>
    <row r="110" spans="1:8" ht="20.5">
      <c r="A110" s="28" t="s">
        <v>2793</v>
      </c>
      <c r="B110" s="8" t="s">
        <v>7737</v>
      </c>
      <c r="C110" s="37" t="s">
        <v>7693</v>
      </c>
      <c r="D110" s="28" t="s">
        <v>5453</v>
      </c>
      <c r="E110" s="36" t="s">
        <v>5454</v>
      </c>
      <c r="F110" s="28" t="s">
        <v>5173</v>
      </c>
      <c r="G110" s="36" t="s">
        <v>5455</v>
      </c>
      <c r="H110" s="36" t="s">
        <v>5456</v>
      </c>
    </row>
    <row r="111" spans="1:8" ht="40.5">
      <c r="A111" s="28" t="s">
        <v>464</v>
      </c>
      <c r="B111" s="8" t="s">
        <v>7710</v>
      </c>
      <c r="C111" s="37" t="s">
        <v>7693</v>
      </c>
      <c r="D111" s="28" t="s">
        <v>4422</v>
      </c>
      <c r="E111" s="36" t="s">
        <v>5457</v>
      </c>
      <c r="F111" s="28" t="s">
        <v>5220</v>
      </c>
      <c r="G111" s="36" t="s">
        <v>5458</v>
      </c>
      <c r="H111" s="36" t="s">
        <v>5459</v>
      </c>
    </row>
    <row r="112" spans="1:8" ht="30.5">
      <c r="A112" s="28" t="s">
        <v>464</v>
      </c>
      <c r="B112" s="8" t="s">
        <v>7710</v>
      </c>
      <c r="C112" s="37" t="s">
        <v>7693</v>
      </c>
      <c r="D112" s="28" t="s">
        <v>4422</v>
      </c>
      <c r="E112" s="36" t="s">
        <v>5460</v>
      </c>
      <c r="F112" s="28" t="s">
        <v>5162</v>
      </c>
      <c r="G112" s="36" t="s">
        <v>5461</v>
      </c>
      <c r="H112" s="36" t="s">
        <v>5462</v>
      </c>
    </row>
    <row r="113" spans="1:8" ht="20.5">
      <c r="A113" s="28" t="s">
        <v>1788</v>
      </c>
      <c r="B113" s="8" t="s">
        <v>7706</v>
      </c>
      <c r="C113" s="37" t="s">
        <v>7693</v>
      </c>
      <c r="D113" s="28" t="s">
        <v>4944</v>
      </c>
      <c r="E113" s="36" t="s">
        <v>5463</v>
      </c>
      <c r="F113" s="28" t="s">
        <v>5173</v>
      </c>
      <c r="G113" s="36" t="s">
        <v>5464</v>
      </c>
      <c r="H113" s="36" t="s">
        <v>5465</v>
      </c>
    </row>
    <row r="114" spans="1:8" ht="40.5">
      <c r="A114" s="28" t="s">
        <v>3315</v>
      </c>
      <c r="B114" s="8" t="s">
        <v>7705</v>
      </c>
      <c r="C114" s="37" t="s">
        <v>7693</v>
      </c>
      <c r="D114" s="28" t="s">
        <v>5141</v>
      </c>
      <c r="E114" s="36" t="s">
        <v>5466</v>
      </c>
      <c r="F114" s="28" t="s">
        <v>5173</v>
      </c>
      <c r="G114" s="36" t="s">
        <v>5467</v>
      </c>
      <c r="H114" s="36" t="s">
        <v>5468</v>
      </c>
    </row>
    <row r="115" spans="1:8" ht="12.5">
      <c r="A115" s="28" t="s">
        <v>3315</v>
      </c>
      <c r="B115" s="8" t="s">
        <v>7705</v>
      </c>
      <c r="C115" s="37" t="s">
        <v>7693</v>
      </c>
      <c r="D115" s="28" t="s">
        <v>5141</v>
      </c>
      <c r="E115" s="36" t="s">
        <v>5469</v>
      </c>
      <c r="F115" s="28" t="s">
        <v>5173</v>
      </c>
      <c r="G115" s="36" t="s">
        <v>5470</v>
      </c>
      <c r="H115" s="36" t="s">
        <v>5471</v>
      </c>
    </row>
    <row r="116" spans="1:8" ht="20.5">
      <c r="A116" s="28" t="s">
        <v>3315</v>
      </c>
      <c r="B116" s="8" t="s">
        <v>7705</v>
      </c>
      <c r="C116" s="37" t="s">
        <v>7693</v>
      </c>
      <c r="D116" s="28" t="s">
        <v>5141</v>
      </c>
      <c r="E116" s="36" t="s">
        <v>5472</v>
      </c>
      <c r="F116" s="28" t="s">
        <v>5173</v>
      </c>
      <c r="G116" s="36" t="s">
        <v>5473</v>
      </c>
      <c r="H116" s="36" t="s">
        <v>5474</v>
      </c>
    </row>
    <row r="117" spans="1:8" ht="20.5">
      <c r="A117" s="28" t="s">
        <v>3315</v>
      </c>
      <c r="B117" s="8" t="s">
        <v>7705</v>
      </c>
      <c r="C117" s="37" t="s">
        <v>7693</v>
      </c>
      <c r="D117" s="28" t="s">
        <v>5141</v>
      </c>
      <c r="E117" s="36" t="s">
        <v>5475</v>
      </c>
      <c r="F117" s="28" t="s">
        <v>5173</v>
      </c>
      <c r="G117" s="36" t="s">
        <v>5476</v>
      </c>
      <c r="H117" s="36" t="s">
        <v>5477</v>
      </c>
    </row>
    <row r="118" spans="1:8" ht="20.5">
      <c r="A118" s="28" t="s">
        <v>3315</v>
      </c>
      <c r="B118" s="8" t="s">
        <v>7705</v>
      </c>
      <c r="C118" s="37" t="s">
        <v>7693</v>
      </c>
      <c r="D118" s="28" t="s">
        <v>5141</v>
      </c>
      <c r="E118" s="36" t="s">
        <v>5478</v>
      </c>
      <c r="F118" s="28" t="s">
        <v>5173</v>
      </c>
      <c r="G118" s="36" t="s">
        <v>5479</v>
      </c>
      <c r="H118" s="36" t="s">
        <v>5480</v>
      </c>
    </row>
    <row r="119" spans="1:8" ht="30.5">
      <c r="A119" s="28" t="s">
        <v>3315</v>
      </c>
      <c r="B119" s="8" t="s">
        <v>7705</v>
      </c>
      <c r="C119" s="37" t="s">
        <v>7693</v>
      </c>
      <c r="D119" s="28" t="s">
        <v>5141</v>
      </c>
      <c r="E119" s="36" t="s">
        <v>5481</v>
      </c>
      <c r="F119" s="28" t="s">
        <v>5173</v>
      </c>
      <c r="G119" s="36" t="s">
        <v>5482</v>
      </c>
      <c r="H119" s="36" t="s">
        <v>5477</v>
      </c>
    </row>
    <row r="120" spans="1:8" ht="30.5">
      <c r="A120" s="28" t="s">
        <v>733</v>
      </c>
      <c r="B120" s="8" t="s">
        <v>7807</v>
      </c>
      <c r="C120" s="37" t="s">
        <v>7693</v>
      </c>
      <c r="D120" s="28" t="s">
        <v>872</v>
      </c>
      <c r="E120" s="36" t="s">
        <v>5483</v>
      </c>
      <c r="F120" s="28" t="s">
        <v>5173</v>
      </c>
      <c r="G120" s="36" t="s">
        <v>5484</v>
      </c>
      <c r="H120" s="36" t="s">
        <v>5485</v>
      </c>
    </row>
    <row r="121" spans="1:8" ht="40.5">
      <c r="A121" s="28" t="s">
        <v>733</v>
      </c>
      <c r="B121" s="8" t="s">
        <v>7807</v>
      </c>
      <c r="C121" s="37" t="s">
        <v>7693</v>
      </c>
      <c r="D121" s="28" t="s">
        <v>739</v>
      </c>
      <c r="E121" s="36" t="s">
        <v>5486</v>
      </c>
      <c r="F121" s="28" t="s">
        <v>5220</v>
      </c>
      <c r="G121" s="36" t="s">
        <v>5487</v>
      </c>
      <c r="H121" s="36" t="s">
        <v>5488</v>
      </c>
    </row>
    <row r="122" spans="1:8" ht="30.5">
      <c r="A122" s="28" t="s">
        <v>733</v>
      </c>
      <c r="B122" s="8" t="s">
        <v>7807</v>
      </c>
      <c r="C122" s="37" t="s">
        <v>7693</v>
      </c>
      <c r="D122" s="28" t="s">
        <v>739</v>
      </c>
      <c r="E122" s="36" t="s">
        <v>5489</v>
      </c>
      <c r="F122" s="28" t="s">
        <v>5173</v>
      </c>
      <c r="G122" s="36" t="s">
        <v>5490</v>
      </c>
      <c r="H122" s="36" t="s">
        <v>5491</v>
      </c>
    </row>
    <row r="123" spans="1:8" ht="30.5">
      <c r="A123" s="28" t="s">
        <v>733</v>
      </c>
      <c r="B123" s="8" t="s">
        <v>7807</v>
      </c>
      <c r="C123" s="37" t="s">
        <v>7693</v>
      </c>
      <c r="D123" s="28" t="s">
        <v>739</v>
      </c>
      <c r="E123" s="36" t="s">
        <v>5492</v>
      </c>
      <c r="F123" s="28" t="s">
        <v>5173</v>
      </c>
      <c r="G123" s="36" t="s">
        <v>5493</v>
      </c>
      <c r="H123" s="36" t="s">
        <v>5491</v>
      </c>
    </row>
    <row r="124" spans="1:8" ht="30.5">
      <c r="A124" s="28" t="s">
        <v>464</v>
      </c>
      <c r="B124" s="8" t="s">
        <v>7710</v>
      </c>
      <c r="C124" s="37" t="s">
        <v>7693</v>
      </c>
      <c r="D124" s="28" t="s">
        <v>4491</v>
      </c>
      <c r="E124" s="36" t="s">
        <v>5494</v>
      </c>
      <c r="F124" s="28" t="s">
        <v>5166</v>
      </c>
      <c r="G124" s="36" t="s">
        <v>5495</v>
      </c>
      <c r="H124" s="36" t="s">
        <v>5496</v>
      </c>
    </row>
    <row r="125" spans="1:8" ht="30.5">
      <c r="A125" s="28" t="s">
        <v>2412</v>
      </c>
      <c r="B125" s="8" t="s">
        <v>7709</v>
      </c>
      <c r="C125" s="37" t="s">
        <v>7693</v>
      </c>
      <c r="D125" s="28" t="s">
        <v>2495</v>
      </c>
      <c r="E125" s="36" t="s">
        <v>5497</v>
      </c>
      <c r="F125" s="28" t="s">
        <v>5194</v>
      </c>
      <c r="G125" s="36" t="s">
        <v>5498</v>
      </c>
      <c r="H125" s="36" t="s">
        <v>5499</v>
      </c>
    </row>
    <row r="126" spans="1:8" ht="20.5">
      <c r="A126" s="28" t="s">
        <v>2412</v>
      </c>
      <c r="B126" s="8" t="s">
        <v>7709</v>
      </c>
      <c r="C126" s="37" t="s">
        <v>7693</v>
      </c>
      <c r="D126" s="28" t="s">
        <v>2495</v>
      </c>
      <c r="E126" s="36" t="s">
        <v>5500</v>
      </c>
      <c r="F126" s="28" t="s">
        <v>5173</v>
      </c>
      <c r="G126" s="36" t="s">
        <v>5501</v>
      </c>
      <c r="H126" s="36" t="s">
        <v>5502</v>
      </c>
    </row>
    <row r="127" spans="1:8" ht="40.5">
      <c r="A127" s="28" t="s">
        <v>2412</v>
      </c>
      <c r="B127" s="8" t="s">
        <v>7709</v>
      </c>
      <c r="C127" s="37" t="s">
        <v>7693</v>
      </c>
      <c r="D127" s="28" t="s">
        <v>2495</v>
      </c>
      <c r="E127" s="36" t="s">
        <v>5503</v>
      </c>
      <c r="F127" s="28" t="s">
        <v>5213</v>
      </c>
      <c r="G127" s="36" t="s">
        <v>5504</v>
      </c>
      <c r="H127" s="36" t="s">
        <v>5505</v>
      </c>
    </row>
    <row r="128" spans="1:8" ht="20.5">
      <c r="A128" s="28" t="s">
        <v>2412</v>
      </c>
      <c r="B128" s="8" t="s">
        <v>7709</v>
      </c>
      <c r="C128" s="37" t="s">
        <v>7693</v>
      </c>
      <c r="D128" s="28" t="s">
        <v>2495</v>
      </c>
      <c r="E128" s="36" t="s">
        <v>5506</v>
      </c>
      <c r="F128" s="28" t="s">
        <v>5173</v>
      </c>
      <c r="G128" s="36" t="s">
        <v>5507</v>
      </c>
      <c r="H128" s="36" t="s">
        <v>5508</v>
      </c>
    </row>
    <row r="129" spans="1:8" ht="20.5">
      <c r="A129" s="28" t="s">
        <v>2412</v>
      </c>
      <c r="B129" s="8" t="s">
        <v>7709</v>
      </c>
      <c r="C129" s="37" t="s">
        <v>7693</v>
      </c>
      <c r="D129" s="28" t="s">
        <v>2495</v>
      </c>
      <c r="E129" s="36" t="s">
        <v>5509</v>
      </c>
      <c r="F129" s="28" t="s">
        <v>5173</v>
      </c>
      <c r="G129" s="36" t="s">
        <v>5510</v>
      </c>
      <c r="H129" s="36" t="s">
        <v>5511</v>
      </c>
    </row>
    <row r="130" spans="1:8" ht="40.5">
      <c r="A130" s="28" t="s">
        <v>2412</v>
      </c>
      <c r="B130" s="8" t="s">
        <v>7709</v>
      </c>
      <c r="C130" s="37" t="s">
        <v>7693</v>
      </c>
      <c r="D130" s="28" t="s">
        <v>2495</v>
      </c>
      <c r="E130" s="36" t="s">
        <v>5512</v>
      </c>
      <c r="F130" s="28" t="s">
        <v>5173</v>
      </c>
      <c r="G130" s="36" t="s">
        <v>5513</v>
      </c>
      <c r="H130" s="36" t="s">
        <v>5514</v>
      </c>
    </row>
    <row r="131" spans="1:8" ht="30.5">
      <c r="A131" s="28" t="s">
        <v>2412</v>
      </c>
      <c r="B131" s="8" t="s">
        <v>7709</v>
      </c>
      <c r="C131" s="37" t="s">
        <v>7693</v>
      </c>
      <c r="D131" s="28" t="s">
        <v>2421</v>
      </c>
      <c r="E131" s="36" t="s">
        <v>5515</v>
      </c>
      <c r="F131" s="28" t="s">
        <v>5173</v>
      </c>
      <c r="G131" s="36" t="s">
        <v>5516</v>
      </c>
      <c r="H131" s="36" t="s">
        <v>5517</v>
      </c>
    </row>
    <row r="132" spans="1:8" ht="30.5">
      <c r="A132" s="28" t="s">
        <v>2412</v>
      </c>
      <c r="B132" s="8" t="s">
        <v>7709</v>
      </c>
      <c r="C132" s="37" t="s">
        <v>7693</v>
      </c>
      <c r="D132" s="28" t="s">
        <v>5518</v>
      </c>
      <c r="E132" s="36" t="s">
        <v>5519</v>
      </c>
      <c r="F132" s="28" t="s">
        <v>5173</v>
      </c>
      <c r="G132" s="36" t="s">
        <v>5520</v>
      </c>
      <c r="H132" s="36" t="s">
        <v>5521</v>
      </c>
    </row>
    <row r="133" spans="1:8" ht="20.5">
      <c r="A133" s="28" t="s">
        <v>2412</v>
      </c>
      <c r="B133" s="8" t="s">
        <v>7709</v>
      </c>
      <c r="C133" s="37" t="s">
        <v>7693</v>
      </c>
      <c r="D133" s="28" t="s">
        <v>2462</v>
      </c>
      <c r="E133" s="36" t="s">
        <v>5522</v>
      </c>
      <c r="F133" s="28" t="s">
        <v>5173</v>
      </c>
      <c r="G133" s="36" t="s">
        <v>5523</v>
      </c>
      <c r="H133" s="36" t="s">
        <v>5524</v>
      </c>
    </row>
    <row r="134" spans="1:8" ht="12.5">
      <c r="A134" s="28" t="s">
        <v>2412</v>
      </c>
      <c r="B134" s="8" t="s">
        <v>7709</v>
      </c>
      <c r="C134" s="37" t="s">
        <v>7693</v>
      </c>
      <c r="D134" s="28" t="s">
        <v>2462</v>
      </c>
      <c r="E134" s="36" t="s">
        <v>5525</v>
      </c>
      <c r="F134" s="28" t="s">
        <v>5173</v>
      </c>
      <c r="G134" s="36" t="s">
        <v>5526</v>
      </c>
      <c r="H134" s="36" t="s">
        <v>5527</v>
      </c>
    </row>
    <row r="135" spans="1:8" ht="20.5">
      <c r="A135" s="28" t="s">
        <v>2412</v>
      </c>
      <c r="B135" s="8" t="s">
        <v>7709</v>
      </c>
      <c r="C135" s="37" t="s">
        <v>7693</v>
      </c>
      <c r="D135" s="28" t="s">
        <v>5440</v>
      </c>
      <c r="E135" s="36" t="s">
        <v>5528</v>
      </c>
      <c r="F135" s="28" t="s">
        <v>5166</v>
      </c>
      <c r="G135" s="36" t="s">
        <v>5529</v>
      </c>
      <c r="H135" s="36" t="s">
        <v>5530</v>
      </c>
    </row>
    <row r="136" spans="1:8" ht="12.5">
      <c r="A136" s="28" t="s">
        <v>2412</v>
      </c>
      <c r="B136" s="8" t="s">
        <v>7709</v>
      </c>
      <c r="C136" s="37" t="s">
        <v>7693</v>
      </c>
      <c r="D136" s="28" t="s">
        <v>5440</v>
      </c>
      <c r="E136" s="36" t="s">
        <v>5531</v>
      </c>
      <c r="F136" s="28" t="s">
        <v>5331</v>
      </c>
      <c r="G136" s="36" t="s">
        <v>5532</v>
      </c>
      <c r="H136" s="36" t="s">
        <v>5533</v>
      </c>
    </row>
    <row r="137" spans="1:8" ht="12.5">
      <c r="A137" s="28" t="s">
        <v>2412</v>
      </c>
      <c r="B137" s="8" t="s">
        <v>7709</v>
      </c>
      <c r="C137" s="37" t="s">
        <v>7693</v>
      </c>
      <c r="D137" s="28" t="s">
        <v>5440</v>
      </c>
      <c r="E137" s="36" t="s">
        <v>5534</v>
      </c>
      <c r="F137" s="28" t="s">
        <v>5173</v>
      </c>
      <c r="G137" s="36" t="s">
        <v>5442</v>
      </c>
      <c r="H137" s="36" t="s">
        <v>5535</v>
      </c>
    </row>
    <row r="138" spans="1:8" ht="20.5">
      <c r="A138" s="28" t="s">
        <v>2412</v>
      </c>
      <c r="B138" s="8" t="s">
        <v>7709</v>
      </c>
      <c r="C138" s="37" t="s">
        <v>7693</v>
      </c>
      <c r="D138" s="28" t="s">
        <v>5440</v>
      </c>
      <c r="E138" s="36" t="s">
        <v>5536</v>
      </c>
      <c r="F138" s="28" t="s">
        <v>5173</v>
      </c>
      <c r="G138" s="36" t="s">
        <v>5442</v>
      </c>
      <c r="H138" s="36" t="s">
        <v>5537</v>
      </c>
    </row>
    <row r="139" spans="1:8" ht="30.5">
      <c r="A139" s="28" t="s">
        <v>2412</v>
      </c>
      <c r="B139" s="8" t="s">
        <v>7709</v>
      </c>
      <c r="C139" s="37" t="s">
        <v>7693</v>
      </c>
      <c r="D139" s="28" t="s">
        <v>2505</v>
      </c>
      <c r="E139" s="36" t="s">
        <v>5538</v>
      </c>
      <c r="F139" s="28" t="s">
        <v>5173</v>
      </c>
      <c r="G139" s="36" t="s">
        <v>5539</v>
      </c>
      <c r="H139" s="36" t="s">
        <v>5540</v>
      </c>
    </row>
    <row r="140" spans="1:8" ht="20.5">
      <c r="A140" s="28" t="s">
        <v>2412</v>
      </c>
      <c r="B140" s="8" t="s">
        <v>7709</v>
      </c>
      <c r="C140" s="37" t="s">
        <v>7693</v>
      </c>
      <c r="D140" s="28" t="s">
        <v>2482</v>
      </c>
      <c r="E140" s="36" t="s">
        <v>5541</v>
      </c>
      <c r="F140" s="28" t="s">
        <v>5173</v>
      </c>
      <c r="G140" s="36" t="s">
        <v>5542</v>
      </c>
      <c r="H140" s="36" t="s">
        <v>5543</v>
      </c>
    </row>
    <row r="141" spans="1:8" ht="30.5">
      <c r="A141" s="28" t="s">
        <v>2412</v>
      </c>
      <c r="B141" s="8" t="s">
        <v>7709</v>
      </c>
      <c r="C141" s="37" t="s">
        <v>7693</v>
      </c>
      <c r="D141" s="28" t="s">
        <v>2523</v>
      </c>
      <c r="E141" s="36" t="s">
        <v>5544</v>
      </c>
      <c r="F141" s="28" t="s">
        <v>5173</v>
      </c>
      <c r="G141" s="36" t="s">
        <v>5545</v>
      </c>
      <c r="H141" s="36" t="s">
        <v>5546</v>
      </c>
    </row>
    <row r="142" spans="1:8" ht="50.5">
      <c r="A142" s="28" t="s">
        <v>2412</v>
      </c>
      <c r="B142" s="8" t="s">
        <v>7709</v>
      </c>
      <c r="C142" s="37" t="s">
        <v>7693</v>
      </c>
      <c r="D142" s="28" t="s">
        <v>2523</v>
      </c>
      <c r="E142" s="36" t="s">
        <v>5547</v>
      </c>
      <c r="F142" s="28" t="s">
        <v>5331</v>
      </c>
      <c r="G142" s="36" t="s">
        <v>5548</v>
      </c>
      <c r="H142" s="36" t="s">
        <v>5549</v>
      </c>
    </row>
    <row r="143" spans="1:8" ht="30.5">
      <c r="A143" s="28" t="s">
        <v>2412</v>
      </c>
      <c r="B143" s="8" t="s">
        <v>7709</v>
      </c>
      <c r="C143" s="37" t="s">
        <v>7693</v>
      </c>
      <c r="D143" s="28" t="s">
        <v>5550</v>
      </c>
      <c r="E143" s="36" t="s">
        <v>5551</v>
      </c>
      <c r="F143" s="28" t="s">
        <v>5173</v>
      </c>
      <c r="G143" s="36" t="s">
        <v>5552</v>
      </c>
      <c r="H143" s="36" t="s">
        <v>5553</v>
      </c>
    </row>
    <row r="144" spans="1:8" ht="20.5">
      <c r="A144" s="28" t="s">
        <v>2412</v>
      </c>
      <c r="B144" s="8" t="s">
        <v>7709</v>
      </c>
      <c r="C144" s="37" t="s">
        <v>7693</v>
      </c>
      <c r="D144" s="28" t="s">
        <v>5550</v>
      </c>
      <c r="E144" s="36" t="s">
        <v>5554</v>
      </c>
      <c r="F144" s="28" t="s">
        <v>5173</v>
      </c>
      <c r="G144" s="36" t="s">
        <v>5555</v>
      </c>
      <c r="H144" s="36" t="s">
        <v>5556</v>
      </c>
    </row>
    <row r="145" spans="1:8" ht="30.5">
      <c r="A145" s="28" t="s">
        <v>2412</v>
      </c>
      <c r="B145" s="8" t="s">
        <v>7709</v>
      </c>
      <c r="C145" s="37" t="s">
        <v>7693</v>
      </c>
      <c r="D145" s="28" t="s">
        <v>5550</v>
      </c>
      <c r="E145" s="36" t="s">
        <v>5557</v>
      </c>
      <c r="F145" s="28" t="s">
        <v>5173</v>
      </c>
      <c r="G145" s="36" t="s">
        <v>5552</v>
      </c>
      <c r="H145" s="36" t="s">
        <v>5558</v>
      </c>
    </row>
    <row r="146" spans="1:8" ht="20.5">
      <c r="A146" s="28" t="s">
        <v>2412</v>
      </c>
      <c r="B146" s="8" t="s">
        <v>7709</v>
      </c>
      <c r="C146" s="37" t="s">
        <v>7693</v>
      </c>
      <c r="D146" s="28" t="s">
        <v>5550</v>
      </c>
      <c r="E146" s="36" t="s">
        <v>5559</v>
      </c>
      <c r="F146" s="28" t="s">
        <v>5173</v>
      </c>
      <c r="G146" s="36" t="s">
        <v>5560</v>
      </c>
      <c r="H146" s="36" t="s">
        <v>5561</v>
      </c>
    </row>
    <row r="147" spans="1:8" ht="20.5">
      <c r="A147" s="28" t="s">
        <v>915</v>
      </c>
      <c r="B147" s="8" t="s">
        <v>7701</v>
      </c>
      <c r="C147" s="37" t="s">
        <v>7695</v>
      </c>
      <c r="D147" s="28" t="s">
        <v>5562</v>
      </c>
      <c r="E147" s="36" t="s">
        <v>5563</v>
      </c>
      <c r="F147" s="28" t="s">
        <v>5173</v>
      </c>
      <c r="G147" s="36" t="s">
        <v>5564</v>
      </c>
      <c r="H147" s="36" t="s">
        <v>5565</v>
      </c>
    </row>
    <row r="148" spans="1:8" ht="30.5">
      <c r="A148" s="28" t="s">
        <v>2648</v>
      </c>
      <c r="B148" s="8" t="s">
        <v>7601</v>
      </c>
      <c r="C148" s="37" t="s">
        <v>8065</v>
      </c>
      <c r="D148" s="28" t="s">
        <v>5566</v>
      </c>
      <c r="E148" s="36" t="s">
        <v>5567</v>
      </c>
      <c r="F148" s="28" t="s">
        <v>5220</v>
      </c>
      <c r="G148" s="36" t="s">
        <v>5568</v>
      </c>
      <c r="H148" s="36" t="s">
        <v>5569</v>
      </c>
    </row>
    <row r="149" spans="1:8" ht="40.5">
      <c r="A149" s="28" t="s">
        <v>3046</v>
      </c>
      <c r="B149" s="8" t="s">
        <v>7708</v>
      </c>
      <c r="C149" s="37" t="s">
        <v>7693</v>
      </c>
      <c r="D149" s="28" t="s">
        <v>3190</v>
      </c>
      <c r="E149" s="36" t="s">
        <v>5570</v>
      </c>
      <c r="F149" s="28" t="s">
        <v>5166</v>
      </c>
      <c r="G149" s="36" t="s">
        <v>5571</v>
      </c>
      <c r="H149" s="36" t="s">
        <v>5572</v>
      </c>
    </row>
    <row r="150" spans="1:8" ht="40.5">
      <c r="A150" s="28" t="s">
        <v>3046</v>
      </c>
      <c r="B150" s="8" t="s">
        <v>7708</v>
      </c>
      <c r="C150" s="37" t="s">
        <v>7693</v>
      </c>
      <c r="D150" s="28" t="s">
        <v>3190</v>
      </c>
      <c r="E150" s="36" t="s">
        <v>5573</v>
      </c>
      <c r="F150" s="28" t="s">
        <v>5180</v>
      </c>
      <c r="G150" s="36" t="s">
        <v>5574</v>
      </c>
      <c r="H150" s="36" t="s">
        <v>5575</v>
      </c>
    </row>
    <row r="151" spans="1:8" ht="30.5">
      <c r="A151" s="28" t="s">
        <v>3046</v>
      </c>
      <c r="B151" s="8" t="s">
        <v>7708</v>
      </c>
      <c r="C151" s="37" t="s">
        <v>7693</v>
      </c>
      <c r="D151" s="28" t="s">
        <v>3190</v>
      </c>
      <c r="E151" s="36" t="s">
        <v>5576</v>
      </c>
      <c r="F151" s="28" t="s">
        <v>5173</v>
      </c>
      <c r="G151" s="36" t="s">
        <v>5577</v>
      </c>
      <c r="H151" s="36" t="s">
        <v>5578</v>
      </c>
    </row>
    <row r="152" spans="1:8" ht="60.5">
      <c r="A152" s="28" t="s">
        <v>3046</v>
      </c>
      <c r="B152" s="8" t="s">
        <v>7708</v>
      </c>
      <c r="C152" s="37" t="s">
        <v>7693</v>
      </c>
      <c r="D152" s="28" t="s">
        <v>3190</v>
      </c>
      <c r="E152" s="36" t="s">
        <v>5579</v>
      </c>
      <c r="F152" s="28" t="s">
        <v>5173</v>
      </c>
      <c r="G152" s="36" t="s">
        <v>5580</v>
      </c>
      <c r="H152" s="36" t="s">
        <v>5581</v>
      </c>
    </row>
    <row r="153" spans="1:8" ht="30.5">
      <c r="A153" s="28" t="s">
        <v>3046</v>
      </c>
      <c r="B153" s="8" t="s">
        <v>7708</v>
      </c>
      <c r="C153" s="37" t="s">
        <v>7693</v>
      </c>
      <c r="D153" s="28" t="s">
        <v>3190</v>
      </c>
      <c r="E153" s="36" t="s">
        <v>5582</v>
      </c>
      <c r="F153" s="28" t="s">
        <v>5162</v>
      </c>
      <c r="G153" s="36" t="s">
        <v>5583</v>
      </c>
      <c r="H153" s="36" t="s">
        <v>5584</v>
      </c>
    </row>
    <row r="154" spans="1:8" ht="20.5">
      <c r="A154" s="28" t="s">
        <v>3046</v>
      </c>
      <c r="B154" s="8" t="s">
        <v>7708</v>
      </c>
      <c r="C154" s="37" t="s">
        <v>7693</v>
      </c>
      <c r="D154" s="28" t="s">
        <v>3190</v>
      </c>
      <c r="E154" s="36" t="s">
        <v>5585</v>
      </c>
      <c r="F154" s="28" t="s">
        <v>5220</v>
      </c>
      <c r="G154" s="36" t="s">
        <v>5586</v>
      </c>
      <c r="H154" s="36" t="s">
        <v>5587</v>
      </c>
    </row>
    <row r="155" spans="1:8" ht="12.5">
      <c r="A155" s="28" t="s">
        <v>3046</v>
      </c>
      <c r="B155" s="8" t="s">
        <v>7708</v>
      </c>
      <c r="C155" s="37" t="s">
        <v>7693</v>
      </c>
      <c r="D155" s="28" t="s">
        <v>3190</v>
      </c>
      <c r="E155" s="36" t="s">
        <v>5588</v>
      </c>
      <c r="F155" s="28" t="s">
        <v>5173</v>
      </c>
      <c r="G155" s="36" t="s">
        <v>5589</v>
      </c>
      <c r="H155" s="36" t="s">
        <v>5590</v>
      </c>
    </row>
    <row r="156" spans="1:8" ht="30.5">
      <c r="A156" s="28" t="s">
        <v>3046</v>
      </c>
      <c r="B156" s="8" t="s">
        <v>7708</v>
      </c>
      <c r="C156" s="37" t="s">
        <v>7693</v>
      </c>
      <c r="D156" s="28" t="s">
        <v>3134</v>
      </c>
      <c r="E156" s="36" t="s">
        <v>5591</v>
      </c>
      <c r="F156" s="28" t="s">
        <v>5173</v>
      </c>
      <c r="G156" s="36" t="s">
        <v>5592</v>
      </c>
      <c r="H156" s="36" t="s">
        <v>5593</v>
      </c>
    </row>
    <row r="157" spans="1:8" ht="50.5">
      <c r="A157" s="28" t="s">
        <v>3046</v>
      </c>
      <c r="B157" s="8" t="s">
        <v>7708</v>
      </c>
      <c r="C157" s="37" t="s">
        <v>7693</v>
      </c>
      <c r="D157" s="28" t="s">
        <v>3190</v>
      </c>
      <c r="E157" s="36" t="s">
        <v>5594</v>
      </c>
      <c r="F157" s="28" t="s">
        <v>5180</v>
      </c>
      <c r="G157" s="36" t="s">
        <v>5595</v>
      </c>
      <c r="H157" s="36" t="s">
        <v>5596</v>
      </c>
    </row>
    <row r="158" spans="1:8" ht="30.5">
      <c r="A158" s="28" t="s">
        <v>3046</v>
      </c>
      <c r="B158" s="8" t="s">
        <v>7708</v>
      </c>
      <c r="C158" s="37" t="s">
        <v>7693</v>
      </c>
      <c r="D158" s="28" t="s">
        <v>3096</v>
      </c>
      <c r="E158" s="36" t="s">
        <v>5597</v>
      </c>
      <c r="F158" s="28" t="s">
        <v>5220</v>
      </c>
      <c r="G158" s="36" t="s">
        <v>5598</v>
      </c>
      <c r="H158" s="36" t="s">
        <v>5599</v>
      </c>
    </row>
    <row r="159" spans="1:8" ht="30.5">
      <c r="A159" s="28" t="s">
        <v>3046</v>
      </c>
      <c r="B159" s="8" t="s">
        <v>7708</v>
      </c>
      <c r="C159" s="37" t="s">
        <v>7693</v>
      </c>
      <c r="D159" s="28" t="s">
        <v>3766</v>
      </c>
      <c r="E159" s="36" t="s">
        <v>5600</v>
      </c>
      <c r="F159" s="28" t="s">
        <v>5220</v>
      </c>
      <c r="G159" s="36" t="s">
        <v>5598</v>
      </c>
      <c r="H159" s="36" t="s">
        <v>5601</v>
      </c>
    </row>
    <row r="160" spans="1:8" ht="30.5">
      <c r="A160" s="28" t="s">
        <v>3046</v>
      </c>
      <c r="B160" s="8" t="s">
        <v>7708</v>
      </c>
      <c r="C160" s="37" t="s">
        <v>7695</v>
      </c>
      <c r="D160" s="28" t="s">
        <v>5602</v>
      </c>
      <c r="E160" s="36" t="s">
        <v>5603</v>
      </c>
      <c r="F160" s="28" t="s">
        <v>5220</v>
      </c>
      <c r="G160" s="36" t="s">
        <v>5598</v>
      </c>
      <c r="H160" s="36" t="s">
        <v>5604</v>
      </c>
    </row>
    <row r="161" spans="1:8" ht="40.5">
      <c r="A161" s="28" t="s">
        <v>3046</v>
      </c>
      <c r="B161" s="8" t="s">
        <v>7708</v>
      </c>
      <c r="C161" s="37" t="s">
        <v>7693</v>
      </c>
      <c r="D161" s="28" t="s">
        <v>5605</v>
      </c>
      <c r="E161" s="36" t="s">
        <v>5606</v>
      </c>
      <c r="F161" s="28" t="s">
        <v>5173</v>
      </c>
      <c r="G161" s="36" t="s">
        <v>5607</v>
      </c>
      <c r="H161" s="36" t="s">
        <v>5608</v>
      </c>
    </row>
    <row r="162" spans="1:8" ht="20.5">
      <c r="A162" s="28" t="s">
        <v>3046</v>
      </c>
      <c r="B162" s="8" t="s">
        <v>7708</v>
      </c>
      <c r="C162" s="37" t="s">
        <v>7693</v>
      </c>
      <c r="D162" s="28" t="s">
        <v>3181</v>
      </c>
      <c r="E162" s="36" t="s">
        <v>5609</v>
      </c>
      <c r="F162" s="28" t="s">
        <v>5173</v>
      </c>
      <c r="G162" s="36" t="s">
        <v>5610</v>
      </c>
      <c r="H162" s="36" t="s">
        <v>5611</v>
      </c>
    </row>
    <row r="163" spans="1:8" ht="20.5">
      <c r="A163" s="28" t="s">
        <v>3046</v>
      </c>
      <c r="B163" s="8" t="s">
        <v>7708</v>
      </c>
      <c r="C163" s="37" t="s">
        <v>7693</v>
      </c>
      <c r="D163" s="28" t="s">
        <v>5128</v>
      </c>
      <c r="E163" s="36" t="s">
        <v>5612</v>
      </c>
      <c r="F163" s="28" t="s">
        <v>5173</v>
      </c>
      <c r="G163" s="36" t="s">
        <v>5613</v>
      </c>
      <c r="H163" s="36" t="s">
        <v>5614</v>
      </c>
    </row>
    <row r="164" spans="1:8" ht="40.5">
      <c r="A164" s="28" t="s">
        <v>3046</v>
      </c>
      <c r="B164" s="8" t="s">
        <v>7708</v>
      </c>
      <c r="C164" s="37" t="s">
        <v>7693</v>
      </c>
      <c r="D164" s="28" t="s">
        <v>5128</v>
      </c>
      <c r="E164" s="36" t="s">
        <v>5615</v>
      </c>
      <c r="F164" s="28" t="s">
        <v>5162</v>
      </c>
      <c r="G164" s="36" t="s">
        <v>5616</v>
      </c>
      <c r="H164" s="36" t="s">
        <v>5617</v>
      </c>
    </row>
    <row r="165" spans="1:8" ht="50.5">
      <c r="A165" s="28" t="s">
        <v>1532</v>
      </c>
      <c r="B165" s="8" t="s">
        <v>7754</v>
      </c>
      <c r="C165" s="37" t="s">
        <v>7693</v>
      </c>
      <c r="D165" s="28" t="s">
        <v>1572</v>
      </c>
      <c r="E165" s="36" t="s">
        <v>5618</v>
      </c>
      <c r="F165" s="28" t="s">
        <v>5173</v>
      </c>
      <c r="G165" s="36" t="s">
        <v>5619</v>
      </c>
      <c r="H165" s="36" t="s">
        <v>5620</v>
      </c>
    </row>
    <row r="166" spans="1:8" ht="20.5">
      <c r="A166" s="28" t="s">
        <v>1532</v>
      </c>
      <c r="B166" s="8" t="s">
        <v>7754</v>
      </c>
      <c r="C166" s="37" t="s">
        <v>7693</v>
      </c>
      <c r="D166" s="28" t="s">
        <v>5621</v>
      </c>
      <c r="E166" s="36" t="s">
        <v>5622</v>
      </c>
      <c r="F166" s="28" t="s">
        <v>5173</v>
      </c>
      <c r="G166" s="36" t="s">
        <v>5623</v>
      </c>
      <c r="H166" s="36" t="s">
        <v>5624</v>
      </c>
    </row>
    <row r="167" spans="1:8" ht="40.5">
      <c r="A167" s="28" t="s">
        <v>1532</v>
      </c>
      <c r="B167" s="8" t="s">
        <v>7754</v>
      </c>
      <c r="C167" s="37" t="s">
        <v>7693</v>
      </c>
      <c r="D167" s="28" t="s">
        <v>5625</v>
      </c>
      <c r="E167" s="36" t="s">
        <v>5626</v>
      </c>
      <c r="F167" s="28" t="s">
        <v>5162</v>
      </c>
      <c r="G167" s="36" t="s">
        <v>5627</v>
      </c>
      <c r="H167" s="36" t="s">
        <v>5628</v>
      </c>
    </row>
    <row r="168" spans="1:8" ht="40.5">
      <c r="A168" s="28" t="s">
        <v>1532</v>
      </c>
      <c r="B168" s="8" t="s">
        <v>7754</v>
      </c>
      <c r="C168" s="37" t="s">
        <v>8065</v>
      </c>
      <c r="D168" s="28" t="s">
        <v>5629</v>
      </c>
      <c r="E168" s="36" t="s">
        <v>5630</v>
      </c>
      <c r="F168" s="28" t="s">
        <v>5173</v>
      </c>
      <c r="G168" s="36" t="s">
        <v>5631</v>
      </c>
      <c r="H168" s="36" t="s">
        <v>5632</v>
      </c>
    </row>
    <row r="169" spans="1:8" ht="20.5">
      <c r="A169" s="28" t="s">
        <v>1532</v>
      </c>
      <c r="B169" s="8" t="s">
        <v>7754</v>
      </c>
      <c r="C169" s="37" t="s">
        <v>7693</v>
      </c>
      <c r="D169" s="28" t="s">
        <v>1546</v>
      </c>
      <c r="E169" s="36" t="s">
        <v>5633</v>
      </c>
      <c r="F169" s="28" t="s">
        <v>5173</v>
      </c>
      <c r="G169" s="36" t="s">
        <v>5634</v>
      </c>
      <c r="H169" s="36" t="s">
        <v>5635</v>
      </c>
    </row>
    <row r="170" spans="1:8" ht="50.5">
      <c r="A170" s="28" t="s">
        <v>171</v>
      </c>
      <c r="B170" s="8" t="s">
        <v>7714</v>
      </c>
      <c r="C170" s="37" t="s">
        <v>7695</v>
      </c>
      <c r="D170" s="28" t="s">
        <v>7696</v>
      </c>
      <c r="E170" s="36" t="s">
        <v>5636</v>
      </c>
      <c r="F170" s="28" t="s">
        <v>5173</v>
      </c>
      <c r="G170" s="36" t="s">
        <v>5637</v>
      </c>
      <c r="H170" s="36" t="s">
        <v>5638</v>
      </c>
    </row>
    <row r="171" spans="1:8" ht="20.5">
      <c r="A171" s="28" t="s">
        <v>1065</v>
      </c>
      <c r="B171" s="8" t="s">
        <v>7702</v>
      </c>
      <c r="C171" s="37" t="s">
        <v>7693</v>
      </c>
      <c r="D171" s="28" t="s">
        <v>1142</v>
      </c>
      <c r="E171" s="36" t="s">
        <v>5639</v>
      </c>
      <c r="F171" s="28" t="s">
        <v>5173</v>
      </c>
      <c r="G171" s="36" t="s">
        <v>5640</v>
      </c>
      <c r="H171" s="36" t="s">
        <v>5641</v>
      </c>
    </row>
    <row r="172" spans="1:8" ht="20.5">
      <c r="A172" s="28" t="s">
        <v>733</v>
      </c>
      <c r="B172" s="8" t="s">
        <v>7807</v>
      </c>
      <c r="C172" s="37" t="s">
        <v>7693</v>
      </c>
      <c r="D172" s="28" t="s">
        <v>913</v>
      </c>
      <c r="E172" s="36" t="s">
        <v>5642</v>
      </c>
      <c r="F172" s="28" t="s">
        <v>5166</v>
      </c>
      <c r="G172" s="36" t="s">
        <v>5643</v>
      </c>
      <c r="H172" s="36" t="s">
        <v>5644</v>
      </c>
    </row>
    <row r="173" spans="1:8" ht="20.5">
      <c r="A173" s="28" t="s">
        <v>733</v>
      </c>
      <c r="B173" s="8" t="s">
        <v>7807</v>
      </c>
      <c r="C173" s="37" t="s">
        <v>7693</v>
      </c>
      <c r="D173" s="28" t="s">
        <v>913</v>
      </c>
      <c r="E173" s="36" t="s">
        <v>5645</v>
      </c>
      <c r="F173" s="28" t="s">
        <v>5173</v>
      </c>
      <c r="G173" s="36" t="s">
        <v>5646</v>
      </c>
      <c r="H173" s="36" t="s">
        <v>5647</v>
      </c>
    </row>
    <row r="174" spans="1:8" ht="30.5">
      <c r="A174" s="28" t="s">
        <v>733</v>
      </c>
      <c r="B174" s="8" t="s">
        <v>7807</v>
      </c>
      <c r="C174" s="37" t="s">
        <v>7693</v>
      </c>
      <c r="D174" s="28" t="s">
        <v>913</v>
      </c>
      <c r="E174" s="36" t="s">
        <v>5648</v>
      </c>
      <c r="F174" s="28" t="s">
        <v>5162</v>
      </c>
      <c r="G174" s="36" t="s">
        <v>5649</v>
      </c>
      <c r="H174" s="36" t="s">
        <v>5650</v>
      </c>
    </row>
    <row r="175" spans="1:8" ht="30.5">
      <c r="A175" s="28" t="s">
        <v>1220</v>
      </c>
      <c r="B175" s="8" t="s">
        <v>7732</v>
      </c>
      <c r="C175" s="37" t="s">
        <v>7693</v>
      </c>
      <c r="D175" s="28" t="s">
        <v>1376</v>
      </c>
      <c r="E175" s="36" t="s">
        <v>5651</v>
      </c>
      <c r="F175" s="28" t="s">
        <v>5173</v>
      </c>
      <c r="G175" s="36" t="s">
        <v>5652</v>
      </c>
      <c r="H175" s="36" t="s">
        <v>5653</v>
      </c>
    </row>
    <row r="176" spans="1:8" ht="20.5">
      <c r="A176" s="28" t="s">
        <v>1220</v>
      </c>
      <c r="B176" s="8" t="s">
        <v>7732</v>
      </c>
      <c r="C176" s="37" t="s">
        <v>7693</v>
      </c>
      <c r="D176" s="28" t="s">
        <v>1376</v>
      </c>
      <c r="E176" s="36" t="s">
        <v>5654</v>
      </c>
      <c r="F176" s="28" t="s">
        <v>5173</v>
      </c>
      <c r="G176" s="36" t="s">
        <v>5655</v>
      </c>
      <c r="H176" s="36" t="s">
        <v>5656</v>
      </c>
    </row>
    <row r="177" spans="1:8" ht="40.5">
      <c r="A177" s="28" t="s">
        <v>1220</v>
      </c>
      <c r="B177" s="8" t="s">
        <v>7732</v>
      </c>
      <c r="C177" s="37" t="s">
        <v>7693</v>
      </c>
      <c r="D177" s="28" t="s">
        <v>1376</v>
      </c>
      <c r="E177" s="36" t="s">
        <v>5657</v>
      </c>
      <c r="F177" s="28" t="s">
        <v>5162</v>
      </c>
      <c r="G177" s="36" t="s">
        <v>5658</v>
      </c>
      <c r="H177" s="36" t="s">
        <v>5656</v>
      </c>
    </row>
    <row r="178" spans="1:8" ht="30.5">
      <c r="A178" s="28" t="s">
        <v>1220</v>
      </c>
      <c r="B178" s="8" t="s">
        <v>7732</v>
      </c>
      <c r="C178" s="37" t="s">
        <v>7693</v>
      </c>
      <c r="D178" s="28" t="s">
        <v>1376</v>
      </c>
      <c r="E178" s="36" t="s">
        <v>5659</v>
      </c>
      <c r="F178" s="28" t="s">
        <v>5173</v>
      </c>
      <c r="G178" s="36" t="s">
        <v>5660</v>
      </c>
      <c r="H178" s="36" t="s">
        <v>5337</v>
      </c>
    </row>
    <row r="179" spans="1:8" ht="30.5">
      <c r="A179" s="28" t="s">
        <v>1788</v>
      </c>
      <c r="B179" s="8" t="s">
        <v>7706</v>
      </c>
      <c r="C179" s="37" t="s">
        <v>7693</v>
      </c>
      <c r="D179" s="28" t="s">
        <v>1735</v>
      </c>
      <c r="E179" s="36" t="s">
        <v>5661</v>
      </c>
      <c r="F179" s="28" t="s">
        <v>5180</v>
      </c>
      <c r="G179" s="36" t="s">
        <v>5662</v>
      </c>
      <c r="H179" s="36" t="s">
        <v>5663</v>
      </c>
    </row>
    <row r="180" spans="1:8" ht="20.5">
      <c r="A180" s="28" t="s">
        <v>1788</v>
      </c>
      <c r="B180" s="8" t="s">
        <v>7706</v>
      </c>
      <c r="C180" s="37" t="s">
        <v>7693</v>
      </c>
      <c r="D180" s="28" t="s">
        <v>1735</v>
      </c>
      <c r="E180" s="36" t="s">
        <v>5664</v>
      </c>
      <c r="F180" s="28" t="s">
        <v>5331</v>
      </c>
      <c r="G180" s="36" t="s">
        <v>5665</v>
      </c>
      <c r="H180" s="36" t="s">
        <v>5666</v>
      </c>
    </row>
    <row r="181" spans="1:8" ht="40.5">
      <c r="A181" s="28" t="s">
        <v>1788</v>
      </c>
      <c r="B181" s="8" t="s">
        <v>7706</v>
      </c>
      <c r="C181" s="37" t="s">
        <v>7693</v>
      </c>
      <c r="D181" s="28" t="s">
        <v>1735</v>
      </c>
      <c r="E181" s="36" t="s">
        <v>5667</v>
      </c>
      <c r="F181" s="28" t="s">
        <v>5162</v>
      </c>
      <c r="G181" s="36" t="s">
        <v>5668</v>
      </c>
      <c r="H181" s="36" t="s">
        <v>5669</v>
      </c>
    </row>
    <row r="182" spans="1:8" ht="20.5">
      <c r="A182" s="28" t="s">
        <v>1788</v>
      </c>
      <c r="B182" s="8" t="s">
        <v>7706</v>
      </c>
      <c r="C182" s="37" t="s">
        <v>7693</v>
      </c>
      <c r="D182" s="28" t="s">
        <v>1735</v>
      </c>
      <c r="E182" s="36" t="s">
        <v>5670</v>
      </c>
      <c r="F182" s="28" t="s">
        <v>5220</v>
      </c>
      <c r="G182" s="36"/>
      <c r="H182" s="36" t="s">
        <v>5671</v>
      </c>
    </row>
    <row r="183" spans="1:8" ht="20.5">
      <c r="A183" s="28" t="s">
        <v>1788</v>
      </c>
      <c r="B183" s="8" t="s">
        <v>7706</v>
      </c>
      <c r="C183" s="37" t="s">
        <v>7693</v>
      </c>
      <c r="D183" s="28" t="s">
        <v>1735</v>
      </c>
      <c r="E183" s="36" t="s">
        <v>5672</v>
      </c>
      <c r="F183" s="28" t="s">
        <v>5173</v>
      </c>
      <c r="G183" s="36" t="s">
        <v>5464</v>
      </c>
      <c r="H183" s="36" t="s">
        <v>5671</v>
      </c>
    </row>
    <row r="184" spans="1:8" ht="20.5">
      <c r="A184" s="28" t="s">
        <v>1788</v>
      </c>
      <c r="B184" s="8" t="s">
        <v>7706</v>
      </c>
      <c r="C184" s="37" t="s">
        <v>7693</v>
      </c>
      <c r="D184" s="28" t="s">
        <v>1735</v>
      </c>
      <c r="E184" s="36" t="s">
        <v>5673</v>
      </c>
      <c r="F184" s="28" t="s">
        <v>5173</v>
      </c>
      <c r="G184" s="36" t="s">
        <v>5674</v>
      </c>
      <c r="H184" s="36" t="s">
        <v>5675</v>
      </c>
    </row>
    <row r="185" spans="1:8" ht="20.5">
      <c r="A185" s="28" t="s">
        <v>1788</v>
      </c>
      <c r="B185" s="8" t="s">
        <v>7706</v>
      </c>
      <c r="C185" s="37" t="s">
        <v>7693</v>
      </c>
      <c r="D185" s="28" t="s">
        <v>1735</v>
      </c>
      <c r="E185" s="36" t="s">
        <v>5676</v>
      </c>
      <c r="F185" s="28" t="s">
        <v>5213</v>
      </c>
      <c r="G185" s="36" t="s">
        <v>5677</v>
      </c>
      <c r="H185" s="36" t="s">
        <v>5678</v>
      </c>
    </row>
    <row r="186" spans="1:8" ht="25">
      <c r="A186" s="28" t="s">
        <v>2793</v>
      </c>
      <c r="B186" s="8" t="s">
        <v>7737</v>
      </c>
      <c r="C186" s="37" t="s">
        <v>8065</v>
      </c>
      <c r="D186" s="28" t="s">
        <v>3960</v>
      </c>
      <c r="E186" s="36" t="s">
        <v>5679</v>
      </c>
      <c r="F186" s="28" t="s">
        <v>5173</v>
      </c>
      <c r="G186" s="36" t="s">
        <v>5680</v>
      </c>
      <c r="H186" s="36" t="s">
        <v>5681</v>
      </c>
    </row>
    <row r="187" spans="1:8" ht="40.5">
      <c r="A187" s="28" t="s">
        <v>3194</v>
      </c>
      <c r="B187" s="8" t="s">
        <v>7707</v>
      </c>
      <c r="C187" s="37" t="s">
        <v>7693</v>
      </c>
      <c r="D187" s="28" t="s">
        <v>5682</v>
      </c>
      <c r="E187" s="36" t="s">
        <v>5683</v>
      </c>
      <c r="F187" s="28" t="s">
        <v>5220</v>
      </c>
      <c r="G187" s="36" t="s">
        <v>5684</v>
      </c>
      <c r="H187" s="36" t="s">
        <v>5685</v>
      </c>
    </row>
    <row r="188" spans="1:8" ht="20.5">
      <c r="A188" s="28" t="s">
        <v>2264</v>
      </c>
      <c r="B188" s="8" t="s">
        <v>3603</v>
      </c>
      <c r="C188" s="37" t="s">
        <v>7693</v>
      </c>
      <c r="D188" s="28" t="s">
        <v>4989</v>
      </c>
      <c r="E188" s="36" t="s">
        <v>5686</v>
      </c>
      <c r="F188" s="28" t="s">
        <v>5173</v>
      </c>
      <c r="G188" s="36" t="s">
        <v>5687</v>
      </c>
      <c r="H188" s="36" t="s">
        <v>5688</v>
      </c>
    </row>
    <row r="189" spans="1:8" ht="12.5">
      <c r="A189" s="28" t="s">
        <v>2264</v>
      </c>
      <c r="B189" s="8" t="s">
        <v>3603</v>
      </c>
      <c r="C189" s="37" t="s">
        <v>7693</v>
      </c>
      <c r="D189" s="28" t="s">
        <v>4989</v>
      </c>
      <c r="E189" s="36" t="s">
        <v>5689</v>
      </c>
      <c r="F189" s="28" t="s">
        <v>5173</v>
      </c>
      <c r="G189" s="36" t="s">
        <v>5690</v>
      </c>
      <c r="H189" s="36" t="s">
        <v>5691</v>
      </c>
    </row>
    <row r="190" spans="1:8" ht="12.5">
      <c r="A190" s="28" t="s">
        <v>2264</v>
      </c>
      <c r="B190" s="8" t="s">
        <v>3603</v>
      </c>
      <c r="C190" s="37" t="s">
        <v>7693</v>
      </c>
      <c r="D190" s="28" t="s">
        <v>4989</v>
      </c>
      <c r="E190" s="36" t="s">
        <v>5692</v>
      </c>
      <c r="F190" s="28" t="s">
        <v>5173</v>
      </c>
      <c r="G190" s="36" t="s">
        <v>5693</v>
      </c>
      <c r="H190" s="36" t="s">
        <v>5694</v>
      </c>
    </row>
    <row r="191" spans="1:8" ht="40.5">
      <c r="A191" s="28" t="s">
        <v>2264</v>
      </c>
      <c r="B191" s="8" t="s">
        <v>3603</v>
      </c>
      <c r="C191" s="37" t="s">
        <v>7693</v>
      </c>
      <c r="D191" s="28" t="s">
        <v>4989</v>
      </c>
      <c r="E191" s="36" t="s">
        <v>5695</v>
      </c>
      <c r="F191" s="28" t="s">
        <v>5220</v>
      </c>
      <c r="G191" s="36" t="s">
        <v>5696</v>
      </c>
      <c r="H191" s="36" t="s">
        <v>5697</v>
      </c>
    </row>
    <row r="192" spans="1:8" ht="20.5">
      <c r="A192" s="28" t="s">
        <v>171</v>
      </c>
      <c r="B192" s="8" t="s">
        <v>7714</v>
      </c>
      <c r="C192" s="37" t="s">
        <v>7693</v>
      </c>
      <c r="D192" s="28" t="s">
        <v>5698</v>
      </c>
      <c r="E192" s="36" t="s">
        <v>5699</v>
      </c>
      <c r="F192" s="28" t="s">
        <v>5173</v>
      </c>
      <c r="G192" s="36" t="s">
        <v>5700</v>
      </c>
      <c r="H192" s="36" t="s">
        <v>5701</v>
      </c>
    </row>
    <row r="193" spans="1:8" ht="12.5">
      <c r="A193" s="28" t="s">
        <v>171</v>
      </c>
      <c r="B193" s="8" t="s">
        <v>7714</v>
      </c>
      <c r="C193" s="37" t="s">
        <v>7693</v>
      </c>
      <c r="D193" s="28" t="s">
        <v>5698</v>
      </c>
      <c r="E193" s="36" t="s">
        <v>5702</v>
      </c>
      <c r="F193" s="28" t="s">
        <v>5173</v>
      </c>
      <c r="G193" s="36" t="s">
        <v>5700</v>
      </c>
      <c r="H193" s="36" t="s">
        <v>5703</v>
      </c>
    </row>
    <row r="194" spans="1:8" ht="12.5">
      <c r="A194" s="28" t="s">
        <v>171</v>
      </c>
      <c r="B194" s="8" t="s">
        <v>7714</v>
      </c>
      <c r="C194" s="37" t="s">
        <v>7693</v>
      </c>
      <c r="D194" s="28" t="s">
        <v>5704</v>
      </c>
      <c r="E194" s="36" t="s">
        <v>5705</v>
      </c>
      <c r="F194" s="28" t="s">
        <v>5173</v>
      </c>
      <c r="G194" s="36"/>
      <c r="H194" s="36" t="s">
        <v>5706</v>
      </c>
    </row>
    <row r="195" spans="1:8" ht="20.5">
      <c r="A195" s="28" t="s">
        <v>171</v>
      </c>
      <c r="B195" s="8" t="s">
        <v>7714</v>
      </c>
      <c r="C195" s="37" t="s">
        <v>7693</v>
      </c>
      <c r="D195" s="28" t="s">
        <v>5707</v>
      </c>
      <c r="E195" s="36" t="s">
        <v>5708</v>
      </c>
      <c r="F195" s="28" t="s">
        <v>5173</v>
      </c>
      <c r="G195" s="36" t="s">
        <v>5709</v>
      </c>
      <c r="H195" s="36" t="s">
        <v>5710</v>
      </c>
    </row>
    <row r="196" spans="1:8" ht="20.5">
      <c r="A196" s="28" t="s">
        <v>171</v>
      </c>
      <c r="B196" s="8" t="s">
        <v>7714</v>
      </c>
      <c r="C196" s="37" t="s">
        <v>7693</v>
      </c>
      <c r="D196" s="28" t="s">
        <v>5711</v>
      </c>
      <c r="E196" s="36" t="s">
        <v>5712</v>
      </c>
      <c r="F196" s="28" t="s">
        <v>5173</v>
      </c>
      <c r="G196" s="36" t="s">
        <v>5464</v>
      </c>
      <c r="H196" s="36" t="s">
        <v>5713</v>
      </c>
    </row>
    <row r="197" spans="1:8" ht="20.5">
      <c r="A197" s="28" t="s">
        <v>171</v>
      </c>
      <c r="B197" s="8" t="s">
        <v>7714</v>
      </c>
      <c r="C197" s="37" t="s">
        <v>7693</v>
      </c>
      <c r="D197" s="28" t="s">
        <v>5711</v>
      </c>
      <c r="E197" s="36" t="s">
        <v>5714</v>
      </c>
      <c r="F197" s="28" t="s">
        <v>5173</v>
      </c>
      <c r="G197" s="36" t="s">
        <v>5715</v>
      </c>
      <c r="H197" s="36" t="s">
        <v>5716</v>
      </c>
    </row>
    <row r="198" spans="1:8" ht="20.5">
      <c r="A198" s="28" t="s">
        <v>171</v>
      </c>
      <c r="B198" s="8" t="s">
        <v>7714</v>
      </c>
      <c r="C198" s="37" t="s">
        <v>7693</v>
      </c>
      <c r="D198" s="28" t="s">
        <v>5711</v>
      </c>
      <c r="E198" s="36" t="s">
        <v>5717</v>
      </c>
      <c r="F198" s="28" t="s">
        <v>5173</v>
      </c>
      <c r="G198" s="36" t="s">
        <v>5718</v>
      </c>
      <c r="H198" s="36" t="s">
        <v>5716</v>
      </c>
    </row>
    <row r="199" spans="1:8" ht="20.5">
      <c r="A199" s="28" t="s">
        <v>171</v>
      </c>
      <c r="B199" s="8" t="s">
        <v>7714</v>
      </c>
      <c r="C199" s="37" t="s">
        <v>7693</v>
      </c>
      <c r="D199" s="28" t="s">
        <v>3442</v>
      </c>
      <c r="E199" s="36" t="s">
        <v>5719</v>
      </c>
      <c r="F199" s="28" t="s">
        <v>5173</v>
      </c>
      <c r="G199" s="36"/>
      <c r="H199" s="36" t="s">
        <v>5720</v>
      </c>
    </row>
    <row r="200" spans="1:8" ht="40.5">
      <c r="A200" s="28" t="s">
        <v>464</v>
      </c>
      <c r="B200" s="8" t="s">
        <v>7710</v>
      </c>
      <c r="C200" s="37" t="s">
        <v>7693</v>
      </c>
      <c r="D200" s="28" t="s">
        <v>4428</v>
      </c>
      <c r="E200" s="36" t="s">
        <v>5721</v>
      </c>
      <c r="F200" s="28" t="s">
        <v>5173</v>
      </c>
      <c r="G200" s="36" t="s">
        <v>5722</v>
      </c>
      <c r="H200" s="36" t="s">
        <v>5723</v>
      </c>
    </row>
    <row r="201" spans="1:8" ht="20.5">
      <c r="A201" s="28" t="s">
        <v>464</v>
      </c>
      <c r="B201" s="8" t="s">
        <v>7710</v>
      </c>
      <c r="C201" s="37" t="s">
        <v>7693</v>
      </c>
      <c r="D201" s="28" t="s">
        <v>510</v>
      </c>
      <c r="E201" s="36" t="s">
        <v>5724</v>
      </c>
      <c r="F201" s="28" t="s">
        <v>5173</v>
      </c>
      <c r="G201" s="36" t="s">
        <v>5725</v>
      </c>
      <c r="H201" s="36" t="s">
        <v>5726</v>
      </c>
    </row>
    <row r="202" spans="1:8" ht="12.5">
      <c r="A202" s="28" t="s">
        <v>464</v>
      </c>
      <c r="B202" s="8" t="s">
        <v>7710</v>
      </c>
      <c r="C202" s="37" t="s">
        <v>7693</v>
      </c>
      <c r="D202" s="28" t="s">
        <v>513</v>
      </c>
      <c r="E202" s="36" t="s">
        <v>5727</v>
      </c>
      <c r="F202" s="28" t="s">
        <v>5331</v>
      </c>
      <c r="G202" s="36" t="s">
        <v>5728</v>
      </c>
      <c r="H202" s="36" t="s">
        <v>5729</v>
      </c>
    </row>
    <row r="203" spans="1:8" ht="12.5">
      <c r="A203" s="28" t="s">
        <v>464</v>
      </c>
      <c r="B203" s="8" t="s">
        <v>7710</v>
      </c>
      <c r="C203" s="37" t="s">
        <v>7693</v>
      </c>
      <c r="D203" s="28" t="s">
        <v>516</v>
      </c>
      <c r="E203" s="36" t="s">
        <v>5730</v>
      </c>
      <c r="F203" s="28" t="s">
        <v>5173</v>
      </c>
      <c r="G203" s="36"/>
      <c r="H203" s="36" t="s">
        <v>5731</v>
      </c>
    </row>
    <row r="204" spans="1:8" ht="30.5">
      <c r="A204" s="28" t="s">
        <v>464</v>
      </c>
      <c r="B204" s="8" t="s">
        <v>7710</v>
      </c>
      <c r="C204" s="37" t="s">
        <v>7693</v>
      </c>
      <c r="D204" s="28" t="s">
        <v>539</v>
      </c>
      <c r="E204" s="36" t="s">
        <v>5732</v>
      </c>
      <c r="F204" s="28" t="s">
        <v>5220</v>
      </c>
      <c r="G204" s="36" t="s">
        <v>5733</v>
      </c>
      <c r="H204" s="36" t="s">
        <v>5734</v>
      </c>
    </row>
    <row r="205" spans="1:8" ht="40.5">
      <c r="A205" s="28" t="s">
        <v>464</v>
      </c>
      <c r="B205" s="8" t="s">
        <v>7710</v>
      </c>
      <c r="C205" s="37" t="s">
        <v>7693</v>
      </c>
      <c r="D205" s="28" t="s">
        <v>539</v>
      </c>
      <c r="E205" s="36" t="s">
        <v>5735</v>
      </c>
      <c r="F205" s="28" t="s">
        <v>5220</v>
      </c>
      <c r="G205" s="36" t="s">
        <v>5736</v>
      </c>
      <c r="H205" s="36" t="s">
        <v>5737</v>
      </c>
    </row>
    <row r="206" spans="1:8" ht="20.5">
      <c r="A206" s="28" t="s">
        <v>464</v>
      </c>
      <c r="B206" s="8" t="s">
        <v>7710</v>
      </c>
      <c r="C206" s="37" t="s">
        <v>7693</v>
      </c>
      <c r="D206" s="28" t="s">
        <v>539</v>
      </c>
      <c r="E206" s="36" t="s">
        <v>5738</v>
      </c>
      <c r="F206" s="28" t="s">
        <v>5162</v>
      </c>
      <c r="G206" s="36" t="s">
        <v>5739</v>
      </c>
      <c r="H206" s="36" t="s">
        <v>5740</v>
      </c>
    </row>
    <row r="207" spans="1:8" ht="40.5">
      <c r="A207" s="28" t="s">
        <v>464</v>
      </c>
      <c r="B207" s="8" t="s">
        <v>7710</v>
      </c>
      <c r="C207" s="37" t="s">
        <v>7693</v>
      </c>
      <c r="D207" s="28" t="s">
        <v>539</v>
      </c>
      <c r="E207" s="36" t="s">
        <v>5741</v>
      </c>
      <c r="F207" s="28" t="s">
        <v>5331</v>
      </c>
      <c r="G207" s="36" t="s">
        <v>5742</v>
      </c>
      <c r="H207" s="36" t="s">
        <v>5743</v>
      </c>
    </row>
    <row r="208" spans="1:8" ht="20.5">
      <c r="A208" s="28" t="s">
        <v>464</v>
      </c>
      <c r="B208" s="8" t="s">
        <v>7710</v>
      </c>
      <c r="C208" s="37" t="s">
        <v>7693</v>
      </c>
      <c r="D208" s="28" t="s">
        <v>574</v>
      </c>
      <c r="E208" s="36" t="s">
        <v>5744</v>
      </c>
      <c r="F208" s="28" t="s">
        <v>5173</v>
      </c>
      <c r="G208" s="36" t="s">
        <v>5745</v>
      </c>
      <c r="H208" s="36" t="s">
        <v>5746</v>
      </c>
    </row>
    <row r="209" spans="1:8" ht="20.5">
      <c r="A209" s="28" t="s">
        <v>464</v>
      </c>
      <c r="B209" s="8" t="s">
        <v>7710</v>
      </c>
      <c r="C209" s="37" t="s">
        <v>7693</v>
      </c>
      <c r="D209" s="28" t="s">
        <v>4555</v>
      </c>
      <c r="E209" s="36" t="s">
        <v>5747</v>
      </c>
      <c r="F209" s="28" t="s">
        <v>5162</v>
      </c>
      <c r="G209" s="36" t="s">
        <v>5748</v>
      </c>
      <c r="H209" s="36" t="s">
        <v>5749</v>
      </c>
    </row>
    <row r="210" spans="1:8" ht="40.5">
      <c r="A210" s="28" t="s">
        <v>464</v>
      </c>
      <c r="B210" s="8" t="s">
        <v>7710</v>
      </c>
      <c r="C210" s="37" t="s">
        <v>7693</v>
      </c>
      <c r="D210" s="28" t="s">
        <v>528</v>
      </c>
      <c r="E210" s="36" t="s">
        <v>5750</v>
      </c>
      <c r="F210" s="28" t="s">
        <v>5173</v>
      </c>
      <c r="G210" s="36" t="s">
        <v>5751</v>
      </c>
      <c r="H210" s="36" t="s">
        <v>5752</v>
      </c>
    </row>
    <row r="211" spans="1:8" ht="30.5">
      <c r="A211" s="28" t="s">
        <v>464</v>
      </c>
      <c r="B211" s="8" t="s">
        <v>7710</v>
      </c>
      <c r="C211" s="37" t="s">
        <v>7693</v>
      </c>
      <c r="D211" s="28" t="s">
        <v>528</v>
      </c>
      <c r="E211" s="36" t="s">
        <v>5753</v>
      </c>
      <c r="F211" s="28" t="s">
        <v>5173</v>
      </c>
      <c r="G211" s="36" t="s">
        <v>5754</v>
      </c>
      <c r="H211" s="36" t="s">
        <v>5755</v>
      </c>
    </row>
    <row r="212" spans="1:8" ht="30.5">
      <c r="A212" s="28" t="s">
        <v>464</v>
      </c>
      <c r="B212" s="8" t="s">
        <v>7710</v>
      </c>
      <c r="C212" s="37" t="s">
        <v>7693</v>
      </c>
      <c r="D212" s="28" t="s">
        <v>528</v>
      </c>
      <c r="E212" s="36" t="s">
        <v>5756</v>
      </c>
      <c r="F212" s="28" t="s">
        <v>5190</v>
      </c>
      <c r="G212" s="36" t="s">
        <v>5757</v>
      </c>
      <c r="H212" s="36" t="s">
        <v>5758</v>
      </c>
    </row>
    <row r="213" spans="1:8" ht="20.5">
      <c r="A213" s="28" t="s">
        <v>464</v>
      </c>
      <c r="B213" s="8" t="s">
        <v>7710</v>
      </c>
      <c r="C213" s="37" t="s">
        <v>7693</v>
      </c>
      <c r="D213" s="28" t="s">
        <v>528</v>
      </c>
      <c r="E213" s="36" t="s">
        <v>5759</v>
      </c>
      <c r="F213" s="28" t="s">
        <v>5173</v>
      </c>
      <c r="G213" s="36" t="s">
        <v>5760</v>
      </c>
      <c r="H213" s="36" t="s">
        <v>5761</v>
      </c>
    </row>
    <row r="214" spans="1:8" ht="50.5">
      <c r="A214" s="28" t="s">
        <v>464</v>
      </c>
      <c r="B214" s="8" t="s">
        <v>7710</v>
      </c>
      <c r="C214" s="37" t="s">
        <v>7693</v>
      </c>
      <c r="D214" s="28" t="s">
        <v>528</v>
      </c>
      <c r="E214" s="36" t="s">
        <v>5762</v>
      </c>
      <c r="F214" s="28" t="s">
        <v>5213</v>
      </c>
      <c r="G214" s="36" t="s">
        <v>5763</v>
      </c>
      <c r="H214" s="36" t="s">
        <v>5764</v>
      </c>
    </row>
    <row r="215" spans="1:8" ht="60.5">
      <c r="A215" s="28" t="s">
        <v>464</v>
      </c>
      <c r="B215" s="8" t="s">
        <v>7710</v>
      </c>
      <c r="C215" s="37" t="s">
        <v>7693</v>
      </c>
      <c r="D215" s="28" t="s">
        <v>563</v>
      </c>
      <c r="E215" s="36" t="s">
        <v>5765</v>
      </c>
      <c r="F215" s="28" t="s">
        <v>5220</v>
      </c>
      <c r="G215" s="36" t="s">
        <v>5766</v>
      </c>
      <c r="H215" s="36" t="s">
        <v>5767</v>
      </c>
    </row>
    <row r="216" spans="1:8" ht="30.5">
      <c r="A216" s="28" t="s">
        <v>464</v>
      </c>
      <c r="B216" s="8" t="s">
        <v>7710</v>
      </c>
      <c r="C216" s="37" t="s">
        <v>7693</v>
      </c>
      <c r="D216" s="28" t="s">
        <v>560</v>
      </c>
      <c r="E216" s="36" t="s">
        <v>5768</v>
      </c>
      <c r="F216" s="28" t="s">
        <v>5173</v>
      </c>
      <c r="G216" s="36" t="s">
        <v>5769</v>
      </c>
      <c r="H216" s="36" t="s">
        <v>5770</v>
      </c>
    </row>
    <row r="217" spans="1:8" ht="20.5">
      <c r="A217" s="28" t="s">
        <v>464</v>
      </c>
      <c r="B217" s="8" t="s">
        <v>7710</v>
      </c>
      <c r="C217" s="37" t="s">
        <v>7693</v>
      </c>
      <c r="D217" s="28" t="s">
        <v>542</v>
      </c>
      <c r="E217" s="36" t="s">
        <v>5771</v>
      </c>
      <c r="F217" s="28" t="s">
        <v>5162</v>
      </c>
      <c r="G217" s="36" t="s">
        <v>5772</v>
      </c>
      <c r="H217" s="36" t="s">
        <v>5773</v>
      </c>
    </row>
    <row r="218" spans="1:8" ht="50.5">
      <c r="A218" s="28" t="s">
        <v>464</v>
      </c>
      <c r="B218" s="8" t="s">
        <v>7710</v>
      </c>
      <c r="C218" s="37" t="s">
        <v>7695</v>
      </c>
      <c r="D218" s="28" t="s">
        <v>5774</v>
      </c>
      <c r="E218" s="36" t="s">
        <v>5775</v>
      </c>
      <c r="F218" s="28" t="s">
        <v>5173</v>
      </c>
      <c r="G218" s="36" t="s">
        <v>5776</v>
      </c>
      <c r="H218" s="36" t="s">
        <v>5777</v>
      </c>
    </row>
    <row r="219" spans="1:8" ht="20.5">
      <c r="A219" s="28" t="s">
        <v>464</v>
      </c>
      <c r="B219" s="8" t="s">
        <v>7710</v>
      </c>
      <c r="C219" s="37" t="s">
        <v>7693</v>
      </c>
      <c r="D219" s="28" t="s">
        <v>4526</v>
      </c>
      <c r="E219" s="36" t="s">
        <v>5778</v>
      </c>
      <c r="F219" s="28" t="s">
        <v>5173</v>
      </c>
      <c r="G219" s="36" t="s">
        <v>5779</v>
      </c>
      <c r="H219" s="36" t="s">
        <v>5780</v>
      </c>
    </row>
    <row r="220" spans="1:8" ht="30.5">
      <c r="A220" s="28" t="s">
        <v>464</v>
      </c>
      <c r="B220" s="8" t="s">
        <v>7710</v>
      </c>
      <c r="C220" s="37" t="s">
        <v>7693</v>
      </c>
      <c r="D220" s="28" t="s">
        <v>4422</v>
      </c>
      <c r="E220" s="36" t="s">
        <v>5781</v>
      </c>
      <c r="F220" s="28" t="s">
        <v>5173</v>
      </c>
      <c r="G220" s="36" t="s">
        <v>5782</v>
      </c>
      <c r="H220" s="36" t="s">
        <v>5783</v>
      </c>
    </row>
    <row r="221" spans="1:8" ht="20.5">
      <c r="A221" s="28" t="s">
        <v>464</v>
      </c>
      <c r="B221" s="8" t="s">
        <v>7710</v>
      </c>
      <c r="C221" s="37" t="s">
        <v>7693</v>
      </c>
      <c r="D221" s="28" t="s">
        <v>574</v>
      </c>
      <c r="E221" s="36" t="s">
        <v>5784</v>
      </c>
      <c r="F221" s="28" t="s">
        <v>5173</v>
      </c>
      <c r="G221" s="36" t="s">
        <v>5785</v>
      </c>
      <c r="H221" s="36" t="s">
        <v>5786</v>
      </c>
    </row>
    <row r="222" spans="1:8" ht="20.5">
      <c r="A222" s="28" t="s">
        <v>464</v>
      </c>
      <c r="B222" s="8" t="s">
        <v>7710</v>
      </c>
      <c r="C222" s="37" t="s">
        <v>7693</v>
      </c>
      <c r="D222" s="28" t="s">
        <v>4422</v>
      </c>
      <c r="E222" s="36" t="s">
        <v>5787</v>
      </c>
      <c r="F222" s="28" t="s">
        <v>5190</v>
      </c>
      <c r="G222" s="36" t="s">
        <v>5788</v>
      </c>
      <c r="H222" s="36" t="s">
        <v>5789</v>
      </c>
    </row>
    <row r="223" spans="1:8" ht="40.5">
      <c r="A223" s="28" t="s">
        <v>464</v>
      </c>
      <c r="B223" s="8" t="s">
        <v>7710</v>
      </c>
      <c r="C223" s="37" t="s">
        <v>7693</v>
      </c>
      <c r="D223" s="28" t="s">
        <v>516</v>
      </c>
      <c r="E223" s="36" t="s">
        <v>5790</v>
      </c>
      <c r="F223" s="28" t="s">
        <v>5173</v>
      </c>
      <c r="G223" s="36" t="s">
        <v>5791</v>
      </c>
      <c r="H223" s="36" t="s">
        <v>5792</v>
      </c>
    </row>
    <row r="224" spans="1:8" ht="30.5">
      <c r="A224" s="28" t="s">
        <v>464</v>
      </c>
      <c r="B224" s="8" t="s">
        <v>7710</v>
      </c>
      <c r="C224" s="37" t="s">
        <v>7693</v>
      </c>
      <c r="D224" s="28" t="s">
        <v>516</v>
      </c>
      <c r="E224" s="36" t="s">
        <v>5793</v>
      </c>
      <c r="F224" s="28" t="s">
        <v>5194</v>
      </c>
      <c r="G224" s="36" t="s">
        <v>5794</v>
      </c>
      <c r="H224" s="36" t="s">
        <v>5795</v>
      </c>
    </row>
    <row r="225" spans="1:8" ht="50.5">
      <c r="A225" s="28" t="s">
        <v>464</v>
      </c>
      <c r="B225" s="8" t="s">
        <v>7710</v>
      </c>
      <c r="C225" s="37" t="s">
        <v>7693</v>
      </c>
      <c r="D225" s="28" t="s">
        <v>516</v>
      </c>
      <c r="E225" s="36" t="s">
        <v>5796</v>
      </c>
      <c r="F225" s="28" t="s">
        <v>5190</v>
      </c>
      <c r="G225" s="36" t="s">
        <v>5797</v>
      </c>
      <c r="H225" s="36" t="s">
        <v>5798</v>
      </c>
    </row>
    <row r="226" spans="1:8" ht="40.5">
      <c r="A226" s="28" t="s">
        <v>464</v>
      </c>
      <c r="B226" s="8" t="s">
        <v>7710</v>
      </c>
      <c r="C226" s="37" t="s">
        <v>7693</v>
      </c>
      <c r="D226" s="28" t="s">
        <v>549</v>
      </c>
      <c r="E226" s="36" t="s">
        <v>5799</v>
      </c>
      <c r="F226" s="28" t="s">
        <v>5220</v>
      </c>
      <c r="G226" s="36" t="s">
        <v>5800</v>
      </c>
      <c r="H226" s="36" t="s">
        <v>5801</v>
      </c>
    </row>
    <row r="227" spans="1:8" ht="40.5">
      <c r="A227" s="28" t="s">
        <v>464</v>
      </c>
      <c r="B227" s="8" t="s">
        <v>7710</v>
      </c>
      <c r="C227" s="37" t="s">
        <v>7693</v>
      </c>
      <c r="D227" s="28" t="s">
        <v>4422</v>
      </c>
      <c r="E227" s="36" t="s">
        <v>5802</v>
      </c>
      <c r="F227" s="28" t="s">
        <v>5220</v>
      </c>
      <c r="G227" s="36" t="s">
        <v>5800</v>
      </c>
      <c r="H227" s="36" t="s">
        <v>5459</v>
      </c>
    </row>
    <row r="228" spans="1:8" ht="40.5">
      <c r="A228" s="28" t="s">
        <v>464</v>
      </c>
      <c r="B228" s="8" t="s">
        <v>7710</v>
      </c>
      <c r="C228" s="37" t="s">
        <v>7693</v>
      </c>
      <c r="D228" s="28" t="s">
        <v>566</v>
      </c>
      <c r="E228" s="36" t="s">
        <v>5803</v>
      </c>
      <c r="F228" s="28" t="s">
        <v>5220</v>
      </c>
      <c r="G228" s="36" t="s">
        <v>5800</v>
      </c>
      <c r="H228" s="36" t="s">
        <v>5804</v>
      </c>
    </row>
    <row r="229" spans="1:8" ht="40.5">
      <c r="A229" s="28" t="s">
        <v>464</v>
      </c>
      <c r="B229" s="8" t="s">
        <v>7710</v>
      </c>
      <c r="C229" s="37" t="s">
        <v>7693</v>
      </c>
      <c r="D229" s="28" t="s">
        <v>4428</v>
      </c>
      <c r="E229" s="36" t="s">
        <v>5805</v>
      </c>
      <c r="F229" s="28" t="s">
        <v>5220</v>
      </c>
      <c r="G229" s="36" t="s">
        <v>5800</v>
      </c>
      <c r="H229" s="36" t="s">
        <v>5806</v>
      </c>
    </row>
    <row r="230" spans="1:8" ht="40.5">
      <c r="A230" s="28" t="s">
        <v>464</v>
      </c>
      <c r="B230" s="8" t="s">
        <v>7710</v>
      </c>
      <c r="C230" s="37" t="s">
        <v>7693</v>
      </c>
      <c r="D230" s="28" t="s">
        <v>510</v>
      </c>
      <c r="E230" s="36" t="s">
        <v>5807</v>
      </c>
      <c r="F230" s="28" t="s">
        <v>5220</v>
      </c>
      <c r="G230" s="36" t="s">
        <v>5800</v>
      </c>
      <c r="H230" s="36" t="s">
        <v>5808</v>
      </c>
    </row>
    <row r="231" spans="1:8" ht="40.5">
      <c r="A231" s="28" t="s">
        <v>464</v>
      </c>
      <c r="B231" s="8" t="s">
        <v>7710</v>
      </c>
      <c r="C231" s="37" t="s">
        <v>7693</v>
      </c>
      <c r="D231" s="28" t="s">
        <v>513</v>
      </c>
      <c r="E231" s="36" t="s">
        <v>5809</v>
      </c>
      <c r="F231" s="28" t="s">
        <v>5220</v>
      </c>
      <c r="G231" s="36" t="s">
        <v>5800</v>
      </c>
      <c r="H231" s="36" t="s">
        <v>5810</v>
      </c>
    </row>
    <row r="232" spans="1:8" ht="40.5">
      <c r="A232" s="28" t="s">
        <v>464</v>
      </c>
      <c r="B232" s="8" t="s">
        <v>7710</v>
      </c>
      <c r="C232" s="37" t="s">
        <v>7693</v>
      </c>
      <c r="D232" s="28" t="s">
        <v>516</v>
      </c>
      <c r="E232" s="36" t="s">
        <v>5811</v>
      </c>
      <c r="F232" s="28" t="s">
        <v>5220</v>
      </c>
      <c r="G232" s="36" t="s">
        <v>5800</v>
      </c>
      <c r="H232" s="36" t="s">
        <v>5812</v>
      </c>
    </row>
    <row r="233" spans="1:8" ht="40.5">
      <c r="A233" s="28" t="s">
        <v>464</v>
      </c>
      <c r="B233" s="8" t="s">
        <v>7710</v>
      </c>
      <c r="C233" s="37" t="s">
        <v>7693</v>
      </c>
      <c r="D233" s="28" t="s">
        <v>574</v>
      </c>
      <c r="E233" s="36" t="s">
        <v>5813</v>
      </c>
      <c r="F233" s="28" t="s">
        <v>5220</v>
      </c>
      <c r="G233" s="36" t="s">
        <v>5800</v>
      </c>
      <c r="H233" s="36" t="s">
        <v>5814</v>
      </c>
    </row>
    <row r="234" spans="1:8" ht="40.5">
      <c r="A234" s="28" t="s">
        <v>464</v>
      </c>
      <c r="B234" s="8" t="s">
        <v>7710</v>
      </c>
      <c r="C234" s="37" t="s">
        <v>7693</v>
      </c>
      <c r="D234" s="28" t="s">
        <v>4526</v>
      </c>
      <c r="E234" s="36" t="s">
        <v>5815</v>
      </c>
      <c r="F234" s="28" t="s">
        <v>5220</v>
      </c>
      <c r="G234" s="36" t="s">
        <v>5800</v>
      </c>
      <c r="H234" s="36" t="s">
        <v>5816</v>
      </c>
    </row>
    <row r="235" spans="1:8" ht="40.5">
      <c r="A235" s="28" t="s">
        <v>464</v>
      </c>
      <c r="B235" s="8" t="s">
        <v>7710</v>
      </c>
      <c r="C235" s="37" t="s">
        <v>7693</v>
      </c>
      <c r="D235" s="28" t="s">
        <v>539</v>
      </c>
      <c r="E235" s="36" t="s">
        <v>5817</v>
      </c>
      <c r="F235" s="28" t="s">
        <v>5220</v>
      </c>
      <c r="G235" s="36" t="s">
        <v>5800</v>
      </c>
      <c r="H235" s="36" t="s">
        <v>5818</v>
      </c>
    </row>
    <row r="236" spans="1:8" ht="40.5">
      <c r="A236" s="28" t="s">
        <v>464</v>
      </c>
      <c r="B236" s="8" t="s">
        <v>7710</v>
      </c>
      <c r="C236" s="37" t="s">
        <v>7693</v>
      </c>
      <c r="D236" s="28" t="s">
        <v>569</v>
      </c>
      <c r="E236" s="36" t="s">
        <v>5819</v>
      </c>
      <c r="F236" s="28" t="s">
        <v>5220</v>
      </c>
      <c r="G236" s="36" t="s">
        <v>5800</v>
      </c>
      <c r="H236" s="36" t="s">
        <v>5820</v>
      </c>
    </row>
    <row r="237" spans="1:8" ht="40.5">
      <c r="A237" s="28" t="s">
        <v>464</v>
      </c>
      <c r="B237" s="8" t="s">
        <v>7710</v>
      </c>
      <c r="C237" s="37" t="s">
        <v>7693</v>
      </c>
      <c r="D237" s="28" t="s">
        <v>4555</v>
      </c>
      <c r="E237" s="36" t="s">
        <v>5821</v>
      </c>
      <c r="F237" s="28" t="s">
        <v>5220</v>
      </c>
      <c r="G237" s="36" t="s">
        <v>5800</v>
      </c>
      <c r="H237" s="36" t="s">
        <v>5822</v>
      </c>
    </row>
    <row r="238" spans="1:8" ht="40.5">
      <c r="A238" s="28" t="s">
        <v>464</v>
      </c>
      <c r="B238" s="8" t="s">
        <v>7710</v>
      </c>
      <c r="C238" s="37" t="s">
        <v>7693</v>
      </c>
      <c r="D238" s="28" t="s">
        <v>528</v>
      </c>
      <c r="E238" s="36" t="s">
        <v>5823</v>
      </c>
      <c r="F238" s="28" t="s">
        <v>5220</v>
      </c>
      <c r="G238" s="36" t="s">
        <v>5800</v>
      </c>
      <c r="H238" s="36" t="s">
        <v>5824</v>
      </c>
    </row>
    <row r="239" spans="1:8" ht="40.5">
      <c r="A239" s="28" t="s">
        <v>464</v>
      </c>
      <c r="B239" s="8" t="s">
        <v>7710</v>
      </c>
      <c r="C239" s="37" t="s">
        <v>7693</v>
      </c>
      <c r="D239" s="28" t="s">
        <v>4491</v>
      </c>
      <c r="E239" s="36" t="s">
        <v>5825</v>
      </c>
      <c r="F239" s="28" t="s">
        <v>5220</v>
      </c>
      <c r="G239" s="36" t="s">
        <v>5800</v>
      </c>
      <c r="H239" s="36" t="s">
        <v>5826</v>
      </c>
    </row>
    <row r="240" spans="1:8" ht="40.5">
      <c r="A240" s="28" t="s">
        <v>464</v>
      </c>
      <c r="B240" s="8" t="s">
        <v>7710</v>
      </c>
      <c r="C240" s="37" t="s">
        <v>8065</v>
      </c>
      <c r="D240" s="28" t="s">
        <v>1468</v>
      </c>
      <c r="E240" s="36" t="s">
        <v>5827</v>
      </c>
      <c r="F240" s="28" t="s">
        <v>5220</v>
      </c>
      <c r="G240" s="36" t="s">
        <v>5800</v>
      </c>
      <c r="H240" s="36" t="s">
        <v>5828</v>
      </c>
    </row>
    <row r="241" spans="1:8" ht="40.5">
      <c r="A241" s="28" t="s">
        <v>464</v>
      </c>
      <c r="B241" s="8" t="s">
        <v>7710</v>
      </c>
      <c r="C241" s="37" t="s">
        <v>8065</v>
      </c>
      <c r="D241" s="28" t="s">
        <v>485</v>
      </c>
      <c r="E241" s="36" t="s">
        <v>5829</v>
      </c>
      <c r="F241" s="28" t="s">
        <v>5220</v>
      </c>
      <c r="G241" s="36" t="s">
        <v>5800</v>
      </c>
      <c r="H241" s="36" t="s">
        <v>5830</v>
      </c>
    </row>
    <row r="242" spans="1:8" ht="40.5">
      <c r="A242" s="28" t="s">
        <v>464</v>
      </c>
      <c r="B242" s="8" t="s">
        <v>7710</v>
      </c>
      <c r="C242" s="37" t="s">
        <v>7693</v>
      </c>
      <c r="D242" s="28" t="s">
        <v>5831</v>
      </c>
      <c r="E242" s="36" t="s">
        <v>5832</v>
      </c>
      <c r="F242" s="28" t="s">
        <v>5220</v>
      </c>
      <c r="G242" s="36" t="s">
        <v>5800</v>
      </c>
      <c r="H242" s="36" t="s">
        <v>5833</v>
      </c>
    </row>
    <row r="243" spans="1:8" ht="40.5">
      <c r="A243" s="28" t="s">
        <v>464</v>
      </c>
      <c r="B243" s="8" t="s">
        <v>7710</v>
      </c>
      <c r="C243" s="37" t="s">
        <v>8065</v>
      </c>
      <c r="D243" s="28" t="s">
        <v>542</v>
      </c>
      <c r="E243" s="36" t="s">
        <v>5834</v>
      </c>
      <c r="F243" s="28" t="s">
        <v>5220</v>
      </c>
      <c r="G243" s="36" t="s">
        <v>5800</v>
      </c>
      <c r="H243" s="36" t="s">
        <v>5835</v>
      </c>
    </row>
    <row r="244" spans="1:8" ht="40.5">
      <c r="A244" s="28" t="s">
        <v>464</v>
      </c>
      <c r="B244" s="8" t="s">
        <v>7710</v>
      </c>
      <c r="C244" s="37" t="s">
        <v>7693</v>
      </c>
      <c r="D244" s="28" t="s">
        <v>563</v>
      </c>
      <c r="E244" s="36" t="s">
        <v>5836</v>
      </c>
      <c r="F244" s="28" t="s">
        <v>5220</v>
      </c>
      <c r="G244" s="36" t="s">
        <v>5800</v>
      </c>
      <c r="H244" s="36" t="s">
        <v>5837</v>
      </c>
    </row>
    <row r="245" spans="1:8" ht="40.5">
      <c r="A245" s="28" t="s">
        <v>464</v>
      </c>
      <c r="B245" s="8" t="s">
        <v>7710</v>
      </c>
      <c r="C245" s="37" t="s">
        <v>8065</v>
      </c>
      <c r="D245" s="28" t="s">
        <v>536</v>
      </c>
      <c r="E245" s="36" t="s">
        <v>5838</v>
      </c>
      <c r="F245" s="28" t="s">
        <v>5220</v>
      </c>
      <c r="G245" s="36" t="s">
        <v>5800</v>
      </c>
      <c r="H245" s="36" t="s">
        <v>5839</v>
      </c>
    </row>
    <row r="246" spans="1:8" ht="20.5">
      <c r="A246" s="28" t="s">
        <v>1532</v>
      </c>
      <c r="B246" s="8" t="s">
        <v>7754</v>
      </c>
      <c r="C246" s="37" t="s">
        <v>7693</v>
      </c>
      <c r="D246" s="28" t="s">
        <v>1575</v>
      </c>
      <c r="E246" s="36" t="s">
        <v>5840</v>
      </c>
      <c r="F246" s="28" t="s">
        <v>5162</v>
      </c>
      <c r="G246" s="36" t="s">
        <v>5841</v>
      </c>
      <c r="H246" s="36" t="s">
        <v>5842</v>
      </c>
    </row>
    <row r="247" spans="1:8" ht="30.5">
      <c r="A247" s="28" t="s">
        <v>3194</v>
      </c>
      <c r="B247" s="8" t="s">
        <v>7707</v>
      </c>
      <c r="C247" s="37" t="s">
        <v>7693</v>
      </c>
      <c r="D247" s="28" t="s">
        <v>3309</v>
      </c>
      <c r="E247" s="36" t="s">
        <v>5843</v>
      </c>
      <c r="F247" s="28" t="s">
        <v>5166</v>
      </c>
      <c r="G247" s="36" t="s">
        <v>5844</v>
      </c>
      <c r="H247" s="36" t="s">
        <v>5845</v>
      </c>
    </row>
    <row r="248" spans="1:8" ht="50.5">
      <c r="A248" s="28" t="s">
        <v>3194</v>
      </c>
      <c r="B248" s="8" t="s">
        <v>7707</v>
      </c>
      <c r="C248" s="37" t="s">
        <v>7693</v>
      </c>
      <c r="D248" s="28" t="s">
        <v>3309</v>
      </c>
      <c r="E248" s="36" t="s">
        <v>5846</v>
      </c>
      <c r="F248" s="28" t="s">
        <v>5194</v>
      </c>
      <c r="G248" s="36" t="s">
        <v>5847</v>
      </c>
      <c r="H248" s="36" t="s">
        <v>5848</v>
      </c>
    </row>
    <row r="249" spans="1:8" ht="20.5">
      <c r="A249" s="28" t="s">
        <v>3194</v>
      </c>
      <c r="B249" s="8" t="s">
        <v>7707</v>
      </c>
      <c r="C249" s="37" t="s">
        <v>7693</v>
      </c>
      <c r="D249" s="28" t="s">
        <v>3309</v>
      </c>
      <c r="E249" s="36" t="s">
        <v>5849</v>
      </c>
      <c r="F249" s="28" t="s">
        <v>5173</v>
      </c>
      <c r="G249" s="36" t="s">
        <v>5850</v>
      </c>
      <c r="H249" s="36" t="s">
        <v>5851</v>
      </c>
    </row>
    <row r="250" spans="1:8" ht="30.5">
      <c r="A250" s="28" t="s">
        <v>3194</v>
      </c>
      <c r="B250" s="8" t="s">
        <v>7707</v>
      </c>
      <c r="C250" s="37" t="s">
        <v>7693</v>
      </c>
      <c r="D250" s="28" t="s">
        <v>3309</v>
      </c>
      <c r="E250" s="36" t="s">
        <v>5852</v>
      </c>
      <c r="F250" s="28" t="s">
        <v>5173</v>
      </c>
      <c r="G250" s="36" t="s">
        <v>5853</v>
      </c>
      <c r="H250" s="36" t="s">
        <v>5854</v>
      </c>
    </row>
    <row r="251" spans="1:8" ht="50.5">
      <c r="A251" s="28" t="s">
        <v>3194</v>
      </c>
      <c r="B251" s="8" t="s">
        <v>7707</v>
      </c>
      <c r="C251" s="37" t="s">
        <v>7693</v>
      </c>
      <c r="D251" s="28" t="s">
        <v>3309</v>
      </c>
      <c r="E251" s="36" t="s">
        <v>5855</v>
      </c>
      <c r="F251" s="28" t="s">
        <v>5173</v>
      </c>
      <c r="G251" s="36" t="s">
        <v>5856</v>
      </c>
      <c r="H251" s="36" t="s">
        <v>5857</v>
      </c>
    </row>
    <row r="252" spans="1:8" ht="40.5">
      <c r="A252" s="28" t="s">
        <v>3194</v>
      </c>
      <c r="B252" s="8" t="s">
        <v>7707</v>
      </c>
      <c r="C252" s="37" t="s">
        <v>7693</v>
      </c>
      <c r="D252" s="28" t="s">
        <v>3309</v>
      </c>
      <c r="E252" s="36" t="s">
        <v>5858</v>
      </c>
      <c r="F252" s="28" t="s">
        <v>5173</v>
      </c>
      <c r="G252" s="36" t="s">
        <v>5859</v>
      </c>
      <c r="H252" s="36" t="s">
        <v>5860</v>
      </c>
    </row>
    <row r="253" spans="1:8" ht="20.5">
      <c r="A253" s="28" t="s">
        <v>3194</v>
      </c>
      <c r="B253" s="8" t="s">
        <v>7707</v>
      </c>
      <c r="C253" s="37" t="s">
        <v>7693</v>
      </c>
      <c r="D253" s="28" t="s">
        <v>3309</v>
      </c>
      <c r="E253" s="36" t="s">
        <v>5861</v>
      </c>
      <c r="F253" s="28" t="s">
        <v>5166</v>
      </c>
      <c r="G253" s="36" t="s">
        <v>5862</v>
      </c>
      <c r="H253" s="36" t="s">
        <v>5863</v>
      </c>
    </row>
    <row r="254" spans="1:8" ht="20.5">
      <c r="A254" s="28" t="s">
        <v>3194</v>
      </c>
      <c r="B254" s="8" t="s">
        <v>7707</v>
      </c>
      <c r="C254" s="37" t="s">
        <v>7693</v>
      </c>
      <c r="D254" s="28" t="s">
        <v>3309</v>
      </c>
      <c r="E254" s="36" t="s">
        <v>5864</v>
      </c>
      <c r="F254" s="28" t="s">
        <v>5173</v>
      </c>
      <c r="G254" s="36" t="s">
        <v>5865</v>
      </c>
      <c r="H254" s="36" t="s">
        <v>5866</v>
      </c>
    </row>
    <row r="255" spans="1:8" ht="50.5">
      <c r="A255" s="28" t="s">
        <v>1532</v>
      </c>
      <c r="B255" s="8" t="s">
        <v>7754</v>
      </c>
      <c r="C255" s="37" t="s">
        <v>7693</v>
      </c>
      <c r="D255" s="28" t="s">
        <v>1584</v>
      </c>
      <c r="E255" s="36" t="s">
        <v>5867</v>
      </c>
      <c r="F255" s="28" t="s">
        <v>5166</v>
      </c>
      <c r="G255" s="36" t="s">
        <v>5868</v>
      </c>
      <c r="H255" s="36" t="s">
        <v>5869</v>
      </c>
    </row>
    <row r="256" spans="1:8" ht="40.5">
      <c r="A256" s="28" t="s">
        <v>2412</v>
      </c>
      <c r="B256" s="8" t="s">
        <v>7709</v>
      </c>
      <c r="C256" s="37" t="s">
        <v>7693</v>
      </c>
      <c r="D256" s="28" t="s">
        <v>2495</v>
      </c>
      <c r="E256" s="36" t="s">
        <v>5870</v>
      </c>
      <c r="F256" s="28" t="s">
        <v>5173</v>
      </c>
      <c r="G256" s="36" t="s">
        <v>5871</v>
      </c>
      <c r="H256" s="36" t="s">
        <v>5872</v>
      </c>
    </row>
    <row r="257" spans="1:8" ht="50.5">
      <c r="A257" s="28" t="s">
        <v>2412</v>
      </c>
      <c r="B257" s="8" t="s">
        <v>7709</v>
      </c>
      <c r="C257" s="37" t="s">
        <v>7693</v>
      </c>
      <c r="D257" s="28" t="s">
        <v>2495</v>
      </c>
      <c r="E257" s="36" t="s">
        <v>5873</v>
      </c>
      <c r="F257" s="28" t="s">
        <v>5213</v>
      </c>
      <c r="G257" s="36" t="s">
        <v>5874</v>
      </c>
      <c r="H257" s="36" t="s">
        <v>5875</v>
      </c>
    </row>
    <row r="258" spans="1:8" ht="30.5">
      <c r="A258" s="28" t="s">
        <v>1788</v>
      </c>
      <c r="B258" s="8" t="s">
        <v>7706</v>
      </c>
      <c r="C258" s="37" t="s">
        <v>7695</v>
      </c>
      <c r="D258" s="28" t="s">
        <v>5876</v>
      </c>
      <c r="E258" s="36" t="s">
        <v>5877</v>
      </c>
      <c r="F258" s="28" t="s">
        <v>5166</v>
      </c>
      <c r="G258" s="36" t="s">
        <v>5878</v>
      </c>
      <c r="H258" s="36" t="s">
        <v>5879</v>
      </c>
    </row>
    <row r="259" spans="1:8" ht="30.5">
      <c r="A259" s="28" t="s">
        <v>1788</v>
      </c>
      <c r="B259" s="8" t="s">
        <v>7706</v>
      </c>
      <c r="C259" s="37" t="s">
        <v>7695</v>
      </c>
      <c r="D259" s="28" t="s">
        <v>5876</v>
      </c>
      <c r="E259" s="36" t="s">
        <v>5880</v>
      </c>
      <c r="F259" s="28" t="s">
        <v>5173</v>
      </c>
      <c r="G259" s="36" t="s">
        <v>5881</v>
      </c>
      <c r="H259" s="36" t="s">
        <v>5879</v>
      </c>
    </row>
    <row r="260" spans="1:8" ht="20.5">
      <c r="A260" s="28" t="s">
        <v>1788</v>
      </c>
      <c r="B260" s="8" t="s">
        <v>7706</v>
      </c>
      <c r="C260" s="37" t="s">
        <v>7693</v>
      </c>
      <c r="D260" s="28" t="s">
        <v>1735</v>
      </c>
      <c r="E260" s="36" t="s">
        <v>5882</v>
      </c>
      <c r="F260" s="28" t="s">
        <v>5173</v>
      </c>
      <c r="G260" s="36" t="s">
        <v>5883</v>
      </c>
      <c r="H260" s="36" t="s">
        <v>5884</v>
      </c>
    </row>
    <row r="261" spans="1:8" ht="60.5">
      <c r="A261" s="28" t="s">
        <v>3315</v>
      </c>
      <c r="B261" s="8" t="s">
        <v>7705</v>
      </c>
      <c r="C261" s="37" t="s">
        <v>7693</v>
      </c>
      <c r="D261" s="28" t="s">
        <v>3435</v>
      </c>
      <c r="E261" s="36" t="s">
        <v>5885</v>
      </c>
      <c r="F261" s="28" t="s">
        <v>5220</v>
      </c>
      <c r="G261" s="36" t="s">
        <v>5886</v>
      </c>
      <c r="H261" s="36" t="s">
        <v>5196</v>
      </c>
    </row>
    <row r="262" spans="1:8" ht="20.5">
      <c r="A262" s="28" t="s">
        <v>3315</v>
      </c>
      <c r="B262" s="8" t="s">
        <v>7705</v>
      </c>
      <c r="C262" s="37" t="s">
        <v>7693</v>
      </c>
      <c r="D262" s="28" t="s">
        <v>3435</v>
      </c>
      <c r="E262" s="36" t="s">
        <v>5887</v>
      </c>
      <c r="F262" s="28" t="s">
        <v>5173</v>
      </c>
      <c r="G262" s="36" t="s">
        <v>5888</v>
      </c>
      <c r="H262" s="36" t="s">
        <v>5889</v>
      </c>
    </row>
    <row r="263" spans="1:8" ht="30.5">
      <c r="A263" s="28" t="s">
        <v>3315</v>
      </c>
      <c r="B263" s="8" t="s">
        <v>7705</v>
      </c>
      <c r="C263" s="37" t="s">
        <v>7693</v>
      </c>
      <c r="D263" s="28" t="s">
        <v>3435</v>
      </c>
      <c r="E263" s="36" t="s">
        <v>5890</v>
      </c>
      <c r="F263" s="28" t="s">
        <v>5173</v>
      </c>
      <c r="G263" s="36" t="s">
        <v>5888</v>
      </c>
      <c r="H263" s="36" t="s">
        <v>5891</v>
      </c>
    </row>
    <row r="264" spans="1:8" ht="30.5">
      <c r="A264" s="28" t="s">
        <v>3315</v>
      </c>
      <c r="B264" s="8" t="s">
        <v>7705</v>
      </c>
      <c r="C264" s="37" t="s">
        <v>7693</v>
      </c>
      <c r="D264" s="28" t="s">
        <v>3435</v>
      </c>
      <c r="E264" s="36" t="s">
        <v>5892</v>
      </c>
      <c r="F264" s="28" t="s">
        <v>5173</v>
      </c>
      <c r="G264" s="36" t="s">
        <v>5888</v>
      </c>
      <c r="H264" s="36" t="s">
        <v>5893</v>
      </c>
    </row>
    <row r="265" spans="1:8" ht="20.5">
      <c r="A265" s="28" t="s">
        <v>3315</v>
      </c>
      <c r="B265" s="8" t="s">
        <v>7705</v>
      </c>
      <c r="C265" s="37" t="s">
        <v>7693</v>
      </c>
      <c r="D265" s="28" t="s">
        <v>3435</v>
      </c>
      <c r="E265" s="36" t="s">
        <v>5894</v>
      </c>
      <c r="F265" s="28" t="s">
        <v>5173</v>
      </c>
      <c r="G265" s="36" t="s">
        <v>5888</v>
      </c>
      <c r="H265" s="36" t="s">
        <v>5895</v>
      </c>
    </row>
    <row r="266" spans="1:8" ht="30.5">
      <c r="A266" s="28" t="s">
        <v>3315</v>
      </c>
      <c r="B266" s="8" t="s">
        <v>7705</v>
      </c>
      <c r="C266" s="37" t="s">
        <v>7693</v>
      </c>
      <c r="D266" s="28" t="s">
        <v>3435</v>
      </c>
      <c r="E266" s="36" t="s">
        <v>5896</v>
      </c>
      <c r="F266" s="28" t="s">
        <v>5173</v>
      </c>
      <c r="G266" s="36" t="s">
        <v>5897</v>
      </c>
      <c r="H266" s="36" t="s">
        <v>5898</v>
      </c>
    </row>
    <row r="267" spans="1:8" ht="20.5">
      <c r="A267" s="28" t="s">
        <v>3315</v>
      </c>
      <c r="B267" s="8" t="s">
        <v>7705</v>
      </c>
      <c r="C267" s="37" t="s">
        <v>7693</v>
      </c>
      <c r="D267" s="28" t="s">
        <v>3435</v>
      </c>
      <c r="E267" s="36" t="s">
        <v>5899</v>
      </c>
      <c r="F267" s="28" t="s">
        <v>5220</v>
      </c>
      <c r="G267" s="36"/>
      <c r="H267" s="36" t="s">
        <v>5900</v>
      </c>
    </row>
    <row r="268" spans="1:8" ht="30.5">
      <c r="A268" s="28" t="s">
        <v>3315</v>
      </c>
      <c r="B268" s="8" t="s">
        <v>7705</v>
      </c>
      <c r="C268" s="37" t="s">
        <v>7693</v>
      </c>
      <c r="D268" s="28" t="s">
        <v>3387</v>
      </c>
      <c r="E268" s="36" t="s">
        <v>5901</v>
      </c>
      <c r="F268" s="28" t="s">
        <v>5220</v>
      </c>
      <c r="G268" s="36" t="s">
        <v>5902</v>
      </c>
      <c r="H268" s="36" t="s">
        <v>5903</v>
      </c>
    </row>
    <row r="269" spans="1:8" ht="25">
      <c r="A269" s="28" t="s">
        <v>3315</v>
      </c>
      <c r="B269" s="8" t="s">
        <v>7705</v>
      </c>
      <c r="C269" s="37" t="s">
        <v>8065</v>
      </c>
      <c r="D269" s="28" t="s">
        <v>5904</v>
      </c>
      <c r="E269" s="36" t="s">
        <v>5905</v>
      </c>
      <c r="F269" s="28" t="s">
        <v>5166</v>
      </c>
      <c r="G269" s="36" t="s">
        <v>5906</v>
      </c>
      <c r="H269" s="36" t="s">
        <v>5907</v>
      </c>
    </row>
    <row r="270" spans="1:8" ht="25">
      <c r="A270" s="28" t="s">
        <v>3315</v>
      </c>
      <c r="B270" s="8" t="s">
        <v>7705</v>
      </c>
      <c r="C270" s="37" t="s">
        <v>8065</v>
      </c>
      <c r="D270" s="28" t="s">
        <v>5908</v>
      </c>
      <c r="E270" s="36" t="s">
        <v>5909</v>
      </c>
      <c r="F270" s="28" t="s">
        <v>5166</v>
      </c>
      <c r="G270" s="36" t="s">
        <v>5906</v>
      </c>
      <c r="H270" s="36" t="s">
        <v>5910</v>
      </c>
    </row>
    <row r="271" spans="1:8" ht="40.5">
      <c r="A271" s="28" t="s">
        <v>3315</v>
      </c>
      <c r="B271" s="8" t="s">
        <v>7705</v>
      </c>
      <c r="C271" s="37" t="s">
        <v>8065</v>
      </c>
      <c r="D271" s="28" t="s">
        <v>5908</v>
      </c>
      <c r="E271" s="36" t="s">
        <v>5911</v>
      </c>
      <c r="F271" s="28" t="s">
        <v>5173</v>
      </c>
      <c r="G271" s="36" t="s">
        <v>5912</v>
      </c>
      <c r="H271" s="36" t="s">
        <v>5913</v>
      </c>
    </row>
    <row r="272" spans="1:8" ht="20.5">
      <c r="A272" s="28" t="s">
        <v>464</v>
      </c>
      <c r="B272" s="8" t="s">
        <v>7710</v>
      </c>
      <c r="C272" s="37" t="s">
        <v>7693</v>
      </c>
      <c r="D272" s="28" t="s">
        <v>1931</v>
      </c>
      <c r="E272" s="36" t="s">
        <v>5914</v>
      </c>
      <c r="F272" s="28" t="s">
        <v>5173</v>
      </c>
      <c r="G272" s="36" t="s">
        <v>5915</v>
      </c>
      <c r="H272" s="36" t="s">
        <v>5916</v>
      </c>
    </row>
    <row r="273" spans="1:8" ht="30.5">
      <c r="A273" s="28" t="s">
        <v>915</v>
      </c>
      <c r="B273" s="8" t="s">
        <v>7701</v>
      </c>
      <c r="C273" s="37" t="s">
        <v>7693</v>
      </c>
      <c r="D273" s="28" t="s">
        <v>972</v>
      </c>
      <c r="E273" s="36" t="s">
        <v>5917</v>
      </c>
      <c r="F273" s="28" t="s">
        <v>5220</v>
      </c>
      <c r="G273" s="36" t="s">
        <v>5918</v>
      </c>
      <c r="H273" s="36" t="s">
        <v>5919</v>
      </c>
    </row>
    <row r="274" spans="1:8" ht="12.5">
      <c r="A274" s="28" t="s">
        <v>915</v>
      </c>
      <c r="B274" s="8" t="s">
        <v>7701</v>
      </c>
      <c r="C274" s="37" t="s">
        <v>7693</v>
      </c>
      <c r="D274" s="28" t="s">
        <v>972</v>
      </c>
      <c r="E274" s="36" t="s">
        <v>5920</v>
      </c>
      <c r="F274" s="28" t="s">
        <v>5173</v>
      </c>
      <c r="G274" s="36"/>
      <c r="H274" s="36" t="s">
        <v>5921</v>
      </c>
    </row>
    <row r="275" spans="1:8" ht="20.5">
      <c r="A275" s="28" t="s">
        <v>915</v>
      </c>
      <c r="B275" s="8" t="s">
        <v>7701</v>
      </c>
      <c r="C275" s="37" t="s">
        <v>7693</v>
      </c>
      <c r="D275" s="28" t="s">
        <v>972</v>
      </c>
      <c r="E275" s="36" t="s">
        <v>5922</v>
      </c>
      <c r="F275" s="28" t="s">
        <v>5173</v>
      </c>
      <c r="G275" s="36"/>
      <c r="H275" s="36" t="s">
        <v>5923</v>
      </c>
    </row>
    <row r="276" spans="1:8" ht="20.5">
      <c r="A276" s="28" t="s">
        <v>915</v>
      </c>
      <c r="B276" s="8" t="s">
        <v>7701</v>
      </c>
      <c r="C276" s="37" t="s">
        <v>7693</v>
      </c>
      <c r="D276" s="28" t="s">
        <v>972</v>
      </c>
      <c r="E276" s="36" t="s">
        <v>5924</v>
      </c>
      <c r="F276" s="28" t="s">
        <v>5173</v>
      </c>
      <c r="G276" s="36"/>
      <c r="H276" s="36" t="s">
        <v>5925</v>
      </c>
    </row>
    <row r="277" spans="1:8" ht="20.5">
      <c r="A277" s="28" t="s">
        <v>915</v>
      </c>
      <c r="B277" s="8" t="s">
        <v>7701</v>
      </c>
      <c r="C277" s="37" t="s">
        <v>7693</v>
      </c>
      <c r="D277" s="28" t="s">
        <v>972</v>
      </c>
      <c r="E277" s="36" t="s">
        <v>5926</v>
      </c>
      <c r="F277" s="28" t="s">
        <v>5173</v>
      </c>
      <c r="G277" s="36"/>
      <c r="H277" s="36" t="s">
        <v>5927</v>
      </c>
    </row>
    <row r="278" spans="1:8" ht="12.5">
      <c r="A278" s="28" t="s">
        <v>915</v>
      </c>
      <c r="B278" s="8" t="s">
        <v>7701</v>
      </c>
      <c r="C278" s="37" t="s">
        <v>7693</v>
      </c>
      <c r="D278" s="28" t="s">
        <v>972</v>
      </c>
      <c r="E278" s="36" t="s">
        <v>5928</v>
      </c>
      <c r="F278" s="28" t="s">
        <v>5213</v>
      </c>
      <c r="G278" s="36"/>
      <c r="H278" s="36" t="s">
        <v>5929</v>
      </c>
    </row>
    <row r="279" spans="1:8" ht="12.5">
      <c r="A279" s="28" t="s">
        <v>915</v>
      </c>
      <c r="B279" s="8" t="s">
        <v>7701</v>
      </c>
      <c r="C279" s="37" t="s">
        <v>7693</v>
      </c>
      <c r="D279" s="28" t="s">
        <v>972</v>
      </c>
      <c r="E279" s="36" t="s">
        <v>5930</v>
      </c>
      <c r="F279" s="28" t="s">
        <v>5213</v>
      </c>
      <c r="G279" s="36"/>
      <c r="H279" s="36" t="s">
        <v>5931</v>
      </c>
    </row>
    <row r="280" spans="1:8" ht="12.5">
      <c r="A280" s="28" t="s">
        <v>915</v>
      </c>
      <c r="B280" s="8" t="s">
        <v>7701</v>
      </c>
      <c r="C280" s="37" t="s">
        <v>7693</v>
      </c>
      <c r="D280" s="28" t="s">
        <v>972</v>
      </c>
      <c r="E280" s="36" t="s">
        <v>5932</v>
      </c>
      <c r="F280" s="28" t="s">
        <v>5213</v>
      </c>
      <c r="G280" s="36" t="s">
        <v>5933</v>
      </c>
      <c r="H280" s="36" t="s">
        <v>5929</v>
      </c>
    </row>
    <row r="281" spans="1:8" ht="12.5">
      <c r="A281" s="28" t="s">
        <v>915</v>
      </c>
      <c r="B281" s="8" t="s">
        <v>7701</v>
      </c>
      <c r="C281" s="37" t="s">
        <v>7693</v>
      </c>
      <c r="D281" s="28" t="s">
        <v>972</v>
      </c>
      <c r="E281" s="36" t="s">
        <v>5934</v>
      </c>
      <c r="F281" s="28" t="s">
        <v>5213</v>
      </c>
      <c r="G281" s="36"/>
      <c r="H281" s="36" t="s">
        <v>5935</v>
      </c>
    </row>
    <row r="282" spans="1:8" ht="12.5">
      <c r="A282" s="28" t="s">
        <v>915</v>
      </c>
      <c r="B282" s="8" t="s">
        <v>7701</v>
      </c>
      <c r="C282" s="37" t="s">
        <v>7693</v>
      </c>
      <c r="D282" s="28" t="s">
        <v>972</v>
      </c>
      <c r="E282" s="36" t="s">
        <v>5936</v>
      </c>
      <c r="F282" s="28" t="s">
        <v>5213</v>
      </c>
      <c r="G282" s="36" t="s">
        <v>5937</v>
      </c>
      <c r="H282" s="36" t="s">
        <v>5938</v>
      </c>
    </row>
    <row r="283" spans="1:8" ht="12.5">
      <c r="A283" s="28" t="s">
        <v>915</v>
      </c>
      <c r="B283" s="8" t="s">
        <v>7701</v>
      </c>
      <c r="C283" s="37" t="s">
        <v>7693</v>
      </c>
      <c r="D283" s="28" t="s">
        <v>972</v>
      </c>
      <c r="E283" s="36" t="s">
        <v>5939</v>
      </c>
      <c r="F283" s="28" t="s">
        <v>5213</v>
      </c>
      <c r="G283" s="36" t="s">
        <v>5940</v>
      </c>
      <c r="H283" s="36" t="s">
        <v>5941</v>
      </c>
    </row>
    <row r="284" spans="1:8" ht="30.5">
      <c r="A284" s="28" t="s">
        <v>915</v>
      </c>
      <c r="B284" s="8" t="s">
        <v>7701</v>
      </c>
      <c r="C284" s="37" t="s">
        <v>7693</v>
      </c>
      <c r="D284" s="28" t="s">
        <v>972</v>
      </c>
      <c r="E284" s="36" t="s">
        <v>5942</v>
      </c>
      <c r="F284" s="28" t="s">
        <v>5162</v>
      </c>
      <c r="G284" s="36"/>
      <c r="H284" s="36" t="s">
        <v>5943</v>
      </c>
    </row>
    <row r="285" spans="1:8" ht="30.5">
      <c r="A285" s="28" t="s">
        <v>915</v>
      </c>
      <c r="B285" s="8" t="s">
        <v>7701</v>
      </c>
      <c r="C285" s="37" t="s">
        <v>7693</v>
      </c>
      <c r="D285" s="28" t="s">
        <v>972</v>
      </c>
      <c r="E285" s="36" t="s">
        <v>5944</v>
      </c>
      <c r="F285" s="28" t="s">
        <v>5213</v>
      </c>
      <c r="G285" s="36" t="s">
        <v>5945</v>
      </c>
      <c r="H285" s="36" t="s">
        <v>5946</v>
      </c>
    </row>
    <row r="286" spans="1:8" ht="20.5">
      <c r="A286" s="28" t="s">
        <v>915</v>
      </c>
      <c r="B286" s="8" t="s">
        <v>7701</v>
      </c>
      <c r="C286" s="37" t="s">
        <v>7693</v>
      </c>
      <c r="D286" s="28" t="s">
        <v>972</v>
      </c>
      <c r="E286" s="36" t="s">
        <v>5947</v>
      </c>
      <c r="F286" s="28" t="s">
        <v>5213</v>
      </c>
      <c r="G286" s="36" t="s">
        <v>5945</v>
      </c>
      <c r="H286" s="36" t="s">
        <v>5948</v>
      </c>
    </row>
    <row r="287" spans="1:8" ht="20.5">
      <c r="A287" s="28" t="s">
        <v>915</v>
      </c>
      <c r="B287" s="8" t="s">
        <v>7701</v>
      </c>
      <c r="C287" s="37" t="s">
        <v>7693</v>
      </c>
      <c r="D287" s="28" t="s">
        <v>972</v>
      </c>
      <c r="E287" s="36" t="s">
        <v>5949</v>
      </c>
      <c r="F287" s="28" t="s">
        <v>5162</v>
      </c>
      <c r="G287" s="36"/>
      <c r="H287" s="36" t="s">
        <v>5950</v>
      </c>
    </row>
    <row r="288" spans="1:8" ht="12.5">
      <c r="A288" s="28" t="s">
        <v>915</v>
      </c>
      <c r="B288" s="8" t="s">
        <v>7701</v>
      </c>
      <c r="C288" s="37" t="s">
        <v>7693</v>
      </c>
      <c r="D288" s="28" t="s">
        <v>972</v>
      </c>
      <c r="E288" s="36" t="s">
        <v>5951</v>
      </c>
      <c r="F288" s="28" t="s">
        <v>5173</v>
      </c>
      <c r="G288" s="36" t="s">
        <v>5952</v>
      </c>
      <c r="H288" s="36" t="s">
        <v>5953</v>
      </c>
    </row>
    <row r="289" spans="1:8" ht="20.5">
      <c r="A289" s="28" t="s">
        <v>915</v>
      </c>
      <c r="B289" s="8" t="s">
        <v>7701</v>
      </c>
      <c r="C289" s="37" t="s">
        <v>7693</v>
      </c>
      <c r="D289" s="28" t="s">
        <v>972</v>
      </c>
      <c r="E289" s="36" t="s">
        <v>5954</v>
      </c>
      <c r="F289" s="28" t="s">
        <v>5213</v>
      </c>
      <c r="G289" s="36" t="s">
        <v>5955</v>
      </c>
      <c r="H289" s="36" t="s">
        <v>5956</v>
      </c>
    </row>
    <row r="290" spans="1:8" ht="20.5">
      <c r="A290" s="28" t="s">
        <v>915</v>
      </c>
      <c r="B290" s="8" t="s">
        <v>7701</v>
      </c>
      <c r="C290" s="37" t="s">
        <v>7693</v>
      </c>
      <c r="D290" s="28" t="s">
        <v>922</v>
      </c>
      <c r="E290" s="36" t="s">
        <v>5957</v>
      </c>
      <c r="F290" s="28" t="s">
        <v>5173</v>
      </c>
      <c r="G290" s="36"/>
      <c r="H290" s="36" t="s">
        <v>5429</v>
      </c>
    </row>
    <row r="291" spans="1:8" ht="20.5">
      <c r="A291" s="28" t="s">
        <v>915</v>
      </c>
      <c r="B291" s="8" t="s">
        <v>7701</v>
      </c>
      <c r="C291" s="37" t="s">
        <v>7693</v>
      </c>
      <c r="D291" s="28" t="s">
        <v>922</v>
      </c>
      <c r="E291" s="36" t="s">
        <v>5958</v>
      </c>
      <c r="F291" s="28" t="s">
        <v>5213</v>
      </c>
      <c r="G291" s="36" t="s">
        <v>5959</v>
      </c>
      <c r="H291" s="36" t="s">
        <v>5960</v>
      </c>
    </row>
    <row r="292" spans="1:8" ht="20.5">
      <c r="A292" s="28" t="s">
        <v>915</v>
      </c>
      <c r="B292" s="8" t="s">
        <v>7701</v>
      </c>
      <c r="C292" s="37" t="s">
        <v>7693</v>
      </c>
      <c r="D292" s="28" t="s">
        <v>949</v>
      </c>
      <c r="E292" s="36" t="s">
        <v>5961</v>
      </c>
      <c r="F292" s="28" t="s">
        <v>5173</v>
      </c>
      <c r="G292" s="36" t="s">
        <v>5962</v>
      </c>
      <c r="H292" s="36" t="s">
        <v>5963</v>
      </c>
    </row>
    <row r="293" spans="1:8" ht="30.5">
      <c r="A293" s="28" t="s">
        <v>915</v>
      </c>
      <c r="B293" s="8" t="s">
        <v>7701</v>
      </c>
      <c r="C293" s="37" t="s">
        <v>7693</v>
      </c>
      <c r="D293" s="28" t="s">
        <v>949</v>
      </c>
      <c r="E293" s="36" t="s">
        <v>5909</v>
      </c>
      <c r="F293" s="28" t="s">
        <v>5166</v>
      </c>
      <c r="G293" s="36" t="s">
        <v>5964</v>
      </c>
      <c r="H293" s="36" t="s">
        <v>5965</v>
      </c>
    </row>
    <row r="294" spans="1:8" ht="20.5">
      <c r="A294" s="28" t="s">
        <v>915</v>
      </c>
      <c r="B294" s="8" t="s">
        <v>7701</v>
      </c>
      <c r="C294" s="37" t="s">
        <v>7693</v>
      </c>
      <c r="D294" s="28" t="s">
        <v>949</v>
      </c>
      <c r="E294" s="36" t="s">
        <v>5966</v>
      </c>
      <c r="F294" s="28" t="s">
        <v>5173</v>
      </c>
      <c r="G294" s="36"/>
      <c r="H294" s="36" t="s">
        <v>5967</v>
      </c>
    </row>
    <row r="295" spans="1:8" ht="12.5">
      <c r="A295" s="28" t="s">
        <v>915</v>
      </c>
      <c r="B295" s="8" t="s">
        <v>7701</v>
      </c>
      <c r="C295" s="37" t="s">
        <v>7693</v>
      </c>
      <c r="D295" s="28" t="s">
        <v>949</v>
      </c>
      <c r="E295" s="36" t="s">
        <v>5968</v>
      </c>
      <c r="F295" s="28" t="s">
        <v>5173</v>
      </c>
      <c r="G295" s="36"/>
      <c r="H295" s="36" t="s">
        <v>5969</v>
      </c>
    </row>
    <row r="296" spans="1:8" ht="50.5">
      <c r="A296" s="28" t="s">
        <v>915</v>
      </c>
      <c r="B296" s="8" t="s">
        <v>7701</v>
      </c>
      <c r="C296" s="37" t="s">
        <v>7693</v>
      </c>
      <c r="D296" s="28" t="s">
        <v>949</v>
      </c>
      <c r="E296" s="36" t="s">
        <v>5970</v>
      </c>
      <c r="F296" s="28" t="s">
        <v>5220</v>
      </c>
      <c r="G296" s="36" t="s">
        <v>5971</v>
      </c>
      <c r="H296" s="36" t="s">
        <v>5972</v>
      </c>
    </row>
    <row r="297" spans="1:8" ht="30.5">
      <c r="A297" s="28" t="s">
        <v>915</v>
      </c>
      <c r="B297" s="8" t="s">
        <v>7701</v>
      </c>
      <c r="C297" s="37" t="s">
        <v>7693</v>
      </c>
      <c r="D297" s="28" t="s">
        <v>1007</v>
      </c>
      <c r="E297" s="36" t="s">
        <v>5973</v>
      </c>
      <c r="F297" s="28" t="s">
        <v>5162</v>
      </c>
      <c r="G297" s="36" t="s">
        <v>5974</v>
      </c>
      <c r="H297" s="36" t="s">
        <v>5975</v>
      </c>
    </row>
    <row r="298" spans="1:8" ht="20.5">
      <c r="A298" s="28" t="s">
        <v>915</v>
      </c>
      <c r="B298" s="8" t="s">
        <v>7701</v>
      </c>
      <c r="C298" s="37" t="s">
        <v>7693</v>
      </c>
      <c r="D298" s="28" t="s">
        <v>1007</v>
      </c>
      <c r="E298" s="36" t="s">
        <v>5976</v>
      </c>
      <c r="F298" s="28" t="s">
        <v>5173</v>
      </c>
      <c r="G298" s="36" t="s">
        <v>5977</v>
      </c>
      <c r="H298" s="36" t="s">
        <v>5978</v>
      </c>
    </row>
    <row r="299" spans="1:8" ht="50.5">
      <c r="A299" s="28" t="s">
        <v>915</v>
      </c>
      <c r="B299" s="8" t="s">
        <v>7701</v>
      </c>
      <c r="C299" s="37" t="s">
        <v>7693</v>
      </c>
      <c r="D299" s="28" t="s">
        <v>1007</v>
      </c>
      <c r="E299" s="36" t="s">
        <v>5979</v>
      </c>
      <c r="F299" s="28" t="s">
        <v>5166</v>
      </c>
      <c r="G299" s="36" t="s">
        <v>5980</v>
      </c>
      <c r="H299" s="36" t="s">
        <v>5981</v>
      </c>
    </row>
    <row r="300" spans="1:8" ht="50.5">
      <c r="A300" s="28" t="s">
        <v>915</v>
      </c>
      <c r="B300" s="8" t="s">
        <v>7701</v>
      </c>
      <c r="C300" s="37" t="s">
        <v>7693</v>
      </c>
      <c r="D300" s="28" t="s">
        <v>1007</v>
      </c>
      <c r="E300" s="36" t="s">
        <v>5982</v>
      </c>
      <c r="F300" s="28" t="s">
        <v>5173</v>
      </c>
      <c r="G300" s="36" t="s">
        <v>5983</v>
      </c>
      <c r="H300" s="36" t="s">
        <v>5984</v>
      </c>
    </row>
    <row r="301" spans="1:8" ht="70.5">
      <c r="A301" s="28" t="s">
        <v>915</v>
      </c>
      <c r="B301" s="8" t="s">
        <v>7701</v>
      </c>
      <c r="C301" s="37" t="s">
        <v>7693</v>
      </c>
      <c r="D301" s="28" t="s">
        <v>1007</v>
      </c>
      <c r="E301" s="36" t="s">
        <v>5985</v>
      </c>
      <c r="F301" s="28" t="s">
        <v>5331</v>
      </c>
      <c r="G301" s="36" t="s">
        <v>5986</v>
      </c>
      <c r="H301" s="36" t="s">
        <v>5987</v>
      </c>
    </row>
    <row r="302" spans="1:8" ht="50.5">
      <c r="A302" s="28" t="s">
        <v>915</v>
      </c>
      <c r="B302" s="8" t="s">
        <v>7701</v>
      </c>
      <c r="C302" s="37" t="s">
        <v>7693</v>
      </c>
      <c r="D302" s="28" t="s">
        <v>1007</v>
      </c>
      <c r="E302" s="36" t="s">
        <v>5988</v>
      </c>
      <c r="F302" s="28" t="s">
        <v>5213</v>
      </c>
      <c r="G302" s="36" t="s">
        <v>5989</v>
      </c>
      <c r="H302" s="36" t="s">
        <v>5990</v>
      </c>
    </row>
    <row r="303" spans="1:8" ht="50.5">
      <c r="A303" s="28" t="s">
        <v>915</v>
      </c>
      <c r="B303" s="8" t="s">
        <v>7701</v>
      </c>
      <c r="C303" s="37" t="s">
        <v>7693</v>
      </c>
      <c r="D303" s="28" t="s">
        <v>1007</v>
      </c>
      <c r="E303" s="36" t="s">
        <v>5991</v>
      </c>
      <c r="F303" s="28" t="s">
        <v>5173</v>
      </c>
      <c r="G303" s="36" t="s">
        <v>5992</v>
      </c>
      <c r="H303" s="36" t="s">
        <v>5993</v>
      </c>
    </row>
    <row r="304" spans="1:8" ht="20.5">
      <c r="A304" s="28" t="s">
        <v>915</v>
      </c>
      <c r="B304" s="8" t="s">
        <v>7701</v>
      </c>
      <c r="C304" s="37" t="s">
        <v>7695</v>
      </c>
      <c r="D304" s="28" t="s">
        <v>5562</v>
      </c>
      <c r="E304" s="36" t="s">
        <v>5994</v>
      </c>
      <c r="F304" s="28" t="s">
        <v>5173</v>
      </c>
      <c r="G304" s="36"/>
      <c r="H304" s="36" t="s">
        <v>5995</v>
      </c>
    </row>
    <row r="305" spans="1:8" ht="25">
      <c r="A305" s="28" t="s">
        <v>915</v>
      </c>
      <c r="B305" s="8" t="s">
        <v>7701</v>
      </c>
      <c r="C305" s="37" t="s">
        <v>8065</v>
      </c>
      <c r="D305" s="28" t="s">
        <v>5996</v>
      </c>
      <c r="E305" s="36" t="s">
        <v>5997</v>
      </c>
      <c r="F305" s="28" t="s">
        <v>5220</v>
      </c>
      <c r="G305" s="36" t="s">
        <v>5998</v>
      </c>
      <c r="H305" s="36" t="s">
        <v>5999</v>
      </c>
    </row>
    <row r="306" spans="1:8" ht="30.5">
      <c r="A306" s="28" t="s">
        <v>915</v>
      </c>
      <c r="B306" s="8" t="s">
        <v>7701</v>
      </c>
      <c r="C306" s="37" t="s">
        <v>7695</v>
      </c>
      <c r="D306" s="28" t="s">
        <v>967</v>
      </c>
      <c r="E306" s="36" t="s">
        <v>6000</v>
      </c>
      <c r="F306" s="28" t="s">
        <v>5173</v>
      </c>
      <c r="G306" s="36" t="s">
        <v>6001</v>
      </c>
      <c r="H306" s="36" t="s">
        <v>6002</v>
      </c>
    </row>
    <row r="307" spans="1:8" ht="50.5">
      <c r="A307" s="28" t="s">
        <v>915</v>
      </c>
      <c r="B307" s="8" t="s">
        <v>7701</v>
      </c>
      <c r="C307" s="37" t="s">
        <v>7695</v>
      </c>
      <c r="D307" s="28" t="s">
        <v>6003</v>
      </c>
      <c r="E307" s="36" t="s">
        <v>6004</v>
      </c>
      <c r="F307" s="28" t="s">
        <v>5220</v>
      </c>
      <c r="G307" s="36" t="s">
        <v>6005</v>
      </c>
      <c r="H307" s="36" t="s">
        <v>6006</v>
      </c>
    </row>
    <row r="308" spans="1:8" ht="20.5">
      <c r="A308" s="28" t="s">
        <v>915</v>
      </c>
      <c r="B308" s="8" t="s">
        <v>7701</v>
      </c>
      <c r="C308" s="37" t="s">
        <v>7695</v>
      </c>
      <c r="D308" s="28" t="s">
        <v>6007</v>
      </c>
      <c r="E308" s="36" t="s">
        <v>6008</v>
      </c>
      <c r="F308" s="28" t="s">
        <v>5173</v>
      </c>
      <c r="G308" s="36" t="s">
        <v>6009</v>
      </c>
      <c r="H308" s="36" t="s">
        <v>6010</v>
      </c>
    </row>
    <row r="309" spans="1:8" ht="25">
      <c r="A309" s="28" t="s">
        <v>915</v>
      </c>
      <c r="B309" s="8" t="s">
        <v>7701</v>
      </c>
      <c r="C309" s="37" t="s">
        <v>8065</v>
      </c>
      <c r="D309" s="28" t="s">
        <v>986</v>
      </c>
      <c r="E309" s="36" t="s">
        <v>6011</v>
      </c>
      <c r="F309" s="28" t="s">
        <v>5173</v>
      </c>
      <c r="G309" s="36"/>
      <c r="H309" s="36" t="s">
        <v>6012</v>
      </c>
    </row>
    <row r="310" spans="1:8" ht="20.5">
      <c r="A310" s="28" t="s">
        <v>915</v>
      </c>
      <c r="B310" s="8" t="s">
        <v>7701</v>
      </c>
      <c r="C310" s="37" t="s">
        <v>7695</v>
      </c>
      <c r="D310" s="28" t="s">
        <v>6013</v>
      </c>
      <c r="E310" s="36" t="s">
        <v>6014</v>
      </c>
      <c r="F310" s="28" t="s">
        <v>5173</v>
      </c>
      <c r="G310" s="36" t="s">
        <v>6015</v>
      </c>
      <c r="H310" s="36" t="s">
        <v>6016</v>
      </c>
    </row>
    <row r="311" spans="1:8" ht="30.5">
      <c r="A311" s="28" t="s">
        <v>2124</v>
      </c>
      <c r="B311" s="8" t="s">
        <v>7703</v>
      </c>
      <c r="C311" s="37" t="s">
        <v>7693</v>
      </c>
      <c r="D311" s="28" t="s">
        <v>2251</v>
      </c>
      <c r="E311" s="36" t="s">
        <v>6017</v>
      </c>
      <c r="F311" s="28" t="s">
        <v>5213</v>
      </c>
      <c r="G311" s="36" t="s">
        <v>6018</v>
      </c>
      <c r="H311" s="36" t="s">
        <v>6019</v>
      </c>
    </row>
    <row r="312" spans="1:8" ht="20.5">
      <c r="A312" s="28" t="s">
        <v>2124</v>
      </c>
      <c r="B312" s="8" t="s">
        <v>7703</v>
      </c>
      <c r="C312" s="37" t="s">
        <v>7693</v>
      </c>
      <c r="D312" s="28" t="s">
        <v>2140</v>
      </c>
      <c r="E312" s="36" t="s">
        <v>6020</v>
      </c>
      <c r="F312" s="28" t="s">
        <v>5194</v>
      </c>
      <c r="G312" s="36" t="s">
        <v>6021</v>
      </c>
      <c r="H312" s="36" t="s">
        <v>6022</v>
      </c>
    </row>
    <row r="313" spans="1:8" ht="20.5">
      <c r="A313" s="28" t="s">
        <v>2124</v>
      </c>
      <c r="B313" s="8" t="s">
        <v>7703</v>
      </c>
      <c r="C313" s="37" t="s">
        <v>7693</v>
      </c>
      <c r="D313" s="28" t="s">
        <v>2140</v>
      </c>
      <c r="E313" s="36" t="s">
        <v>6023</v>
      </c>
      <c r="F313" s="28" t="s">
        <v>5173</v>
      </c>
      <c r="G313" s="36" t="s">
        <v>6024</v>
      </c>
      <c r="H313" s="36" t="s">
        <v>6025</v>
      </c>
    </row>
    <row r="314" spans="1:8" ht="50.5">
      <c r="A314" s="28" t="s">
        <v>2124</v>
      </c>
      <c r="B314" s="8" t="s">
        <v>7703</v>
      </c>
      <c r="C314" s="37" t="s">
        <v>7693</v>
      </c>
      <c r="D314" s="28" t="s">
        <v>2140</v>
      </c>
      <c r="E314" s="36" t="s">
        <v>6026</v>
      </c>
      <c r="F314" s="28" t="s">
        <v>5173</v>
      </c>
      <c r="G314" s="36" t="s">
        <v>6027</v>
      </c>
      <c r="H314" s="36" t="s">
        <v>6028</v>
      </c>
    </row>
    <row r="315" spans="1:8" ht="12.5">
      <c r="A315" s="28" t="s">
        <v>2124</v>
      </c>
      <c r="B315" s="8" t="s">
        <v>7703</v>
      </c>
      <c r="C315" s="37" t="s">
        <v>7693</v>
      </c>
      <c r="D315" s="28" t="s">
        <v>2251</v>
      </c>
      <c r="E315" s="36" t="s">
        <v>6029</v>
      </c>
      <c r="F315" s="28" t="s">
        <v>5173</v>
      </c>
      <c r="G315" s="36"/>
      <c r="H315" s="36" t="s">
        <v>6030</v>
      </c>
    </row>
    <row r="316" spans="1:8" ht="20.5">
      <c r="A316" s="28" t="s">
        <v>2124</v>
      </c>
      <c r="B316" s="8" t="s">
        <v>7703</v>
      </c>
      <c r="C316" s="37" t="s">
        <v>7693</v>
      </c>
      <c r="D316" s="28" t="s">
        <v>2155</v>
      </c>
      <c r="E316" s="36" t="s">
        <v>6031</v>
      </c>
      <c r="F316" s="28" t="s">
        <v>5173</v>
      </c>
      <c r="G316" s="36" t="s">
        <v>6032</v>
      </c>
      <c r="H316" s="36" t="s">
        <v>6033</v>
      </c>
    </row>
    <row r="317" spans="1:8" ht="12.5">
      <c r="A317" s="28" t="s">
        <v>2124</v>
      </c>
      <c r="B317" s="8" t="s">
        <v>7703</v>
      </c>
      <c r="C317" s="37" t="s">
        <v>7693</v>
      </c>
      <c r="D317" s="28" t="s">
        <v>6034</v>
      </c>
      <c r="E317" s="36" t="s">
        <v>6035</v>
      </c>
      <c r="F317" s="28" t="s">
        <v>5173</v>
      </c>
      <c r="G317" s="36"/>
      <c r="H317" s="36" t="s">
        <v>6036</v>
      </c>
    </row>
    <row r="318" spans="1:8" ht="25">
      <c r="A318" s="28" t="s">
        <v>2124</v>
      </c>
      <c r="B318" s="8" t="s">
        <v>7703</v>
      </c>
      <c r="C318" s="37" t="s">
        <v>8065</v>
      </c>
      <c r="D318" s="28" t="s">
        <v>6037</v>
      </c>
      <c r="E318" s="36" t="s">
        <v>6038</v>
      </c>
      <c r="F318" s="28" t="s">
        <v>5194</v>
      </c>
      <c r="G318" s="36"/>
      <c r="H318" s="36" t="s">
        <v>6039</v>
      </c>
    </row>
    <row r="319" spans="1:8" ht="30.5">
      <c r="A319" s="28" t="s">
        <v>2124</v>
      </c>
      <c r="B319" s="8" t="s">
        <v>7703</v>
      </c>
      <c r="C319" s="37" t="s">
        <v>7693</v>
      </c>
      <c r="D319" s="28" t="s">
        <v>2196</v>
      </c>
      <c r="E319" s="36" t="s">
        <v>6040</v>
      </c>
      <c r="F319" s="28" t="s">
        <v>5194</v>
      </c>
      <c r="G319" s="36" t="s">
        <v>6041</v>
      </c>
      <c r="H319" s="36" t="s">
        <v>6042</v>
      </c>
    </row>
    <row r="320" spans="1:8" ht="30.5">
      <c r="A320" s="28" t="s">
        <v>2124</v>
      </c>
      <c r="B320" s="8" t="s">
        <v>7703</v>
      </c>
      <c r="C320" s="37" t="s">
        <v>7693</v>
      </c>
      <c r="D320" s="28" t="s">
        <v>6043</v>
      </c>
      <c r="E320" s="36" t="s">
        <v>6044</v>
      </c>
      <c r="F320" s="28" t="s">
        <v>5173</v>
      </c>
      <c r="G320" s="36"/>
      <c r="H320" s="36" t="s">
        <v>6045</v>
      </c>
    </row>
    <row r="321" spans="1:8" ht="20.5">
      <c r="A321" s="28" t="s">
        <v>2124</v>
      </c>
      <c r="B321" s="8" t="s">
        <v>7703</v>
      </c>
      <c r="C321" s="37" t="s">
        <v>7693</v>
      </c>
      <c r="D321" s="28" t="s">
        <v>2251</v>
      </c>
      <c r="E321" s="36" t="s">
        <v>6046</v>
      </c>
      <c r="F321" s="28" t="s">
        <v>5173</v>
      </c>
      <c r="G321" s="36" t="s">
        <v>6047</v>
      </c>
      <c r="H321" s="36" t="s">
        <v>6048</v>
      </c>
    </row>
    <row r="322" spans="1:8" ht="30.5">
      <c r="A322" s="28" t="s">
        <v>2124</v>
      </c>
      <c r="B322" s="8" t="s">
        <v>7703</v>
      </c>
      <c r="C322" s="37" t="s">
        <v>7693</v>
      </c>
      <c r="D322" s="28" t="s">
        <v>2251</v>
      </c>
      <c r="E322" s="36" t="s">
        <v>6049</v>
      </c>
      <c r="F322" s="28" t="s">
        <v>5173</v>
      </c>
      <c r="G322" s="36" t="s">
        <v>6050</v>
      </c>
      <c r="H322" s="36" t="s">
        <v>6051</v>
      </c>
    </row>
    <row r="323" spans="1:8" ht="20.5">
      <c r="A323" s="28" t="s">
        <v>2527</v>
      </c>
      <c r="B323" s="8" t="s">
        <v>7727</v>
      </c>
      <c r="C323" s="37" t="s">
        <v>7693</v>
      </c>
      <c r="D323" s="28" t="s">
        <v>3773</v>
      </c>
      <c r="E323" s="36" t="s">
        <v>6052</v>
      </c>
      <c r="F323" s="28" t="s">
        <v>5162</v>
      </c>
      <c r="G323" s="36"/>
      <c r="H323" s="36" t="s">
        <v>6053</v>
      </c>
    </row>
    <row r="324" spans="1:8" ht="20.5">
      <c r="A324" s="28" t="s">
        <v>1065</v>
      </c>
      <c r="B324" s="8" t="s">
        <v>7702</v>
      </c>
      <c r="C324" s="37" t="s">
        <v>7693</v>
      </c>
      <c r="D324" s="28" t="s">
        <v>6054</v>
      </c>
      <c r="E324" s="36" t="s">
        <v>6055</v>
      </c>
      <c r="F324" s="28" t="s">
        <v>5162</v>
      </c>
      <c r="G324" s="36"/>
      <c r="H324" s="36" t="s">
        <v>6056</v>
      </c>
    </row>
    <row r="325" spans="1:8" ht="40.5">
      <c r="A325" s="28" t="s">
        <v>1065</v>
      </c>
      <c r="B325" s="8" t="s">
        <v>7702</v>
      </c>
      <c r="C325" s="37" t="s">
        <v>7693</v>
      </c>
      <c r="D325" s="28" t="s">
        <v>1163</v>
      </c>
      <c r="E325" s="36" t="s">
        <v>6057</v>
      </c>
      <c r="F325" s="28" t="s">
        <v>5173</v>
      </c>
      <c r="G325" s="36" t="s">
        <v>6058</v>
      </c>
      <c r="H325" s="36" t="s">
        <v>6059</v>
      </c>
    </row>
    <row r="326" spans="1:8" ht="30.5">
      <c r="A326" s="28" t="s">
        <v>1065</v>
      </c>
      <c r="B326" s="8" t="s">
        <v>7702</v>
      </c>
      <c r="C326" s="37" t="s">
        <v>7693</v>
      </c>
      <c r="D326" s="28" t="s">
        <v>1163</v>
      </c>
      <c r="E326" s="36" t="s">
        <v>6060</v>
      </c>
      <c r="F326" s="28" t="s">
        <v>5213</v>
      </c>
      <c r="G326" s="36" t="s">
        <v>6061</v>
      </c>
      <c r="H326" s="36" t="s">
        <v>6062</v>
      </c>
    </row>
    <row r="327" spans="1:8" ht="20.5">
      <c r="A327" s="28" t="s">
        <v>1065</v>
      </c>
      <c r="B327" s="8" t="s">
        <v>7702</v>
      </c>
      <c r="C327" s="37" t="s">
        <v>7693</v>
      </c>
      <c r="D327" s="28" t="s">
        <v>1190</v>
      </c>
      <c r="E327" s="36" t="s">
        <v>6063</v>
      </c>
      <c r="F327" s="28" t="s">
        <v>5173</v>
      </c>
      <c r="G327" s="36" t="s">
        <v>6064</v>
      </c>
      <c r="H327" s="36" t="s">
        <v>6065</v>
      </c>
    </row>
    <row r="328" spans="1:8" ht="50.5">
      <c r="A328" s="28" t="s">
        <v>1065</v>
      </c>
      <c r="B328" s="8" t="s">
        <v>7702</v>
      </c>
      <c r="C328" s="37" t="s">
        <v>7693</v>
      </c>
      <c r="D328" s="28" t="s">
        <v>1070</v>
      </c>
      <c r="E328" s="36" t="s">
        <v>6066</v>
      </c>
      <c r="F328" s="28" t="s">
        <v>5173</v>
      </c>
      <c r="G328" s="36" t="s">
        <v>6067</v>
      </c>
      <c r="H328" s="36" t="s">
        <v>6068</v>
      </c>
    </row>
    <row r="329" spans="1:8" ht="30.5">
      <c r="A329" s="28" t="s">
        <v>1065</v>
      </c>
      <c r="B329" s="8" t="s">
        <v>7702</v>
      </c>
      <c r="C329" s="37" t="s">
        <v>7693</v>
      </c>
      <c r="D329" s="28" t="s">
        <v>1070</v>
      </c>
      <c r="E329" s="36" t="s">
        <v>6069</v>
      </c>
      <c r="F329" s="28" t="s">
        <v>5173</v>
      </c>
      <c r="G329" s="36" t="s">
        <v>6070</v>
      </c>
      <c r="H329" s="36" t="s">
        <v>6071</v>
      </c>
    </row>
    <row r="330" spans="1:8" ht="30.5">
      <c r="A330" s="28" t="s">
        <v>1065</v>
      </c>
      <c r="B330" s="8" t="s">
        <v>7702</v>
      </c>
      <c r="C330" s="37" t="s">
        <v>7693</v>
      </c>
      <c r="D330" s="28" t="s">
        <v>1078</v>
      </c>
      <c r="E330" s="36" t="s">
        <v>6072</v>
      </c>
      <c r="F330" s="28" t="s">
        <v>5166</v>
      </c>
      <c r="G330" s="36" t="s">
        <v>6073</v>
      </c>
      <c r="H330" s="36" t="s">
        <v>6074</v>
      </c>
    </row>
    <row r="331" spans="1:8" ht="30.5">
      <c r="A331" s="28" t="s">
        <v>1065</v>
      </c>
      <c r="B331" s="8" t="s">
        <v>7702</v>
      </c>
      <c r="C331" s="37" t="s">
        <v>7693</v>
      </c>
      <c r="D331" s="28" t="s">
        <v>1142</v>
      </c>
      <c r="E331" s="36" t="s">
        <v>6075</v>
      </c>
      <c r="F331" s="28" t="s">
        <v>5220</v>
      </c>
      <c r="G331" s="36" t="s">
        <v>6076</v>
      </c>
      <c r="H331" s="36" t="s">
        <v>6077</v>
      </c>
    </row>
    <row r="332" spans="1:8" ht="30.5">
      <c r="A332" s="28" t="s">
        <v>1065</v>
      </c>
      <c r="B332" s="8" t="s">
        <v>7702</v>
      </c>
      <c r="C332" s="37" t="s">
        <v>7693</v>
      </c>
      <c r="D332" s="28" t="s">
        <v>1142</v>
      </c>
      <c r="E332" s="36" t="s">
        <v>6078</v>
      </c>
      <c r="F332" s="28" t="s">
        <v>5173</v>
      </c>
      <c r="G332" s="36" t="s">
        <v>6079</v>
      </c>
      <c r="H332" s="36" t="s">
        <v>6077</v>
      </c>
    </row>
    <row r="333" spans="1:8" ht="12.5">
      <c r="A333" s="28" t="s">
        <v>1065</v>
      </c>
      <c r="B333" s="8" t="s">
        <v>7702</v>
      </c>
      <c r="C333" s="37" t="s">
        <v>7693</v>
      </c>
      <c r="D333" s="28" t="s">
        <v>1142</v>
      </c>
      <c r="E333" s="36" t="s">
        <v>6080</v>
      </c>
      <c r="F333" s="28" t="s">
        <v>5173</v>
      </c>
      <c r="G333" s="36" t="s">
        <v>6081</v>
      </c>
      <c r="H333" s="36" t="s">
        <v>6082</v>
      </c>
    </row>
    <row r="334" spans="1:8" ht="20.5">
      <c r="A334" s="28" t="s">
        <v>1065</v>
      </c>
      <c r="B334" s="8" t="s">
        <v>7702</v>
      </c>
      <c r="C334" s="37" t="s">
        <v>7695</v>
      </c>
      <c r="D334" s="28" t="s">
        <v>6083</v>
      </c>
      <c r="E334" s="36" t="s">
        <v>6084</v>
      </c>
      <c r="F334" s="28" t="s">
        <v>5173</v>
      </c>
      <c r="G334" s="36"/>
      <c r="H334" s="36" t="s">
        <v>6085</v>
      </c>
    </row>
    <row r="335" spans="1:8" ht="20.5">
      <c r="A335" s="28" t="s">
        <v>1065</v>
      </c>
      <c r="B335" s="8" t="s">
        <v>7702</v>
      </c>
      <c r="C335" s="37" t="s">
        <v>7693</v>
      </c>
      <c r="D335" s="28" t="s">
        <v>1101</v>
      </c>
      <c r="E335" s="36" t="s">
        <v>6086</v>
      </c>
      <c r="F335" s="28" t="s">
        <v>5173</v>
      </c>
      <c r="G335" s="36"/>
      <c r="H335" s="36" t="s">
        <v>6087</v>
      </c>
    </row>
    <row r="336" spans="1:8" ht="30.5">
      <c r="A336" s="28" t="s">
        <v>1065</v>
      </c>
      <c r="B336" s="8" t="s">
        <v>7702</v>
      </c>
      <c r="C336" s="37" t="s">
        <v>7693</v>
      </c>
      <c r="D336" s="28" t="s">
        <v>1101</v>
      </c>
      <c r="E336" s="36" t="s">
        <v>6088</v>
      </c>
      <c r="F336" s="28" t="s">
        <v>5220</v>
      </c>
      <c r="G336" s="36" t="s">
        <v>6089</v>
      </c>
      <c r="H336" s="36" t="s">
        <v>6090</v>
      </c>
    </row>
    <row r="337" spans="1:8" ht="30.5">
      <c r="A337" s="28" t="s">
        <v>1065</v>
      </c>
      <c r="B337" s="8" t="s">
        <v>7702</v>
      </c>
      <c r="C337" s="37" t="s">
        <v>8065</v>
      </c>
      <c r="D337" s="28" t="s">
        <v>1120</v>
      </c>
      <c r="E337" s="36" t="s">
        <v>6091</v>
      </c>
      <c r="F337" s="28" t="s">
        <v>5173</v>
      </c>
      <c r="G337" s="36"/>
      <c r="H337" s="36" t="s">
        <v>6092</v>
      </c>
    </row>
    <row r="338" spans="1:8" ht="30.5">
      <c r="A338" s="28" t="s">
        <v>1065</v>
      </c>
      <c r="B338" s="8" t="s">
        <v>7702</v>
      </c>
      <c r="C338" s="37" t="s">
        <v>7693</v>
      </c>
      <c r="D338" s="28" t="s">
        <v>1070</v>
      </c>
      <c r="E338" s="36" t="s">
        <v>6093</v>
      </c>
      <c r="F338" s="28" t="s">
        <v>5173</v>
      </c>
      <c r="G338" s="36" t="s">
        <v>6094</v>
      </c>
      <c r="H338" s="36" t="s">
        <v>6095</v>
      </c>
    </row>
    <row r="339" spans="1:8" ht="50.5">
      <c r="A339" s="28" t="s">
        <v>1065</v>
      </c>
      <c r="B339" s="8" t="s">
        <v>7702</v>
      </c>
      <c r="C339" s="37" t="s">
        <v>7693</v>
      </c>
      <c r="D339" s="28" t="s">
        <v>1070</v>
      </c>
      <c r="E339" s="36" t="s">
        <v>6096</v>
      </c>
      <c r="F339" s="28" t="s">
        <v>5213</v>
      </c>
      <c r="G339" s="36" t="s">
        <v>6097</v>
      </c>
      <c r="H339" s="36" t="s">
        <v>6098</v>
      </c>
    </row>
    <row r="340" spans="1:8" ht="20.5">
      <c r="A340" s="28" t="s">
        <v>1065</v>
      </c>
      <c r="B340" s="8" t="s">
        <v>7702</v>
      </c>
      <c r="C340" s="37" t="s">
        <v>7693</v>
      </c>
      <c r="D340" s="28" t="s">
        <v>1070</v>
      </c>
      <c r="E340" s="36" t="s">
        <v>6099</v>
      </c>
      <c r="F340" s="28" t="s">
        <v>5316</v>
      </c>
      <c r="G340" s="36" t="s">
        <v>6100</v>
      </c>
      <c r="H340" s="36" t="s">
        <v>6101</v>
      </c>
    </row>
    <row r="341" spans="1:8" ht="20.5">
      <c r="A341" s="28" t="s">
        <v>1065</v>
      </c>
      <c r="B341" s="8" t="s">
        <v>7702</v>
      </c>
      <c r="C341" s="37" t="s">
        <v>7693</v>
      </c>
      <c r="D341" s="28" t="s">
        <v>1070</v>
      </c>
      <c r="E341" s="36" t="s">
        <v>6102</v>
      </c>
      <c r="F341" s="28" t="s">
        <v>5173</v>
      </c>
      <c r="G341" s="36" t="s">
        <v>6103</v>
      </c>
      <c r="H341" s="36" t="s">
        <v>6104</v>
      </c>
    </row>
    <row r="342" spans="1:8" ht="20.5">
      <c r="A342" s="28" t="s">
        <v>1065</v>
      </c>
      <c r="B342" s="8" t="s">
        <v>7702</v>
      </c>
      <c r="C342" s="37" t="s">
        <v>7693</v>
      </c>
      <c r="D342" s="28" t="s">
        <v>1070</v>
      </c>
      <c r="E342" s="36" t="s">
        <v>6105</v>
      </c>
      <c r="F342" s="28" t="s">
        <v>5166</v>
      </c>
      <c r="G342" s="36" t="s">
        <v>6106</v>
      </c>
      <c r="H342" s="36" t="s">
        <v>6107</v>
      </c>
    </row>
    <row r="343" spans="1:8" ht="20.5">
      <c r="A343" s="28" t="s">
        <v>1065</v>
      </c>
      <c r="B343" s="8" t="s">
        <v>7702</v>
      </c>
      <c r="C343" s="37" t="s">
        <v>7695</v>
      </c>
      <c r="D343" s="28" t="s">
        <v>5229</v>
      </c>
      <c r="E343" s="36" t="s">
        <v>6108</v>
      </c>
      <c r="F343" s="28" t="s">
        <v>5162</v>
      </c>
      <c r="G343" s="36" t="s">
        <v>6109</v>
      </c>
      <c r="H343" s="36" t="s">
        <v>6110</v>
      </c>
    </row>
    <row r="344" spans="1:8" ht="20.5">
      <c r="A344" s="28" t="s">
        <v>1065</v>
      </c>
      <c r="B344" s="8" t="s">
        <v>7702</v>
      </c>
      <c r="C344" s="37" t="s">
        <v>7693</v>
      </c>
      <c r="D344" s="28" t="s">
        <v>1208</v>
      </c>
      <c r="E344" s="36" t="s">
        <v>6111</v>
      </c>
      <c r="F344" s="28" t="s">
        <v>5173</v>
      </c>
      <c r="G344" s="36" t="s">
        <v>6112</v>
      </c>
      <c r="H344" s="36" t="s">
        <v>6113</v>
      </c>
    </row>
    <row r="345" spans="1:8" ht="50.5">
      <c r="A345" s="28" t="s">
        <v>171</v>
      </c>
      <c r="B345" s="8" t="s">
        <v>7714</v>
      </c>
      <c r="C345" s="37" t="s">
        <v>7693</v>
      </c>
      <c r="D345" s="28" t="s">
        <v>3442</v>
      </c>
      <c r="E345" s="36" t="s">
        <v>6114</v>
      </c>
      <c r="F345" s="28" t="s">
        <v>5173</v>
      </c>
      <c r="G345" s="36" t="s">
        <v>6115</v>
      </c>
      <c r="H345" s="36" t="s">
        <v>6116</v>
      </c>
    </row>
    <row r="346" spans="1:8" ht="40.5">
      <c r="A346" s="28" t="s">
        <v>171</v>
      </c>
      <c r="B346" s="8" t="s">
        <v>7714</v>
      </c>
      <c r="C346" s="37" t="s">
        <v>7693</v>
      </c>
      <c r="D346" s="28" t="s">
        <v>3442</v>
      </c>
      <c r="E346" s="36" t="s">
        <v>6117</v>
      </c>
      <c r="F346" s="28" t="s">
        <v>5173</v>
      </c>
      <c r="G346" s="36" t="s">
        <v>6118</v>
      </c>
      <c r="H346" s="36" t="s">
        <v>6119</v>
      </c>
    </row>
    <row r="347" spans="1:8" ht="40.5">
      <c r="A347" s="28" t="s">
        <v>171</v>
      </c>
      <c r="B347" s="8" t="s">
        <v>7714</v>
      </c>
      <c r="C347" s="37" t="s">
        <v>7693</v>
      </c>
      <c r="D347" s="28" t="s">
        <v>3442</v>
      </c>
      <c r="E347" s="36" t="s">
        <v>6120</v>
      </c>
      <c r="F347" s="28" t="s">
        <v>5220</v>
      </c>
      <c r="G347" s="36" t="s">
        <v>6121</v>
      </c>
      <c r="H347" s="36" t="s">
        <v>6122</v>
      </c>
    </row>
    <row r="348" spans="1:8" ht="30.5">
      <c r="A348" s="28" t="s">
        <v>171</v>
      </c>
      <c r="B348" s="8" t="s">
        <v>7714</v>
      </c>
      <c r="C348" s="37" t="s">
        <v>7693</v>
      </c>
      <c r="D348" s="28" t="s">
        <v>3442</v>
      </c>
      <c r="E348" s="36" t="s">
        <v>6123</v>
      </c>
      <c r="F348" s="28" t="s">
        <v>5173</v>
      </c>
      <c r="G348" s="36" t="s">
        <v>6124</v>
      </c>
      <c r="H348" s="36" t="s">
        <v>6125</v>
      </c>
    </row>
    <row r="349" spans="1:8" ht="50.5">
      <c r="A349" s="28" t="s">
        <v>733</v>
      </c>
      <c r="B349" s="8" t="s">
        <v>7807</v>
      </c>
      <c r="C349" s="37" t="s">
        <v>7693</v>
      </c>
      <c r="D349" s="28" t="s">
        <v>872</v>
      </c>
      <c r="E349" s="36" t="s">
        <v>6126</v>
      </c>
      <c r="F349" s="28" t="s">
        <v>5166</v>
      </c>
      <c r="G349" s="36" t="s">
        <v>6127</v>
      </c>
      <c r="H349" s="36" t="s">
        <v>6128</v>
      </c>
    </row>
    <row r="350" spans="1:8" ht="50.5">
      <c r="A350" s="28" t="s">
        <v>733</v>
      </c>
      <c r="B350" s="8" t="s">
        <v>7807</v>
      </c>
      <c r="C350" s="37" t="s">
        <v>7693</v>
      </c>
      <c r="D350" s="28" t="s">
        <v>872</v>
      </c>
      <c r="E350" s="36" t="s">
        <v>6129</v>
      </c>
      <c r="F350" s="28" t="s">
        <v>5166</v>
      </c>
      <c r="G350" s="36" t="s">
        <v>6130</v>
      </c>
      <c r="H350" s="36" t="s">
        <v>6131</v>
      </c>
    </row>
    <row r="351" spans="1:8" ht="40.5">
      <c r="A351" s="28" t="s">
        <v>2648</v>
      </c>
      <c r="B351" s="8" t="s">
        <v>7601</v>
      </c>
      <c r="C351" s="37" t="s">
        <v>7693</v>
      </c>
      <c r="D351" s="28" t="s">
        <v>2768</v>
      </c>
      <c r="E351" s="36" t="s">
        <v>6132</v>
      </c>
      <c r="F351" s="28" t="s">
        <v>5173</v>
      </c>
      <c r="G351" s="36" t="s">
        <v>6133</v>
      </c>
      <c r="H351" s="36" t="s">
        <v>6134</v>
      </c>
    </row>
    <row r="352" spans="1:8" ht="12.5">
      <c r="A352" s="28" t="s">
        <v>2648</v>
      </c>
      <c r="B352" s="8" t="s">
        <v>7601</v>
      </c>
      <c r="C352" s="37" t="s">
        <v>7693</v>
      </c>
      <c r="D352" s="28" t="s">
        <v>2768</v>
      </c>
      <c r="E352" s="36" t="s">
        <v>6135</v>
      </c>
      <c r="F352" s="28" t="s">
        <v>5173</v>
      </c>
      <c r="G352" s="36" t="s">
        <v>6136</v>
      </c>
      <c r="H352" s="36" t="s">
        <v>6137</v>
      </c>
    </row>
    <row r="353" spans="1:8" ht="20.5">
      <c r="A353" s="28" t="s">
        <v>2648</v>
      </c>
      <c r="B353" s="8" t="s">
        <v>7601</v>
      </c>
      <c r="C353" s="37" t="s">
        <v>7693</v>
      </c>
      <c r="D353" s="28" t="s">
        <v>2768</v>
      </c>
      <c r="E353" s="36" t="s">
        <v>6138</v>
      </c>
      <c r="F353" s="28" t="s">
        <v>5173</v>
      </c>
      <c r="G353" s="36" t="s">
        <v>6139</v>
      </c>
      <c r="H353" s="36" t="s">
        <v>6140</v>
      </c>
    </row>
    <row r="354" spans="1:8" ht="30.5">
      <c r="A354" s="28" t="s">
        <v>2648</v>
      </c>
      <c r="B354" s="8" t="s">
        <v>7601</v>
      </c>
      <c r="C354" s="37" t="s">
        <v>7693</v>
      </c>
      <c r="D354" s="28" t="s">
        <v>2768</v>
      </c>
      <c r="E354" s="36" t="s">
        <v>6141</v>
      </c>
      <c r="F354" s="28" t="s">
        <v>5173</v>
      </c>
      <c r="G354" s="36" t="s">
        <v>6142</v>
      </c>
      <c r="H354" s="36" t="s">
        <v>6143</v>
      </c>
    </row>
    <row r="355" spans="1:8" ht="20.5">
      <c r="A355" s="28" t="s">
        <v>2648</v>
      </c>
      <c r="B355" s="8" t="s">
        <v>7601</v>
      </c>
      <c r="C355" s="37" t="s">
        <v>7693</v>
      </c>
      <c r="D355" s="28" t="s">
        <v>2768</v>
      </c>
      <c r="E355" s="36" t="s">
        <v>6144</v>
      </c>
      <c r="F355" s="28" t="s">
        <v>5173</v>
      </c>
      <c r="G355" s="36" t="s">
        <v>6145</v>
      </c>
      <c r="H355" s="36" t="s">
        <v>6146</v>
      </c>
    </row>
    <row r="356" spans="1:8" ht="20.5">
      <c r="A356" s="28" t="s">
        <v>2648</v>
      </c>
      <c r="B356" s="8" t="s">
        <v>7601</v>
      </c>
      <c r="C356" s="37" t="s">
        <v>7693</v>
      </c>
      <c r="D356" s="28" t="s">
        <v>2768</v>
      </c>
      <c r="E356" s="36" t="s">
        <v>6147</v>
      </c>
      <c r="F356" s="28" t="s">
        <v>5173</v>
      </c>
      <c r="G356" s="36" t="s">
        <v>6148</v>
      </c>
      <c r="H356" s="36" t="s">
        <v>6149</v>
      </c>
    </row>
    <row r="357" spans="1:8" ht="30.5">
      <c r="A357" s="28" t="s">
        <v>2648</v>
      </c>
      <c r="B357" s="8" t="s">
        <v>7601</v>
      </c>
      <c r="C357" s="37" t="s">
        <v>7693</v>
      </c>
      <c r="D357" s="28" t="s">
        <v>2768</v>
      </c>
      <c r="E357" s="36" t="s">
        <v>6150</v>
      </c>
      <c r="F357" s="28" t="s">
        <v>5173</v>
      </c>
      <c r="G357" s="36" t="s">
        <v>6151</v>
      </c>
      <c r="H357" s="36" t="s">
        <v>6152</v>
      </c>
    </row>
    <row r="358" spans="1:8" ht="40.5">
      <c r="A358" s="28" t="s">
        <v>2648</v>
      </c>
      <c r="B358" s="8" t="s">
        <v>7601</v>
      </c>
      <c r="C358" s="37" t="s">
        <v>7693</v>
      </c>
      <c r="D358" s="28" t="s">
        <v>2768</v>
      </c>
      <c r="E358" s="36" t="s">
        <v>6153</v>
      </c>
      <c r="F358" s="28" t="s">
        <v>5173</v>
      </c>
      <c r="G358" s="36" t="s">
        <v>6154</v>
      </c>
      <c r="H358" s="36" t="s">
        <v>6155</v>
      </c>
    </row>
    <row r="359" spans="1:8" ht="20.5">
      <c r="A359" s="28" t="s">
        <v>2648</v>
      </c>
      <c r="B359" s="8" t="s">
        <v>7601</v>
      </c>
      <c r="C359" s="37" t="s">
        <v>7693</v>
      </c>
      <c r="D359" s="28" t="s">
        <v>2768</v>
      </c>
      <c r="E359" s="36" t="s">
        <v>6156</v>
      </c>
      <c r="F359" s="28" t="s">
        <v>5213</v>
      </c>
      <c r="G359" s="36" t="s">
        <v>6157</v>
      </c>
      <c r="H359" s="36" t="s">
        <v>6158</v>
      </c>
    </row>
    <row r="360" spans="1:8" ht="30.5">
      <c r="A360" s="28" t="s">
        <v>2648</v>
      </c>
      <c r="B360" s="8" t="s">
        <v>7601</v>
      </c>
      <c r="C360" s="37" t="s">
        <v>7693</v>
      </c>
      <c r="D360" s="28" t="s">
        <v>2768</v>
      </c>
      <c r="E360" s="36" t="s">
        <v>6159</v>
      </c>
      <c r="F360" s="28" t="s">
        <v>5173</v>
      </c>
      <c r="G360" s="36" t="s">
        <v>6160</v>
      </c>
      <c r="H360" s="36" t="s">
        <v>6161</v>
      </c>
    </row>
    <row r="361" spans="1:8" ht="12.5">
      <c r="A361" s="28" t="s">
        <v>2648</v>
      </c>
      <c r="B361" s="8" t="s">
        <v>7601</v>
      </c>
      <c r="C361" s="37" t="s">
        <v>7693</v>
      </c>
      <c r="D361" s="28" t="s">
        <v>2768</v>
      </c>
      <c r="E361" s="36" t="s">
        <v>6162</v>
      </c>
      <c r="F361" s="28" t="s">
        <v>5180</v>
      </c>
      <c r="G361" s="36" t="s">
        <v>6163</v>
      </c>
      <c r="H361" s="36" t="s">
        <v>6164</v>
      </c>
    </row>
    <row r="362" spans="1:8" ht="20.5">
      <c r="A362" s="28" t="s">
        <v>2648</v>
      </c>
      <c r="B362" s="8" t="s">
        <v>7601</v>
      </c>
      <c r="C362" s="37" t="s">
        <v>7693</v>
      </c>
      <c r="D362" s="28" t="s">
        <v>2768</v>
      </c>
      <c r="E362" s="36" t="s">
        <v>6165</v>
      </c>
      <c r="F362" s="28" t="s">
        <v>5173</v>
      </c>
      <c r="G362" s="36" t="s">
        <v>6166</v>
      </c>
      <c r="H362" s="36" t="s">
        <v>6167</v>
      </c>
    </row>
    <row r="363" spans="1:8" ht="20.5">
      <c r="A363" s="28" t="s">
        <v>2648</v>
      </c>
      <c r="B363" s="8" t="s">
        <v>7601</v>
      </c>
      <c r="C363" s="37" t="s">
        <v>7693</v>
      </c>
      <c r="D363" s="28" t="s">
        <v>2768</v>
      </c>
      <c r="E363" s="36" t="s">
        <v>6168</v>
      </c>
      <c r="F363" s="28" t="s">
        <v>5173</v>
      </c>
      <c r="G363" s="36" t="s">
        <v>6169</v>
      </c>
      <c r="H363" s="36" t="s">
        <v>6170</v>
      </c>
    </row>
    <row r="364" spans="1:8" ht="25">
      <c r="A364" s="28" t="s">
        <v>2648</v>
      </c>
      <c r="B364" s="8" t="s">
        <v>7601</v>
      </c>
      <c r="C364" s="37" t="s">
        <v>8065</v>
      </c>
      <c r="D364" s="28" t="s">
        <v>2783</v>
      </c>
      <c r="E364" s="36" t="s">
        <v>6171</v>
      </c>
      <c r="F364" s="28" t="s">
        <v>5173</v>
      </c>
      <c r="G364" s="36" t="s">
        <v>6172</v>
      </c>
      <c r="H364" s="36" t="s">
        <v>6173</v>
      </c>
    </row>
    <row r="365" spans="1:8" ht="50.5">
      <c r="A365" s="28" t="s">
        <v>584</v>
      </c>
      <c r="B365" s="8" t="s">
        <v>7780</v>
      </c>
      <c r="C365" s="37" t="s">
        <v>7693</v>
      </c>
      <c r="D365" s="28" t="s">
        <v>630</v>
      </c>
      <c r="E365" s="36" t="s">
        <v>6174</v>
      </c>
      <c r="F365" s="28" t="s">
        <v>5166</v>
      </c>
      <c r="G365" s="36" t="s">
        <v>6175</v>
      </c>
      <c r="H365" s="36" t="s">
        <v>6176</v>
      </c>
    </row>
    <row r="366" spans="1:8" ht="30.5">
      <c r="A366" s="28" t="s">
        <v>584</v>
      </c>
      <c r="B366" s="8" t="s">
        <v>7780</v>
      </c>
      <c r="C366" s="37" t="s">
        <v>7693</v>
      </c>
      <c r="D366" s="28" t="s">
        <v>630</v>
      </c>
      <c r="E366" s="36" t="s">
        <v>6177</v>
      </c>
      <c r="F366" s="28" t="s">
        <v>5173</v>
      </c>
      <c r="G366" s="36" t="s">
        <v>6178</v>
      </c>
      <c r="H366" s="36" t="s">
        <v>6179</v>
      </c>
    </row>
    <row r="367" spans="1:8" ht="30.5">
      <c r="A367" s="28" t="s">
        <v>584</v>
      </c>
      <c r="B367" s="8" t="s">
        <v>7780</v>
      </c>
      <c r="C367" s="37" t="s">
        <v>7693</v>
      </c>
      <c r="D367" s="28" t="s">
        <v>630</v>
      </c>
      <c r="E367" s="36" t="s">
        <v>6180</v>
      </c>
      <c r="F367" s="28" t="s">
        <v>5213</v>
      </c>
      <c r="G367" s="36"/>
      <c r="H367" s="36" t="s">
        <v>6181</v>
      </c>
    </row>
    <row r="368" spans="1:8" ht="30.5">
      <c r="A368" s="28" t="s">
        <v>584</v>
      </c>
      <c r="B368" s="8" t="s">
        <v>7780</v>
      </c>
      <c r="C368" s="37" t="s">
        <v>7693</v>
      </c>
      <c r="D368" s="28" t="s">
        <v>630</v>
      </c>
      <c r="E368" s="36" t="s">
        <v>6182</v>
      </c>
      <c r="F368" s="28" t="s">
        <v>5173</v>
      </c>
      <c r="G368" s="36" t="s">
        <v>6183</v>
      </c>
      <c r="H368" s="36" t="s">
        <v>6184</v>
      </c>
    </row>
    <row r="369" spans="1:8" ht="30.5">
      <c r="A369" s="28" t="s">
        <v>584</v>
      </c>
      <c r="B369" s="8" t="s">
        <v>7780</v>
      </c>
      <c r="C369" s="37" t="s">
        <v>7693</v>
      </c>
      <c r="D369" s="28" t="s">
        <v>630</v>
      </c>
      <c r="E369" s="36" t="s">
        <v>6185</v>
      </c>
      <c r="F369" s="28" t="s">
        <v>5194</v>
      </c>
      <c r="G369" s="36" t="s">
        <v>6186</v>
      </c>
      <c r="H369" s="36" t="s">
        <v>6187</v>
      </c>
    </row>
    <row r="370" spans="1:8" ht="20.5">
      <c r="A370" s="28" t="s">
        <v>584</v>
      </c>
      <c r="B370" s="8" t="s">
        <v>7780</v>
      </c>
      <c r="C370" s="37" t="s">
        <v>7693</v>
      </c>
      <c r="D370" s="28" t="s">
        <v>5433</v>
      </c>
      <c r="E370" s="36" t="s">
        <v>6188</v>
      </c>
      <c r="F370" s="28" t="s">
        <v>5173</v>
      </c>
      <c r="G370" s="36"/>
      <c r="H370" s="36" t="s">
        <v>6189</v>
      </c>
    </row>
    <row r="371" spans="1:8" ht="20.5">
      <c r="A371" s="28" t="s">
        <v>584</v>
      </c>
      <c r="B371" s="8" t="s">
        <v>7780</v>
      </c>
      <c r="C371" s="37" t="s">
        <v>7693</v>
      </c>
      <c r="D371" s="28" t="s">
        <v>5433</v>
      </c>
      <c r="E371" s="36" t="s">
        <v>6190</v>
      </c>
      <c r="F371" s="28" t="s">
        <v>5173</v>
      </c>
      <c r="G371" s="36"/>
      <c r="H371" s="36" t="s">
        <v>6191</v>
      </c>
    </row>
    <row r="372" spans="1:8" ht="25">
      <c r="A372" s="28" t="s">
        <v>584</v>
      </c>
      <c r="B372" s="8" t="s">
        <v>7780</v>
      </c>
      <c r="C372" s="37" t="s">
        <v>8065</v>
      </c>
      <c r="D372" s="28" t="s">
        <v>6192</v>
      </c>
      <c r="E372" s="36" t="s">
        <v>6193</v>
      </c>
      <c r="F372" s="28" t="s">
        <v>5173</v>
      </c>
      <c r="G372" s="36" t="s">
        <v>6194</v>
      </c>
      <c r="H372" s="36" t="s">
        <v>6195</v>
      </c>
    </row>
    <row r="373" spans="1:8" ht="40.5">
      <c r="A373" s="28" t="s">
        <v>584</v>
      </c>
      <c r="B373" s="8" t="s">
        <v>7780</v>
      </c>
      <c r="C373" s="37" t="s">
        <v>8065</v>
      </c>
      <c r="D373" s="28" t="s">
        <v>6196</v>
      </c>
      <c r="E373" s="36" t="s">
        <v>6197</v>
      </c>
      <c r="F373" s="28" t="s">
        <v>5173</v>
      </c>
      <c r="G373" s="36" t="s">
        <v>6198</v>
      </c>
      <c r="H373" s="36" t="s">
        <v>6199</v>
      </c>
    </row>
    <row r="374" spans="1:8" ht="30.5">
      <c r="A374" s="28" t="s">
        <v>584</v>
      </c>
      <c r="B374" s="8" t="s">
        <v>7780</v>
      </c>
      <c r="C374" s="37" t="s">
        <v>8065</v>
      </c>
      <c r="D374" s="28" t="s">
        <v>6200</v>
      </c>
      <c r="E374" s="36" t="s">
        <v>6201</v>
      </c>
      <c r="F374" s="28" t="s">
        <v>5173</v>
      </c>
      <c r="G374" s="36"/>
      <c r="H374" s="36" t="s">
        <v>6202</v>
      </c>
    </row>
    <row r="375" spans="1:8" ht="20.5">
      <c r="A375" s="28" t="s">
        <v>584</v>
      </c>
      <c r="B375" s="8" t="s">
        <v>7780</v>
      </c>
      <c r="C375" s="37" t="s">
        <v>7693</v>
      </c>
      <c r="D375" s="28" t="s">
        <v>6203</v>
      </c>
      <c r="E375" s="36" t="s">
        <v>6204</v>
      </c>
      <c r="F375" s="28" t="s">
        <v>5173</v>
      </c>
      <c r="G375" s="36"/>
      <c r="H375" s="36" t="s">
        <v>6205</v>
      </c>
    </row>
    <row r="376" spans="1:8" ht="25">
      <c r="A376" s="28" t="s">
        <v>584</v>
      </c>
      <c r="B376" s="8" t="s">
        <v>7780</v>
      </c>
      <c r="C376" s="37" t="s">
        <v>8065</v>
      </c>
      <c r="D376" s="28" t="s">
        <v>6206</v>
      </c>
      <c r="E376" s="36" t="s">
        <v>6207</v>
      </c>
      <c r="F376" s="28" t="s">
        <v>5173</v>
      </c>
      <c r="G376" s="36"/>
      <c r="H376" s="36" t="s">
        <v>6208</v>
      </c>
    </row>
    <row r="377" spans="1:8" ht="20.5">
      <c r="A377" s="28" t="s">
        <v>584</v>
      </c>
      <c r="B377" s="8" t="s">
        <v>7780</v>
      </c>
      <c r="C377" s="37" t="s">
        <v>7693</v>
      </c>
      <c r="D377" s="28" t="s">
        <v>630</v>
      </c>
      <c r="E377" s="36" t="s">
        <v>6209</v>
      </c>
      <c r="F377" s="28" t="s">
        <v>5173</v>
      </c>
      <c r="G377" s="36"/>
      <c r="H377" s="36" t="s">
        <v>6210</v>
      </c>
    </row>
    <row r="378" spans="1:8" ht="20.5">
      <c r="A378" s="28" t="s">
        <v>584</v>
      </c>
      <c r="B378" s="8" t="s">
        <v>7780</v>
      </c>
      <c r="C378" s="37" t="s">
        <v>7693</v>
      </c>
      <c r="D378" s="28" t="s">
        <v>630</v>
      </c>
      <c r="E378" s="36" t="s">
        <v>6211</v>
      </c>
      <c r="F378" s="28" t="s">
        <v>5331</v>
      </c>
      <c r="G378" s="36" t="s">
        <v>6212</v>
      </c>
      <c r="H378" s="36" t="s">
        <v>6210</v>
      </c>
    </row>
    <row r="379" spans="1:8" ht="12.5">
      <c r="A379" s="28" t="s">
        <v>584</v>
      </c>
      <c r="B379" s="8" t="s">
        <v>7780</v>
      </c>
      <c r="C379" s="37" t="s">
        <v>7693</v>
      </c>
      <c r="D379" s="28" t="s">
        <v>692</v>
      </c>
      <c r="E379" s="36" t="s">
        <v>6213</v>
      </c>
      <c r="F379" s="28" t="s">
        <v>5173</v>
      </c>
      <c r="G379" s="36" t="s">
        <v>5464</v>
      </c>
      <c r="H379" s="36" t="s">
        <v>6214</v>
      </c>
    </row>
    <row r="380" spans="1:8" ht="25">
      <c r="A380" s="28" t="s">
        <v>584</v>
      </c>
      <c r="B380" s="8" t="s">
        <v>7780</v>
      </c>
      <c r="C380" s="37" t="s">
        <v>8065</v>
      </c>
      <c r="D380" s="28" t="s">
        <v>6215</v>
      </c>
      <c r="E380" s="36" t="s">
        <v>6216</v>
      </c>
      <c r="F380" s="28" t="s">
        <v>5173</v>
      </c>
      <c r="G380" s="36"/>
      <c r="H380" s="36" t="s">
        <v>6217</v>
      </c>
    </row>
    <row r="381" spans="1:8" ht="20.5">
      <c r="A381" s="28" t="s">
        <v>584</v>
      </c>
      <c r="B381" s="8" t="s">
        <v>7780</v>
      </c>
      <c r="C381" s="37" t="s">
        <v>7693</v>
      </c>
      <c r="D381" s="28" t="s">
        <v>630</v>
      </c>
      <c r="E381" s="36" t="s">
        <v>6218</v>
      </c>
      <c r="F381" s="28" t="s">
        <v>5173</v>
      </c>
      <c r="G381" s="36" t="s">
        <v>6219</v>
      </c>
      <c r="H381" s="36" t="s">
        <v>6220</v>
      </c>
    </row>
    <row r="382" spans="1:8" ht="30.5">
      <c r="A382" s="28" t="s">
        <v>584</v>
      </c>
      <c r="B382" s="8" t="s">
        <v>7780</v>
      </c>
      <c r="C382" s="37" t="s">
        <v>8065</v>
      </c>
      <c r="D382" s="28" t="s">
        <v>6192</v>
      </c>
      <c r="E382" s="36" t="s">
        <v>6221</v>
      </c>
      <c r="F382" s="28" t="s">
        <v>5173</v>
      </c>
      <c r="G382" s="36" t="s">
        <v>6222</v>
      </c>
      <c r="H382" s="36" t="s">
        <v>6195</v>
      </c>
    </row>
    <row r="383" spans="1:8" ht="30.5">
      <c r="A383" s="28" t="s">
        <v>584</v>
      </c>
      <c r="B383" s="8" t="s">
        <v>7780</v>
      </c>
      <c r="C383" s="37" t="s">
        <v>7693</v>
      </c>
      <c r="D383" s="28" t="s">
        <v>630</v>
      </c>
      <c r="E383" s="36" t="s">
        <v>6223</v>
      </c>
      <c r="F383" s="28" t="s">
        <v>5173</v>
      </c>
      <c r="G383" s="36" t="s">
        <v>6224</v>
      </c>
      <c r="H383" s="36" t="s">
        <v>6225</v>
      </c>
    </row>
    <row r="384" spans="1:8" ht="30.5">
      <c r="A384" s="28" t="s">
        <v>584</v>
      </c>
      <c r="B384" s="8" t="s">
        <v>7780</v>
      </c>
      <c r="C384" s="37" t="s">
        <v>7693</v>
      </c>
      <c r="D384" s="28" t="s">
        <v>630</v>
      </c>
      <c r="E384" s="36" t="s">
        <v>6226</v>
      </c>
      <c r="F384" s="28" t="s">
        <v>5173</v>
      </c>
      <c r="G384" s="36" t="s">
        <v>6224</v>
      </c>
      <c r="H384" s="36" t="s">
        <v>6227</v>
      </c>
    </row>
    <row r="385" spans="1:8" ht="12.5">
      <c r="A385" s="28" t="s">
        <v>584</v>
      </c>
      <c r="B385" s="8" t="s">
        <v>7780</v>
      </c>
      <c r="C385" s="37" t="s">
        <v>7693</v>
      </c>
      <c r="D385" s="28" t="s">
        <v>630</v>
      </c>
      <c r="E385" s="36" t="s">
        <v>6228</v>
      </c>
      <c r="F385" s="28" t="s">
        <v>5173</v>
      </c>
      <c r="G385" s="36" t="s">
        <v>6229</v>
      </c>
      <c r="H385" s="36" t="s">
        <v>6230</v>
      </c>
    </row>
    <row r="386" spans="1:8" ht="12.5">
      <c r="A386" s="28" t="s">
        <v>584</v>
      </c>
      <c r="B386" s="8" t="s">
        <v>7780</v>
      </c>
      <c r="C386" s="37" t="s">
        <v>7693</v>
      </c>
      <c r="D386" s="28" t="s">
        <v>6231</v>
      </c>
      <c r="E386" s="36" t="s">
        <v>6232</v>
      </c>
      <c r="F386" s="28" t="s">
        <v>5173</v>
      </c>
      <c r="G386" s="36" t="s">
        <v>6229</v>
      </c>
      <c r="H386" s="36" t="s">
        <v>6233</v>
      </c>
    </row>
    <row r="387" spans="1:8" ht="20.5">
      <c r="A387" s="28" t="s">
        <v>584</v>
      </c>
      <c r="B387" s="8" t="s">
        <v>7780</v>
      </c>
      <c r="C387" s="37" t="s">
        <v>7695</v>
      </c>
      <c r="D387" s="28" t="s">
        <v>6234</v>
      </c>
      <c r="E387" s="36" t="s">
        <v>6235</v>
      </c>
      <c r="F387" s="28" t="s">
        <v>5173</v>
      </c>
      <c r="G387" s="36" t="s">
        <v>6236</v>
      </c>
      <c r="H387" s="36" t="s">
        <v>6237</v>
      </c>
    </row>
    <row r="388" spans="1:8" ht="30.5">
      <c r="A388" s="28" t="s">
        <v>584</v>
      </c>
      <c r="B388" s="8" t="s">
        <v>7780</v>
      </c>
      <c r="C388" s="37" t="s">
        <v>7693</v>
      </c>
      <c r="D388" s="28" t="s">
        <v>630</v>
      </c>
      <c r="E388" s="36" t="s">
        <v>6238</v>
      </c>
      <c r="F388" s="28" t="s">
        <v>5173</v>
      </c>
      <c r="G388" s="36" t="s">
        <v>6239</v>
      </c>
      <c r="H388" s="36" t="s">
        <v>6240</v>
      </c>
    </row>
    <row r="389" spans="1:8" ht="20.5">
      <c r="A389" s="28" t="s">
        <v>584</v>
      </c>
      <c r="B389" s="8" t="s">
        <v>7780</v>
      </c>
      <c r="C389" s="37" t="s">
        <v>7693</v>
      </c>
      <c r="D389" s="28" t="s">
        <v>590</v>
      </c>
      <c r="E389" s="36" t="s">
        <v>6241</v>
      </c>
      <c r="F389" s="28" t="s">
        <v>5173</v>
      </c>
      <c r="G389" s="36" t="s">
        <v>6242</v>
      </c>
      <c r="H389" s="36" t="s">
        <v>6243</v>
      </c>
    </row>
    <row r="390" spans="1:8" ht="20.5">
      <c r="A390" s="28" t="s">
        <v>584</v>
      </c>
      <c r="B390" s="8" t="s">
        <v>7780</v>
      </c>
      <c r="C390" s="37" t="s">
        <v>7693</v>
      </c>
      <c r="D390" s="28" t="s">
        <v>590</v>
      </c>
      <c r="E390" s="36" t="s">
        <v>6244</v>
      </c>
      <c r="F390" s="28" t="s">
        <v>5173</v>
      </c>
      <c r="G390" s="36" t="s">
        <v>6245</v>
      </c>
      <c r="H390" s="36" t="s">
        <v>6246</v>
      </c>
    </row>
    <row r="391" spans="1:8" ht="12.5">
      <c r="A391" s="28" t="s">
        <v>584</v>
      </c>
      <c r="B391" s="8" t="s">
        <v>7780</v>
      </c>
      <c r="C391" s="37" t="s">
        <v>7693</v>
      </c>
      <c r="D391" s="28" t="s">
        <v>590</v>
      </c>
      <c r="E391" s="36" t="s">
        <v>6247</v>
      </c>
      <c r="F391" s="28" t="s">
        <v>5173</v>
      </c>
      <c r="G391" s="36"/>
      <c r="H391" s="36" t="s">
        <v>6248</v>
      </c>
    </row>
    <row r="392" spans="1:8" ht="20.5">
      <c r="A392" s="28" t="s">
        <v>584</v>
      </c>
      <c r="B392" s="8" t="s">
        <v>7780</v>
      </c>
      <c r="C392" s="37" t="s">
        <v>7693</v>
      </c>
      <c r="D392" s="28" t="s">
        <v>590</v>
      </c>
      <c r="E392" s="36" t="s">
        <v>6249</v>
      </c>
      <c r="F392" s="28" t="s">
        <v>5173</v>
      </c>
      <c r="G392" s="36"/>
      <c r="H392" s="36" t="s">
        <v>6250</v>
      </c>
    </row>
    <row r="393" spans="1:8" ht="12.5">
      <c r="A393" s="28" t="s">
        <v>584</v>
      </c>
      <c r="B393" s="8" t="s">
        <v>7780</v>
      </c>
      <c r="C393" s="37" t="s">
        <v>7693</v>
      </c>
      <c r="D393" s="28" t="s">
        <v>590</v>
      </c>
      <c r="E393" s="36" t="s">
        <v>6251</v>
      </c>
      <c r="F393" s="28" t="s">
        <v>5173</v>
      </c>
      <c r="G393" s="36" t="s">
        <v>6252</v>
      </c>
      <c r="H393" s="36" t="s">
        <v>6253</v>
      </c>
    </row>
    <row r="394" spans="1:8" ht="12.5">
      <c r="A394" s="28" t="s">
        <v>17</v>
      </c>
      <c r="B394" s="8" t="s">
        <v>7699</v>
      </c>
      <c r="C394" s="37" t="s">
        <v>7693</v>
      </c>
      <c r="D394" s="28" t="s">
        <v>3705</v>
      </c>
      <c r="E394" s="36" t="s">
        <v>6254</v>
      </c>
      <c r="F394" s="28" t="s">
        <v>5173</v>
      </c>
      <c r="G394" s="36" t="s">
        <v>6255</v>
      </c>
      <c r="H394" s="36" t="s">
        <v>6256</v>
      </c>
    </row>
    <row r="395" spans="1:8" ht="30.5">
      <c r="A395" s="28" t="s">
        <v>17</v>
      </c>
      <c r="B395" s="8" t="s">
        <v>7699</v>
      </c>
      <c r="C395" s="37" t="s">
        <v>7693</v>
      </c>
      <c r="D395" s="28" t="s">
        <v>3705</v>
      </c>
      <c r="E395" s="36" t="s">
        <v>6257</v>
      </c>
      <c r="F395" s="28" t="s">
        <v>5173</v>
      </c>
      <c r="G395" s="36" t="s">
        <v>6258</v>
      </c>
      <c r="H395" s="36" t="s">
        <v>6259</v>
      </c>
    </row>
    <row r="396" spans="1:8" ht="12.5">
      <c r="A396" s="28" t="s">
        <v>17</v>
      </c>
      <c r="B396" s="8" t="s">
        <v>7699</v>
      </c>
      <c r="C396" s="37" t="s">
        <v>7693</v>
      </c>
      <c r="D396" s="28" t="s">
        <v>3705</v>
      </c>
      <c r="E396" s="36" t="s">
        <v>6260</v>
      </c>
      <c r="F396" s="28" t="s">
        <v>5331</v>
      </c>
      <c r="G396" s="36"/>
      <c r="H396" s="36" t="s">
        <v>6261</v>
      </c>
    </row>
    <row r="397" spans="1:8" ht="20.5">
      <c r="A397" s="28" t="s">
        <v>17</v>
      </c>
      <c r="B397" s="8" t="s">
        <v>7699</v>
      </c>
      <c r="C397" s="37" t="s">
        <v>7693</v>
      </c>
      <c r="D397" s="28" t="s">
        <v>3705</v>
      </c>
      <c r="E397" s="36" t="s">
        <v>6262</v>
      </c>
      <c r="F397" s="28" t="s">
        <v>5331</v>
      </c>
      <c r="G397" s="36"/>
      <c r="H397" s="36" t="s">
        <v>6261</v>
      </c>
    </row>
    <row r="398" spans="1:8" ht="12.5">
      <c r="A398" s="28" t="s">
        <v>17</v>
      </c>
      <c r="B398" s="8" t="s">
        <v>7699</v>
      </c>
      <c r="C398" s="37" t="s">
        <v>7693</v>
      </c>
      <c r="D398" s="28" t="s">
        <v>3705</v>
      </c>
      <c r="E398" s="36" t="s">
        <v>6263</v>
      </c>
      <c r="F398" s="28" t="s">
        <v>5331</v>
      </c>
      <c r="G398" s="36"/>
      <c r="H398" s="36" t="s">
        <v>6261</v>
      </c>
    </row>
    <row r="399" spans="1:8" ht="30.5">
      <c r="A399" s="28" t="s">
        <v>2264</v>
      </c>
      <c r="B399" s="8" t="s">
        <v>3603</v>
      </c>
      <c r="C399" s="37" t="s">
        <v>7693</v>
      </c>
      <c r="D399" s="28" t="s">
        <v>2331</v>
      </c>
      <c r="E399" s="36" t="s">
        <v>6264</v>
      </c>
      <c r="F399" s="28" t="s">
        <v>5173</v>
      </c>
      <c r="G399" s="36"/>
      <c r="H399" s="36" t="s">
        <v>6265</v>
      </c>
    </row>
    <row r="400" spans="1:8" ht="20.5">
      <c r="A400" s="28" t="s">
        <v>2264</v>
      </c>
      <c r="B400" s="8" t="s">
        <v>3603</v>
      </c>
      <c r="C400" s="37" t="s">
        <v>7693</v>
      </c>
      <c r="D400" s="28" t="s">
        <v>4989</v>
      </c>
      <c r="E400" s="36" t="s">
        <v>6266</v>
      </c>
      <c r="F400" s="28" t="s">
        <v>5173</v>
      </c>
      <c r="G400" s="36" t="s">
        <v>6267</v>
      </c>
      <c r="H400" s="36" t="s">
        <v>6268</v>
      </c>
    </row>
    <row r="401" spans="1:8" ht="30.5">
      <c r="A401" s="28" t="s">
        <v>2264</v>
      </c>
      <c r="B401" s="8" t="s">
        <v>3603</v>
      </c>
      <c r="C401" s="37" t="s">
        <v>8065</v>
      </c>
      <c r="D401" s="28" t="s">
        <v>3746</v>
      </c>
      <c r="E401" s="36" t="s">
        <v>6269</v>
      </c>
      <c r="F401" s="28" t="s">
        <v>5220</v>
      </c>
      <c r="G401" s="36" t="s">
        <v>6270</v>
      </c>
      <c r="H401" s="36" t="s">
        <v>6271</v>
      </c>
    </row>
    <row r="402" spans="1:8" ht="30.5">
      <c r="A402" s="28" t="s">
        <v>2264</v>
      </c>
      <c r="B402" s="8" t="s">
        <v>3603</v>
      </c>
      <c r="C402" s="37" t="s">
        <v>7693</v>
      </c>
      <c r="D402" s="28" t="s">
        <v>2299</v>
      </c>
      <c r="E402" s="36" t="s">
        <v>6272</v>
      </c>
      <c r="F402" s="28" t="s">
        <v>5220</v>
      </c>
      <c r="G402" s="36" t="s">
        <v>6273</v>
      </c>
      <c r="H402" s="36" t="s">
        <v>6274</v>
      </c>
    </row>
    <row r="403" spans="1:8" ht="25">
      <c r="A403" s="28" t="s">
        <v>2264</v>
      </c>
      <c r="B403" s="8" t="s">
        <v>3603</v>
      </c>
      <c r="C403" s="37" t="s">
        <v>8065</v>
      </c>
      <c r="D403" s="28" t="s">
        <v>6275</v>
      </c>
      <c r="E403" s="36" t="s">
        <v>6276</v>
      </c>
      <c r="F403" s="28" t="s">
        <v>5173</v>
      </c>
      <c r="G403" s="36" t="s">
        <v>5564</v>
      </c>
      <c r="H403" s="36" t="s">
        <v>6277</v>
      </c>
    </row>
    <row r="404" spans="1:8" ht="20.5">
      <c r="A404" s="28" t="s">
        <v>2264</v>
      </c>
      <c r="B404" s="8" t="s">
        <v>3603</v>
      </c>
      <c r="C404" s="37" t="s">
        <v>7693</v>
      </c>
      <c r="D404" s="28" t="s">
        <v>2379</v>
      </c>
      <c r="E404" s="36" t="s">
        <v>6278</v>
      </c>
      <c r="F404" s="28" t="s">
        <v>5173</v>
      </c>
      <c r="G404" s="36" t="s">
        <v>6279</v>
      </c>
      <c r="H404" s="36" t="s">
        <v>6280</v>
      </c>
    </row>
    <row r="405" spans="1:8" ht="30.5">
      <c r="A405" s="28" t="s">
        <v>2264</v>
      </c>
      <c r="B405" s="8" t="s">
        <v>3603</v>
      </c>
      <c r="C405" s="37" t="s">
        <v>7693</v>
      </c>
      <c r="D405" s="28" t="s">
        <v>2406</v>
      </c>
      <c r="E405" s="36" t="s">
        <v>6281</v>
      </c>
      <c r="F405" s="28" t="s">
        <v>5220</v>
      </c>
      <c r="G405" s="36" t="s">
        <v>6282</v>
      </c>
      <c r="H405" s="36" t="s">
        <v>6283</v>
      </c>
    </row>
    <row r="406" spans="1:8" ht="20.5">
      <c r="A406" s="28" t="s">
        <v>2264</v>
      </c>
      <c r="B406" s="8" t="s">
        <v>3603</v>
      </c>
      <c r="C406" s="37" t="s">
        <v>7693</v>
      </c>
      <c r="D406" s="28" t="s">
        <v>1504</v>
      </c>
      <c r="E406" s="36" t="s">
        <v>6284</v>
      </c>
      <c r="F406" s="28" t="s">
        <v>5220</v>
      </c>
      <c r="G406" s="36" t="s">
        <v>6285</v>
      </c>
      <c r="H406" s="36" t="s">
        <v>6286</v>
      </c>
    </row>
    <row r="407" spans="1:8" ht="50.5">
      <c r="A407" s="28" t="s">
        <v>2264</v>
      </c>
      <c r="B407" s="8" t="s">
        <v>3603</v>
      </c>
      <c r="C407" s="37" t="s">
        <v>7693</v>
      </c>
      <c r="D407" s="28" t="s">
        <v>1504</v>
      </c>
      <c r="E407" s="36" t="s">
        <v>6287</v>
      </c>
      <c r="F407" s="28" t="s">
        <v>5173</v>
      </c>
      <c r="G407" s="36" t="s">
        <v>6288</v>
      </c>
      <c r="H407" s="36" t="s">
        <v>6289</v>
      </c>
    </row>
    <row r="408" spans="1:8" ht="50.5">
      <c r="A408" s="28" t="s">
        <v>2264</v>
      </c>
      <c r="B408" s="8" t="s">
        <v>3603</v>
      </c>
      <c r="C408" s="37" t="s">
        <v>7693</v>
      </c>
      <c r="D408" s="28" t="s">
        <v>1504</v>
      </c>
      <c r="E408" s="36" t="s">
        <v>6290</v>
      </c>
      <c r="F408" s="28" t="s">
        <v>5173</v>
      </c>
      <c r="G408" s="36" t="s">
        <v>6291</v>
      </c>
      <c r="H408" s="36" t="s">
        <v>6292</v>
      </c>
    </row>
    <row r="409" spans="1:8" ht="30.5">
      <c r="A409" s="28" t="s">
        <v>2264</v>
      </c>
      <c r="B409" s="8" t="s">
        <v>3603</v>
      </c>
      <c r="C409" s="37" t="s">
        <v>7693</v>
      </c>
      <c r="D409" s="28" t="s">
        <v>1504</v>
      </c>
      <c r="E409" s="36" t="s">
        <v>6293</v>
      </c>
      <c r="F409" s="28" t="s">
        <v>5166</v>
      </c>
      <c r="G409" s="36" t="s">
        <v>6294</v>
      </c>
      <c r="H409" s="36" t="s">
        <v>6295</v>
      </c>
    </row>
    <row r="410" spans="1:8" ht="30.5">
      <c r="A410" s="28" t="s">
        <v>2264</v>
      </c>
      <c r="B410" s="8" t="s">
        <v>3603</v>
      </c>
      <c r="C410" s="37" t="s">
        <v>7693</v>
      </c>
      <c r="D410" s="28" t="s">
        <v>1504</v>
      </c>
      <c r="E410" s="36" t="s">
        <v>6296</v>
      </c>
      <c r="F410" s="28" t="s">
        <v>5166</v>
      </c>
      <c r="G410" s="36" t="s">
        <v>6297</v>
      </c>
      <c r="H410" s="36" t="s">
        <v>5258</v>
      </c>
    </row>
    <row r="411" spans="1:8" ht="20.5">
      <c r="A411" s="28" t="s">
        <v>2264</v>
      </c>
      <c r="B411" s="8" t="s">
        <v>3603</v>
      </c>
      <c r="C411" s="37" t="s">
        <v>7693</v>
      </c>
      <c r="D411" s="28" t="s">
        <v>2369</v>
      </c>
      <c r="E411" s="36" t="s">
        <v>6298</v>
      </c>
      <c r="F411" s="28" t="s">
        <v>5173</v>
      </c>
      <c r="G411" s="36"/>
      <c r="H411" s="36" t="s">
        <v>6299</v>
      </c>
    </row>
    <row r="412" spans="1:8" ht="30.5">
      <c r="A412" s="28" t="s">
        <v>2793</v>
      </c>
      <c r="B412" s="8" t="s">
        <v>7737</v>
      </c>
      <c r="C412" s="37" t="s">
        <v>7693</v>
      </c>
      <c r="D412" s="28" t="s">
        <v>2870</v>
      </c>
      <c r="E412" s="36" t="s">
        <v>6300</v>
      </c>
      <c r="F412" s="28" t="s">
        <v>5173</v>
      </c>
      <c r="G412" s="36" t="s">
        <v>6301</v>
      </c>
      <c r="H412" s="36" t="s">
        <v>6302</v>
      </c>
    </row>
    <row r="413" spans="1:8" ht="20.5">
      <c r="A413" s="28" t="s">
        <v>2793</v>
      </c>
      <c r="B413" s="8" t="s">
        <v>7737</v>
      </c>
      <c r="C413" s="37" t="s">
        <v>7693</v>
      </c>
      <c r="D413" s="28" t="s">
        <v>2825</v>
      </c>
      <c r="E413" s="36" t="s">
        <v>6303</v>
      </c>
      <c r="F413" s="28" t="s">
        <v>5173</v>
      </c>
      <c r="G413" s="36"/>
      <c r="H413" s="36" t="s">
        <v>6304</v>
      </c>
    </row>
    <row r="414" spans="1:8" ht="30.5">
      <c r="A414" s="28" t="s">
        <v>2793</v>
      </c>
      <c r="B414" s="8" t="s">
        <v>7737</v>
      </c>
      <c r="C414" s="37" t="s">
        <v>7693</v>
      </c>
      <c r="D414" s="28" t="s">
        <v>2796</v>
      </c>
      <c r="E414" s="36" t="s">
        <v>6305</v>
      </c>
      <c r="F414" s="28" t="s">
        <v>5173</v>
      </c>
      <c r="G414" s="36" t="s">
        <v>6306</v>
      </c>
      <c r="H414" s="36" t="s">
        <v>6307</v>
      </c>
    </row>
    <row r="415" spans="1:8" ht="12.5">
      <c r="A415" s="28" t="s">
        <v>2793</v>
      </c>
      <c r="B415" s="8" t="s">
        <v>7737</v>
      </c>
      <c r="C415" s="37" t="s">
        <v>7693</v>
      </c>
      <c r="D415" s="28" t="s">
        <v>2847</v>
      </c>
      <c r="E415" s="36" t="s">
        <v>6308</v>
      </c>
      <c r="F415" s="28" t="s">
        <v>5173</v>
      </c>
      <c r="G415" s="36" t="s">
        <v>6309</v>
      </c>
      <c r="H415" s="36" t="s">
        <v>6310</v>
      </c>
    </row>
    <row r="416" spans="1:8" ht="20.5">
      <c r="A416" s="28" t="s">
        <v>2793</v>
      </c>
      <c r="B416" s="8" t="s">
        <v>7737</v>
      </c>
      <c r="C416" s="37" t="s">
        <v>7695</v>
      </c>
      <c r="D416" s="28" t="s">
        <v>3268</v>
      </c>
      <c r="E416" s="36" t="s">
        <v>6311</v>
      </c>
      <c r="F416" s="28" t="s">
        <v>5173</v>
      </c>
      <c r="G416" s="36" t="s">
        <v>6312</v>
      </c>
      <c r="H416" s="36" t="s">
        <v>6313</v>
      </c>
    </row>
    <row r="417" spans="1:8" ht="20.5">
      <c r="A417" s="28" t="s">
        <v>2793</v>
      </c>
      <c r="B417" s="8" t="s">
        <v>7737</v>
      </c>
      <c r="C417" s="37" t="s">
        <v>7695</v>
      </c>
      <c r="D417" s="28" t="s">
        <v>2081</v>
      </c>
      <c r="E417" s="36" t="s">
        <v>6314</v>
      </c>
      <c r="F417" s="28" t="s">
        <v>5173</v>
      </c>
      <c r="G417" s="36" t="s">
        <v>6315</v>
      </c>
      <c r="H417" s="36" t="s">
        <v>6316</v>
      </c>
    </row>
    <row r="418" spans="1:8" ht="20.5">
      <c r="A418" s="28" t="s">
        <v>2793</v>
      </c>
      <c r="B418" s="8" t="s">
        <v>7737</v>
      </c>
      <c r="C418" s="37" t="s">
        <v>7695</v>
      </c>
      <c r="D418" s="28" t="s">
        <v>6317</v>
      </c>
      <c r="E418" s="36" t="s">
        <v>6318</v>
      </c>
      <c r="F418" s="28" t="s">
        <v>5173</v>
      </c>
      <c r="G418" s="36" t="s">
        <v>6319</v>
      </c>
      <c r="H418" s="36" t="s">
        <v>6320</v>
      </c>
    </row>
    <row r="419" spans="1:8" ht="12.5">
      <c r="A419" s="28" t="s">
        <v>2793</v>
      </c>
      <c r="B419" s="8" t="s">
        <v>7737</v>
      </c>
      <c r="C419" s="37" t="s">
        <v>7693</v>
      </c>
      <c r="D419" s="28" t="s">
        <v>2902</v>
      </c>
      <c r="E419" s="36" t="s">
        <v>6321</v>
      </c>
      <c r="F419" s="28" t="s">
        <v>5173</v>
      </c>
      <c r="G419" s="36" t="s">
        <v>6322</v>
      </c>
      <c r="H419" s="36" t="s">
        <v>6323</v>
      </c>
    </row>
    <row r="420" spans="1:8" ht="20.5">
      <c r="A420" s="28" t="s">
        <v>2793</v>
      </c>
      <c r="B420" s="8" t="s">
        <v>7737</v>
      </c>
      <c r="C420" s="37" t="s">
        <v>7693</v>
      </c>
      <c r="D420" s="28" t="s">
        <v>2902</v>
      </c>
      <c r="E420" s="36" t="s">
        <v>6324</v>
      </c>
      <c r="F420" s="28" t="s">
        <v>5173</v>
      </c>
      <c r="G420" s="36" t="s">
        <v>6325</v>
      </c>
      <c r="H420" s="36" t="s">
        <v>6326</v>
      </c>
    </row>
    <row r="421" spans="1:8" ht="20.5">
      <c r="A421" s="28" t="s">
        <v>2793</v>
      </c>
      <c r="B421" s="8" t="s">
        <v>7737</v>
      </c>
      <c r="C421" s="37" t="s">
        <v>7693</v>
      </c>
      <c r="D421" s="28" t="s">
        <v>2902</v>
      </c>
      <c r="E421" s="36" t="s">
        <v>6327</v>
      </c>
      <c r="F421" s="28" t="s">
        <v>5173</v>
      </c>
      <c r="G421" s="36" t="s">
        <v>6328</v>
      </c>
      <c r="H421" s="36" t="s">
        <v>6329</v>
      </c>
    </row>
    <row r="422" spans="1:8" ht="20.5">
      <c r="A422" s="28" t="s">
        <v>2793</v>
      </c>
      <c r="B422" s="8" t="s">
        <v>7737</v>
      </c>
      <c r="C422" s="37" t="s">
        <v>7693</v>
      </c>
      <c r="D422" s="28" t="s">
        <v>2902</v>
      </c>
      <c r="E422" s="36" t="s">
        <v>6330</v>
      </c>
      <c r="F422" s="28" t="s">
        <v>5173</v>
      </c>
      <c r="G422" s="36" t="s">
        <v>6331</v>
      </c>
      <c r="H422" s="36" t="s">
        <v>6332</v>
      </c>
    </row>
    <row r="423" spans="1:8" ht="12.5">
      <c r="A423" s="28" t="s">
        <v>2793</v>
      </c>
      <c r="B423" s="8" t="s">
        <v>7737</v>
      </c>
      <c r="C423" s="37" t="s">
        <v>7693</v>
      </c>
      <c r="D423" s="28" t="s">
        <v>2902</v>
      </c>
      <c r="E423" s="36" t="s">
        <v>6333</v>
      </c>
      <c r="F423" s="28" t="s">
        <v>5173</v>
      </c>
      <c r="G423" s="36" t="s">
        <v>6334</v>
      </c>
      <c r="H423" s="36" t="s">
        <v>6335</v>
      </c>
    </row>
    <row r="424" spans="1:8" ht="50.5">
      <c r="A424" s="28" t="s">
        <v>2793</v>
      </c>
      <c r="B424" s="8" t="s">
        <v>7737</v>
      </c>
      <c r="C424" s="37" t="s">
        <v>7693</v>
      </c>
      <c r="D424" s="28" t="s">
        <v>2902</v>
      </c>
      <c r="E424" s="36" t="s">
        <v>6336</v>
      </c>
      <c r="F424" s="28" t="s">
        <v>5173</v>
      </c>
      <c r="G424" s="36" t="s">
        <v>6337</v>
      </c>
      <c r="H424" s="36" t="s">
        <v>6338</v>
      </c>
    </row>
    <row r="425" spans="1:8" ht="50.5">
      <c r="A425" s="28" t="s">
        <v>2793</v>
      </c>
      <c r="B425" s="8" t="s">
        <v>7737</v>
      </c>
      <c r="C425" s="37" t="s">
        <v>7693</v>
      </c>
      <c r="D425" s="28" t="s">
        <v>2902</v>
      </c>
      <c r="E425" s="36" t="s">
        <v>6339</v>
      </c>
      <c r="F425" s="28" t="s">
        <v>5180</v>
      </c>
      <c r="G425" s="36" t="s">
        <v>6340</v>
      </c>
      <c r="H425" s="36" t="s">
        <v>6341</v>
      </c>
    </row>
    <row r="426" spans="1:8" ht="50.5">
      <c r="A426" s="28" t="s">
        <v>2793</v>
      </c>
      <c r="B426" s="8" t="s">
        <v>7737</v>
      </c>
      <c r="C426" s="37" t="s">
        <v>7693</v>
      </c>
      <c r="D426" s="28" t="s">
        <v>2902</v>
      </c>
      <c r="E426" s="36" t="s">
        <v>6342</v>
      </c>
      <c r="F426" s="28" t="s">
        <v>5173</v>
      </c>
      <c r="G426" s="36" t="s">
        <v>6343</v>
      </c>
      <c r="H426" s="36" t="s">
        <v>6344</v>
      </c>
    </row>
    <row r="427" spans="1:8" ht="30.5">
      <c r="A427" s="28" t="s">
        <v>2793</v>
      </c>
      <c r="B427" s="8" t="s">
        <v>7737</v>
      </c>
      <c r="C427" s="37" t="s">
        <v>7693</v>
      </c>
      <c r="D427" s="28" t="s">
        <v>2902</v>
      </c>
      <c r="E427" s="36" t="s">
        <v>6345</v>
      </c>
      <c r="F427" s="28" t="s">
        <v>5173</v>
      </c>
      <c r="G427" s="36" t="s">
        <v>6346</v>
      </c>
      <c r="H427" s="36" t="s">
        <v>6347</v>
      </c>
    </row>
    <row r="428" spans="1:8" ht="50.5">
      <c r="A428" s="28" t="s">
        <v>2793</v>
      </c>
      <c r="B428" s="8" t="s">
        <v>7737</v>
      </c>
      <c r="C428" s="37" t="s">
        <v>7693</v>
      </c>
      <c r="D428" s="28" t="s">
        <v>2902</v>
      </c>
      <c r="E428" s="36" t="s">
        <v>6348</v>
      </c>
      <c r="F428" s="28" t="s">
        <v>5220</v>
      </c>
      <c r="G428" s="36" t="s">
        <v>6349</v>
      </c>
      <c r="H428" s="36" t="s">
        <v>6338</v>
      </c>
    </row>
    <row r="429" spans="1:8" ht="30.5">
      <c r="A429" s="28" t="s">
        <v>2793</v>
      </c>
      <c r="B429" s="8" t="s">
        <v>7737</v>
      </c>
      <c r="C429" s="37" t="s">
        <v>7693</v>
      </c>
      <c r="D429" s="28" t="s">
        <v>5392</v>
      </c>
      <c r="E429" s="36" t="s">
        <v>6350</v>
      </c>
      <c r="F429" s="28" t="s">
        <v>5166</v>
      </c>
      <c r="G429" s="36" t="s">
        <v>6351</v>
      </c>
      <c r="H429" s="36" t="s">
        <v>5395</v>
      </c>
    </row>
    <row r="430" spans="1:8" ht="30.5">
      <c r="A430" s="28" t="s">
        <v>2793</v>
      </c>
      <c r="B430" s="8" t="s">
        <v>7737</v>
      </c>
      <c r="C430" s="37" t="s">
        <v>7693</v>
      </c>
      <c r="D430" s="28" t="s">
        <v>2902</v>
      </c>
      <c r="E430" s="36" t="s">
        <v>6352</v>
      </c>
      <c r="F430" s="28" t="s">
        <v>5194</v>
      </c>
      <c r="G430" s="36" t="s">
        <v>6353</v>
      </c>
      <c r="H430" s="36" t="s">
        <v>6354</v>
      </c>
    </row>
    <row r="431" spans="1:8" ht="25">
      <c r="A431" s="28" t="s">
        <v>2793</v>
      </c>
      <c r="B431" s="8" t="s">
        <v>7737</v>
      </c>
      <c r="C431" s="37" t="s">
        <v>8065</v>
      </c>
      <c r="D431" s="28" t="s">
        <v>6355</v>
      </c>
      <c r="E431" s="36" t="s">
        <v>6356</v>
      </c>
      <c r="F431" s="28" t="s">
        <v>5162</v>
      </c>
      <c r="G431" s="36"/>
      <c r="H431" s="36" t="s">
        <v>6357</v>
      </c>
    </row>
    <row r="432" spans="1:8" ht="25">
      <c r="A432" s="28" t="s">
        <v>2264</v>
      </c>
      <c r="B432" s="8" t="s">
        <v>3603</v>
      </c>
      <c r="C432" s="37" t="s">
        <v>8065</v>
      </c>
      <c r="D432" s="28" t="s">
        <v>6275</v>
      </c>
      <c r="E432" s="36" t="s">
        <v>6358</v>
      </c>
      <c r="F432" s="28" t="s">
        <v>5173</v>
      </c>
      <c r="G432" s="36" t="s">
        <v>6334</v>
      </c>
      <c r="H432" s="36" t="s">
        <v>6359</v>
      </c>
    </row>
    <row r="433" spans="1:8" ht="50.5">
      <c r="A433" s="28" t="s">
        <v>2648</v>
      </c>
      <c r="B433" s="8" t="s">
        <v>7601</v>
      </c>
      <c r="C433" s="37" t="s">
        <v>7693</v>
      </c>
      <c r="D433" s="28" t="s">
        <v>2768</v>
      </c>
      <c r="E433" s="36" t="s">
        <v>6360</v>
      </c>
      <c r="F433" s="28" t="s">
        <v>5220</v>
      </c>
      <c r="G433" s="36" t="s">
        <v>6361</v>
      </c>
      <c r="H433" s="36" t="s">
        <v>6362</v>
      </c>
    </row>
    <row r="434" spans="1:8" ht="12.5">
      <c r="A434" s="28" t="s">
        <v>464</v>
      </c>
      <c r="B434" s="8" t="s">
        <v>7710</v>
      </c>
      <c r="C434" s="37" t="s">
        <v>7693</v>
      </c>
      <c r="D434" s="28" t="s">
        <v>4422</v>
      </c>
      <c r="E434" s="36" t="s">
        <v>6363</v>
      </c>
      <c r="F434" s="28" t="s">
        <v>5213</v>
      </c>
      <c r="G434" s="36" t="s">
        <v>6364</v>
      </c>
      <c r="H434" s="36" t="s">
        <v>6365</v>
      </c>
    </row>
    <row r="435" spans="1:8" ht="30.5">
      <c r="A435" s="28" t="s">
        <v>1597</v>
      </c>
      <c r="B435" s="8" t="s">
        <v>7704</v>
      </c>
      <c r="C435" s="37" t="s">
        <v>7693</v>
      </c>
      <c r="D435" s="28" t="s">
        <v>1662</v>
      </c>
      <c r="E435" s="36" t="s">
        <v>6366</v>
      </c>
      <c r="F435" s="28" t="s">
        <v>5220</v>
      </c>
      <c r="G435" s="36" t="s">
        <v>6367</v>
      </c>
      <c r="H435" s="36" t="s">
        <v>6368</v>
      </c>
    </row>
    <row r="436" spans="1:8" ht="30.5">
      <c r="A436" s="28" t="s">
        <v>2124</v>
      </c>
      <c r="B436" s="8" t="s">
        <v>7703</v>
      </c>
      <c r="C436" s="37" t="s">
        <v>7693</v>
      </c>
      <c r="D436" s="28" t="s">
        <v>2140</v>
      </c>
      <c r="E436" s="36" t="s">
        <v>6369</v>
      </c>
      <c r="F436" s="28" t="s">
        <v>5213</v>
      </c>
      <c r="G436" s="36" t="s">
        <v>6370</v>
      </c>
      <c r="H436" s="36" t="s">
        <v>6028</v>
      </c>
    </row>
    <row r="437" spans="1:8" ht="12.5">
      <c r="A437" s="28" t="s">
        <v>17</v>
      </c>
      <c r="B437" s="8" t="s">
        <v>7699</v>
      </c>
      <c r="C437" s="37" t="s">
        <v>7693</v>
      </c>
      <c r="D437" s="28" t="s">
        <v>3705</v>
      </c>
      <c r="E437" s="36" t="s">
        <v>6371</v>
      </c>
      <c r="F437" s="28" t="s">
        <v>5220</v>
      </c>
      <c r="G437" s="36" t="s">
        <v>6372</v>
      </c>
      <c r="H437" s="36" t="s">
        <v>6373</v>
      </c>
    </row>
    <row r="438" spans="1:8" ht="30.5">
      <c r="A438" s="28" t="s">
        <v>1597</v>
      </c>
      <c r="B438" s="8" t="s">
        <v>7704</v>
      </c>
      <c r="C438" s="37" t="s">
        <v>7693</v>
      </c>
      <c r="D438" s="28" t="s">
        <v>1662</v>
      </c>
      <c r="E438" s="36" t="s">
        <v>6374</v>
      </c>
      <c r="F438" s="28" t="s">
        <v>5162</v>
      </c>
      <c r="G438" s="36" t="s">
        <v>6375</v>
      </c>
      <c r="H438" s="36" t="s">
        <v>6376</v>
      </c>
    </row>
    <row r="439" spans="1:8" ht="30.5">
      <c r="A439" s="28" t="s">
        <v>1597</v>
      </c>
      <c r="B439" s="8" t="s">
        <v>7704</v>
      </c>
      <c r="C439" s="37" t="s">
        <v>7693</v>
      </c>
      <c r="D439" s="28" t="s">
        <v>1662</v>
      </c>
      <c r="E439" s="36" t="s">
        <v>6377</v>
      </c>
      <c r="F439" s="28" t="s">
        <v>5220</v>
      </c>
      <c r="G439" s="36" t="s">
        <v>6378</v>
      </c>
      <c r="H439" s="36" t="s">
        <v>6376</v>
      </c>
    </row>
    <row r="440" spans="1:8" ht="20.5">
      <c r="A440" s="28" t="s">
        <v>2527</v>
      </c>
      <c r="B440" s="8" t="s">
        <v>7727</v>
      </c>
      <c r="C440" s="37" t="s">
        <v>7693</v>
      </c>
      <c r="D440" s="28" t="s">
        <v>2536</v>
      </c>
      <c r="E440" s="36" t="s">
        <v>6379</v>
      </c>
      <c r="F440" s="28" t="s">
        <v>5220</v>
      </c>
      <c r="G440" s="36" t="s">
        <v>6380</v>
      </c>
      <c r="H440" s="36" t="s">
        <v>6381</v>
      </c>
    </row>
    <row r="441" spans="1:8" ht="30.5">
      <c r="A441" s="28" t="s">
        <v>2412</v>
      </c>
      <c r="B441" s="8" t="s">
        <v>7709</v>
      </c>
      <c r="C441" s="37" t="s">
        <v>7693</v>
      </c>
      <c r="D441" s="28" t="s">
        <v>5440</v>
      </c>
      <c r="E441" s="36" t="s">
        <v>6382</v>
      </c>
      <c r="F441" s="28" t="s">
        <v>5166</v>
      </c>
      <c r="G441" s="36" t="s">
        <v>6383</v>
      </c>
      <c r="H441" s="36" t="s">
        <v>6384</v>
      </c>
    </row>
    <row r="442" spans="1:8" ht="20.5">
      <c r="A442" s="28" t="s">
        <v>1597</v>
      </c>
      <c r="B442" s="8" t="s">
        <v>7704</v>
      </c>
      <c r="C442" s="37" t="s">
        <v>7693</v>
      </c>
      <c r="D442" s="28" t="s">
        <v>1662</v>
      </c>
      <c r="E442" s="36" t="s">
        <v>6385</v>
      </c>
      <c r="F442" s="28" t="s">
        <v>5213</v>
      </c>
      <c r="G442" s="36" t="s">
        <v>6386</v>
      </c>
      <c r="H442" s="36" t="s">
        <v>6387</v>
      </c>
    </row>
    <row r="443" spans="1:8" ht="20.5">
      <c r="A443" s="28" t="s">
        <v>1597</v>
      </c>
      <c r="B443" s="8" t="s">
        <v>7704</v>
      </c>
      <c r="C443" s="37" t="s">
        <v>7693</v>
      </c>
      <c r="D443" s="28" t="s">
        <v>1662</v>
      </c>
      <c r="E443" s="36" t="s">
        <v>6388</v>
      </c>
      <c r="F443" s="28" t="s">
        <v>5316</v>
      </c>
      <c r="G443" s="36" t="s">
        <v>6389</v>
      </c>
      <c r="H443" s="36" t="s">
        <v>6387</v>
      </c>
    </row>
    <row r="444" spans="1:8" ht="30.5">
      <c r="A444" s="28" t="s">
        <v>171</v>
      </c>
      <c r="B444" s="8" t="s">
        <v>7714</v>
      </c>
      <c r="C444" s="37" t="s">
        <v>7693</v>
      </c>
      <c r="D444" s="28" t="s">
        <v>6390</v>
      </c>
      <c r="E444" s="36" t="s">
        <v>6391</v>
      </c>
      <c r="F444" s="28" t="s">
        <v>5194</v>
      </c>
      <c r="G444" s="36" t="s">
        <v>6392</v>
      </c>
      <c r="H444" s="36" t="s">
        <v>6393</v>
      </c>
    </row>
    <row r="445" spans="1:8" ht="30.5">
      <c r="A445" s="28" t="s">
        <v>1597</v>
      </c>
      <c r="B445" s="8" t="s">
        <v>7704</v>
      </c>
      <c r="C445" s="37" t="s">
        <v>7693</v>
      </c>
      <c r="D445" s="28" t="s">
        <v>1662</v>
      </c>
      <c r="E445" s="36" t="s">
        <v>6394</v>
      </c>
      <c r="F445" s="28" t="s">
        <v>5220</v>
      </c>
      <c r="G445" s="36" t="s">
        <v>6395</v>
      </c>
      <c r="H445" s="36" t="s">
        <v>6396</v>
      </c>
    </row>
    <row r="446" spans="1:8" ht="12.5">
      <c r="A446" s="28" t="s">
        <v>1597</v>
      </c>
      <c r="B446" s="8" t="s">
        <v>7704</v>
      </c>
      <c r="C446" s="37" t="s">
        <v>7693</v>
      </c>
      <c r="D446" s="28" t="s">
        <v>1662</v>
      </c>
      <c r="E446" s="36" t="s">
        <v>6397</v>
      </c>
      <c r="F446" s="28" t="s">
        <v>5213</v>
      </c>
      <c r="G446" s="36" t="s">
        <v>6398</v>
      </c>
      <c r="H446" s="36" t="s">
        <v>6399</v>
      </c>
    </row>
    <row r="447" spans="1:8" ht="30.5">
      <c r="A447" s="28" t="s">
        <v>3194</v>
      </c>
      <c r="B447" s="8" t="s">
        <v>7707</v>
      </c>
      <c r="C447" s="37" t="s">
        <v>7693</v>
      </c>
      <c r="D447" s="28" t="s">
        <v>3309</v>
      </c>
      <c r="E447" s="36" t="s">
        <v>6400</v>
      </c>
      <c r="F447" s="28" t="s">
        <v>5190</v>
      </c>
      <c r="G447" s="36" t="s">
        <v>6401</v>
      </c>
      <c r="H447" s="36" t="s">
        <v>6402</v>
      </c>
    </row>
    <row r="448" spans="1:8" ht="30.5">
      <c r="A448" s="28" t="s">
        <v>1597</v>
      </c>
      <c r="B448" s="8" t="s">
        <v>7704</v>
      </c>
      <c r="C448" s="37" t="s">
        <v>7693</v>
      </c>
      <c r="D448" s="28" t="s">
        <v>1662</v>
      </c>
      <c r="E448" s="36" t="s">
        <v>6403</v>
      </c>
      <c r="F448" s="28" t="s">
        <v>5213</v>
      </c>
      <c r="G448" s="36" t="s">
        <v>6404</v>
      </c>
      <c r="H448" s="36" t="s">
        <v>6376</v>
      </c>
    </row>
    <row r="449" spans="1:8" ht="30.5">
      <c r="A449" s="28" t="s">
        <v>2793</v>
      </c>
      <c r="B449" s="8" t="s">
        <v>7737</v>
      </c>
      <c r="C449" s="37" t="s">
        <v>7693</v>
      </c>
      <c r="D449" s="28" t="s">
        <v>2902</v>
      </c>
      <c r="E449" s="36" t="s">
        <v>6405</v>
      </c>
      <c r="F449" s="28" t="s">
        <v>5316</v>
      </c>
      <c r="G449" s="36" t="s">
        <v>6406</v>
      </c>
      <c r="H449" s="36" t="s">
        <v>6407</v>
      </c>
    </row>
    <row r="450" spans="1:8" ht="20.5">
      <c r="A450" s="28" t="s">
        <v>287</v>
      </c>
      <c r="B450" s="8" t="s">
        <v>7700</v>
      </c>
      <c r="C450" s="37" t="s">
        <v>7693</v>
      </c>
      <c r="D450" s="28" t="s">
        <v>6408</v>
      </c>
      <c r="E450" s="36" t="s">
        <v>6409</v>
      </c>
      <c r="F450" s="28" t="s">
        <v>5331</v>
      </c>
      <c r="G450" s="36" t="s">
        <v>6410</v>
      </c>
      <c r="H450" s="36" t="s">
        <v>6411</v>
      </c>
    </row>
    <row r="451" spans="1:8" ht="30.5">
      <c r="A451" s="28" t="s">
        <v>584</v>
      </c>
      <c r="B451" s="8" t="s">
        <v>7780</v>
      </c>
      <c r="C451" s="37" t="s">
        <v>7693</v>
      </c>
      <c r="D451" s="28" t="s">
        <v>5433</v>
      </c>
      <c r="E451" s="36" t="s">
        <v>6412</v>
      </c>
      <c r="F451" s="28" t="s">
        <v>5220</v>
      </c>
      <c r="G451" s="36" t="s">
        <v>6413</v>
      </c>
      <c r="H451" s="36" t="s">
        <v>6414</v>
      </c>
    </row>
    <row r="452" spans="1:8" ht="20.5">
      <c r="A452" s="28" t="s">
        <v>171</v>
      </c>
      <c r="B452" s="8" t="s">
        <v>7714</v>
      </c>
      <c r="C452" s="37" t="s">
        <v>7693</v>
      </c>
      <c r="D452" s="28" t="s">
        <v>6390</v>
      </c>
      <c r="E452" s="36" t="s">
        <v>6415</v>
      </c>
      <c r="F452" s="28" t="s">
        <v>5220</v>
      </c>
      <c r="G452" s="36" t="s">
        <v>6416</v>
      </c>
      <c r="H452" s="36" t="s">
        <v>6417</v>
      </c>
    </row>
    <row r="453" spans="1:8" ht="30.5">
      <c r="A453" s="28" t="s">
        <v>17</v>
      </c>
      <c r="B453" s="8" t="s">
        <v>7699</v>
      </c>
      <c r="C453" s="37" t="s">
        <v>7693</v>
      </c>
      <c r="D453" s="28" t="s">
        <v>6418</v>
      </c>
      <c r="E453" s="36" t="s">
        <v>6419</v>
      </c>
      <c r="F453" s="28" t="s">
        <v>5166</v>
      </c>
      <c r="G453" s="36" t="s">
        <v>6420</v>
      </c>
      <c r="H453" s="36" t="s">
        <v>6421</v>
      </c>
    </row>
    <row r="454" spans="1:8" ht="25">
      <c r="A454" s="28" t="s">
        <v>2527</v>
      </c>
      <c r="B454" s="8" t="s">
        <v>7727</v>
      </c>
      <c r="C454" s="37" t="s">
        <v>8065</v>
      </c>
      <c r="D454" s="28" t="s">
        <v>3886</v>
      </c>
      <c r="E454" s="36" t="s">
        <v>6422</v>
      </c>
      <c r="F454" s="28" t="s">
        <v>5220</v>
      </c>
      <c r="G454" s="36" t="s">
        <v>6423</v>
      </c>
      <c r="H454" s="36" t="s">
        <v>6424</v>
      </c>
    </row>
    <row r="455" spans="1:8" ht="20.5">
      <c r="A455" s="28" t="s">
        <v>2527</v>
      </c>
      <c r="B455" s="8" t="s">
        <v>7727</v>
      </c>
      <c r="C455" s="37" t="s">
        <v>7695</v>
      </c>
      <c r="D455" s="28" t="s">
        <v>6425</v>
      </c>
      <c r="E455" s="36" t="s">
        <v>6426</v>
      </c>
      <c r="F455" s="28" t="s">
        <v>5213</v>
      </c>
      <c r="G455" s="36" t="s">
        <v>6427</v>
      </c>
      <c r="H455" s="36" t="s">
        <v>6428</v>
      </c>
    </row>
    <row r="456" spans="1:8" ht="20.5">
      <c r="A456" s="28" t="s">
        <v>171</v>
      </c>
      <c r="B456" s="8" t="s">
        <v>7714</v>
      </c>
      <c r="C456" s="37" t="s">
        <v>7693</v>
      </c>
      <c r="D456" s="28" t="s">
        <v>5704</v>
      </c>
      <c r="E456" s="36" t="s">
        <v>6429</v>
      </c>
      <c r="F456" s="28" t="s">
        <v>5331</v>
      </c>
      <c r="G456" s="36" t="s">
        <v>6430</v>
      </c>
      <c r="H456" s="36" t="s">
        <v>6431</v>
      </c>
    </row>
    <row r="457" spans="1:8" ht="20.5">
      <c r="A457" s="28" t="s">
        <v>1409</v>
      </c>
      <c r="B457" s="8" t="s">
        <v>7761</v>
      </c>
      <c r="C457" s="37" t="s">
        <v>7693</v>
      </c>
      <c r="D457" s="28" t="s">
        <v>1516</v>
      </c>
      <c r="E457" s="36" t="s">
        <v>6432</v>
      </c>
      <c r="F457" s="28" t="s">
        <v>5331</v>
      </c>
      <c r="G457" s="36" t="s">
        <v>6433</v>
      </c>
      <c r="H457" s="36" t="s">
        <v>6434</v>
      </c>
    </row>
    <row r="458" spans="1:8" ht="30.5">
      <c r="A458" s="28" t="s">
        <v>2527</v>
      </c>
      <c r="B458" s="8" t="s">
        <v>7727</v>
      </c>
      <c r="C458" s="37" t="s">
        <v>7693</v>
      </c>
      <c r="D458" s="28" t="s">
        <v>3504</v>
      </c>
      <c r="E458" s="36" t="s">
        <v>6435</v>
      </c>
      <c r="F458" s="28" t="s">
        <v>5331</v>
      </c>
      <c r="G458" s="36" t="s">
        <v>6436</v>
      </c>
      <c r="H458" s="36" t="s">
        <v>6437</v>
      </c>
    </row>
    <row r="459" spans="1:8" ht="30.5">
      <c r="A459" s="28" t="s">
        <v>2412</v>
      </c>
      <c r="B459" s="8" t="s">
        <v>7709</v>
      </c>
      <c r="C459" s="37" t="s">
        <v>7693</v>
      </c>
      <c r="D459" s="28" t="s">
        <v>5440</v>
      </c>
      <c r="E459" s="36" t="s">
        <v>6438</v>
      </c>
      <c r="F459" s="28" t="s">
        <v>5331</v>
      </c>
      <c r="G459" s="36" t="s">
        <v>6439</v>
      </c>
      <c r="H459" s="36" t="s">
        <v>6440</v>
      </c>
    </row>
    <row r="460" spans="1:8" ht="30.5">
      <c r="A460" s="28" t="s">
        <v>2909</v>
      </c>
      <c r="B460" s="8" t="s">
        <v>7717</v>
      </c>
      <c r="C460" s="37" t="s">
        <v>7693</v>
      </c>
      <c r="D460" s="28" t="s">
        <v>2985</v>
      </c>
      <c r="E460" s="36" t="s">
        <v>6441</v>
      </c>
      <c r="F460" s="28" t="s">
        <v>5173</v>
      </c>
      <c r="G460" s="36" t="s">
        <v>6442</v>
      </c>
      <c r="H460" s="36" t="s">
        <v>6443</v>
      </c>
    </row>
    <row r="461" spans="1:8" ht="80.5">
      <c r="A461" s="28" t="s">
        <v>1409</v>
      </c>
      <c r="B461" s="8" t="s">
        <v>7761</v>
      </c>
      <c r="C461" s="37" t="s">
        <v>7693</v>
      </c>
      <c r="D461" s="28" t="s">
        <v>1516</v>
      </c>
      <c r="E461" s="36" t="s">
        <v>6444</v>
      </c>
      <c r="F461" s="28" t="s">
        <v>5194</v>
      </c>
      <c r="G461" s="36" t="s">
        <v>6445</v>
      </c>
      <c r="H461" s="36" t="s">
        <v>6446</v>
      </c>
    </row>
    <row r="462" spans="1:8" ht="30.5">
      <c r="A462" s="28" t="s">
        <v>1409</v>
      </c>
      <c r="B462" s="8" t="s">
        <v>7761</v>
      </c>
      <c r="C462" s="37" t="s">
        <v>7693</v>
      </c>
      <c r="D462" s="28" t="s">
        <v>1463</v>
      </c>
      <c r="E462" s="36" t="s">
        <v>6447</v>
      </c>
      <c r="F462" s="28" t="s">
        <v>5194</v>
      </c>
      <c r="G462" s="36" t="s">
        <v>6448</v>
      </c>
      <c r="H462" s="36" t="s">
        <v>6449</v>
      </c>
    </row>
    <row r="463" spans="1:8" ht="30.5">
      <c r="A463" s="28" t="s">
        <v>1409</v>
      </c>
      <c r="B463" s="8" t="s">
        <v>7761</v>
      </c>
      <c r="C463" s="37" t="s">
        <v>7693</v>
      </c>
      <c r="D463" s="28" t="s">
        <v>1516</v>
      </c>
      <c r="E463" s="36" t="s">
        <v>6450</v>
      </c>
      <c r="F463" s="28" t="s">
        <v>5194</v>
      </c>
      <c r="G463" s="36" t="s">
        <v>6106</v>
      </c>
      <c r="H463" s="36" t="s">
        <v>6451</v>
      </c>
    </row>
    <row r="464" spans="1:8" ht="30.5">
      <c r="A464" s="28" t="s">
        <v>1409</v>
      </c>
      <c r="B464" s="8" t="s">
        <v>7761</v>
      </c>
      <c r="C464" s="37" t="s">
        <v>7693</v>
      </c>
      <c r="D464" s="28" t="s">
        <v>1463</v>
      </c>
      <c r="E464" s="36" t="s">
        <v>6452</v>
      </c>
      <c r="F464" s="28" t="s">
        <v>5173</v>
      </c>
      <c r="G464" s="36" t="s">
        <v>6453</v>
      </c>
      <c r="H464" s="36" t="s">
        <v>6454</v>
      </c>
    </row>
    <row r="465" spans="1:8" ht="20.5">
      <c r="A465" s="28" t="s">
        <v>1409</v>
      </c>
      <c r="B465" s="8" t="s">
        <v>7761</v>
      </c>
      <c r="C465" s="37" t="s">
        <v>7693</v>
      </c>
      <c r="D465" s="28" t="s">
        <v>1463</v>
      </c>
      <c r="E465" s="36" t="s">
        <v>6455</v>
      </c>
      <c r="F465" s="28" t="s">
        <v>5173</v>
      </c>
      <c r="G465" s="36" t="s">
        <v>6183</v>
      </c>
      <c r="H465" s="36" t="s">
        <v>6456</v>
      </c>
    </row>
    <row r="466" spans="1:8" ht="30.5">
      <c r="A466" s="28" t="s">
        <v>1409</v>
      </c>
      <c r="B466" s="8" t="s">
        <v>7761</v>
      </c>
      <c r="C466" s="37" t="s">
        <v>7693</v>
      </c>
      <c r="D466" s="28" t="s">
        <v>1463</v>
      </c>
      <c r="E466" s="36" t="s">
        <v>6457</v>
      </c>
      <c r="F466" s="28" t="s">
        <v>5173</v>
      </c>
      <c r="G466" s="36" t="s">
        <v>6458</v>
      </c>
      <c r="H466" s="36" t="s">
        <v>6459</v>
      </c>
    </row>
    <row r="467" spans="1:8" ht="20.5">
      <c r="A467" s="28" t="s">
        <v>1409</v>
      </c>
      <c r="B467" s="8" t="s">
        <v>7761</v>
      </c>
      <c r="C467" s="37" t="s">
        <v>7693</v>
      </c>
      <c r="D467" s="28" t="s">
        <v>1463</v>
      </c>
      <c r="E467" s="36" t="s">
        <v>6460</v>
      </c>
      <c r="F467" s="28" t="s">
        <v>5173</v>
      </c>
      <c r="G467" s="36"/>
      <c r="H467" s="36" t="s">
        <v>6461</v>
      </c>
    </row>
    <row r="468" spans="1:8" ht="30.5">
      <c r="A468" s="28" t="s">
        <v>1409</v>
      </c>
      <c r="B468" s="8" t="s">
        <v>7761</v>
      </c>
      <c r="C468" s="37" t="s">
        <v>7693</v>
      </c>
      <c r="D468" s="28" t="s">
        <v>1463</v>
      </c>
      <c r="E468" s="36" t="s">
        <v>6462</v>
      </c>
      <c r="F468" s="28" t="s">
        <v>5173</v>
      </c>
      <c r="G468" s="36" t="s">
        <v>6463</v>
      </c>
      <c r="H468" s="36" t="s">
        <v>6464</v>
      </c>
    </row>
    <row r="469" spans="1:8" ht="50.5">
      <c r="A469" s="28" t="s">
        <v>287</v>
      </c>
      <c r="B469" s="8" t="s">
        <v>7700</v>
      </c>
      <c r="C469" s="37" t="s">
        <v>7693</v>
      </c>
      <c r="D469" s="28" t="s">
        <v>3497</v>
      </c>
      <c r="E469" s="36" t="s">
        <v>6465</v>
      </c>
      <c r="F469" s="28" t="s">
        <v>5166</v>
      </c>
      <c r="G469" s="36" t="s">
        <v>6466</v>
      </c>
      <c r="H469" s="36" t="s">
        <v>6467</v>
      </c>
    </row>
    <row r="470" spans="1:8" ht="30.5">
      <c r="A470" s="28" t="s">
        <v>287</v>
      </c>
      <c r="B470" s="8" t="s">
        <v>7700</v>
      </c>
      <c r="C470" s="37" t="s">
        <v>7693</v>
      </c>
      <c r="D470" s="28" t="s">
        <v>3497</v>
      </c>
      <c r="E470" s="36" t="s">
        <v>6468</v>
      </c>
      <c r="F470" s="28" t="s">
        <v>5220</v>
      </c>
      <c r="G470" s="36" t="s">
        <v>6469</v>
      </c>
      <c r="H470" s="36" t="s">
        <v>6470</v>
      </c>
    </row>
    <row r="471" spans="1:8" ht="30.5">
      <c r="A471" s="28" t="s">
        <v>2264</v>
      </c>
      <c r="B471" s="8" t="s">
        <v>3603</v>
      </c>
      <c r="C471" s="37" t="s">
        <v>7693</v>
      </c>
      <c r="D471" s="28" t="s">
        <v>2357</v>
      </c>
      <c r="E471" s="36" t="s">
        <v>6471</v>
      </c>
      <c r="F471" s="28" t="s">
        <v>5166</v>
      </c>
      <c r="G471" s="36" t="s">
        <v>6472</v>
      </c>
      <c r="H471" s="36" t="s">
        <v>6473</v>
      </c>
    </row>
    <row r="472" spans="1:8" ht="60.5">
      <c r="A472" s="28" t="s">
        <v>287</v>
      </c>
      <c r="B472" s="8" t="s">
        <v>7700</v>
      </c>
      <c r="C472" s="37" t="s">
        <v>7693</v>
      </c>
      <c r="D472" s="28" t="s">
        <v>3497</v>
      </c>
      <c r="E472" s="36" t="s">
        <v>6474</v>
      </c>
      <c r="F472" s="28" t="s">
        <v>5213</v>
      </c>
      <c r="G472" s="36" t="s">
        <v>6475</v>
      </c>
      <c r="H472" s="36" t="s">
        <v>6476</v>
      </c>
    </row>
    <row r="473" spans="1:8" ht="30.5">
      <c r="A473" s="28" t="s">
        <v>2527</v>
      </c>
      <c r="B473" s="8" t="s">
        <v>7727</v>
      </c>
      <c r="C473" s="37" t="s">
        <v>7693</v>
      </c>
      <c r="D473" s="28" t="s">
        <v>3504</v>
      </c>
      <c r="E473" s="36" t="s">
        <v>6477</v>
      </c>
      <c r="F473" s="28" t="s">
        <v>5220</v>
      </c>
      <c r="G473" s="36" t="s">
        <v>6478</v>
      </c>
      <c r="H473" s="36" t="s">
        <v>6479</v>
      </c>
    </row>
    <row r="474" spans="1:8" ht="40.5">
      <c r="A474" s="28" t="s">
        <v>2527</v>
      </c>
      <c r="B474" s="8" t="s">
        <v>7727</v>
      </c>
      <c r="C474" s="37" t="s">
        <v>7693</v>
      </c>
      <c r="D474" s="28" t="s">
        <v>3504</v>
      </c>
      <c r="E474" s="36" t="s">
        <v>6480</v>
      </c>
      <c r="F474" s="28" t="s">
        <v>5180</v>
      </c>
      <c r="G474" s="36" t="s">
        <v>6481</v>
      </c>
      <c r="H474" s="36" t="s">
        <v>6482</v>
      </c>
    </row>
    <row r="475" spans="1:8" ht="60.5">
      <c r="A475" s="28" t="s">
        <v>287</v>
      </c>
      <c r="B475" s="8" t="s">
        <v>7700</v>
      </c>
      <c r="C475" s="37" t="s">
        <v>7693</v>
      </c>
      <c r="D475" s="28" t="s">
        <v>6408</v>
      </c>
      <c r="E475" s="36" t="s">
        <v>6483</v>
      </c>
      <c r="F475" s="28" t="s">
        <v>5220</v>
      </c>
      <c r="G475" s="36" t="s">
        <v>6484</v>
      </c>
      <c r="H475" s="36" t="s">
        <v>6485</v>
      </c>
    </row>
    <row r="476" spans="1:8" ht="20.5">
      <c r="A476" s="28" t="s">
        <v>2527</v>
      </c>
      <c r="B476" s="8" t="s">
        <v>7727</v>
      </c>
      <c r="C476" s="37" t="s">
        <v>7693</v>
      </c>
      <c r="D476" s="28" t="s">
        <v>3504</v>
      </c>
      <c r="E476" s="36" t="s">
        <v>6486</v>
      </c>
      <c r="F476" s="28" t="s">
        <v>5173</v>
      </c>
      <c r="G476" s="36" t="s">
        <v>6487</v>
      </c>
      <c r="H476" s="36" t="s">
        <v>6488</v>
      </c>
    </row>
    <row r="477" spans="1:8" ht="30.5">
      <c r="A477" s="28" t="s">
        <v>2527</v>
      </c>
      <c r="B477" s="8" t="s">
        <v>7727</v>
      </c>
      <c r="C477" s="37" t="s">
        <v>7693</v>
      </c>
      <c r="D477" s="28" t="s">
        <v>3504</v>
      </c>
      <c r="E477" s="36" t="s">
        <v>6489</v>
      </c>
      <c r="F477" s="28" t="s">
        <v>5173</v>
      </c>
      <c r="G477" s="36" t="s">
        <v>6490</v>
      </c>
      <c r="H477" s="36" t="s">
        <v>6491</v>
      </c>
    </row>
    <row r="478" spans="1:8" ht="20.5">
      <c r="A478" s="28" t="s">
        <v>584</v>
      </c>
      <c r="B478" s="8" t="s">
        <v>7780</v>
      </c>
      <c r="C478" s="37" t="s">
        <v>7693</v>
      </c>
      <c r="D478" s="28" t="s">
        <v>630</v>
      </c>
      <c r="E478" s="36" t="s">
        <v>6492</v>
      </c>
      <c r="F478" s="28" t="s">
        <v>5213</v>
      </c>
      <c r="G478" s="36" t="s">
        <v>6493</v>
      </c>
      <c r="H478" s="36" t="s">
        <v>6494</v>
      </c>
    </row>
    <row r="479" spans="1:8" ht="20.5">
      <c r="A479" s="28" t="s">
        <v>287</v>
      </c>
      <c r="B479" s="8" t="s">
        <v>7700</v>
      </c>
      <c r="C479" s="37" t="s">
        <v>7693</v>
      </c>
      <c r="D479" s="28" t="s">
        <v>6495</v>
      </c>
      <c r="E479" s="36" t="s">
        <v>6496</v>
      </c>
      <c r="F479" s="28" t="s">
        <v>5166</v>
      </c>
      <c r="G479" s="36" t="s">
        <v>6497</v>
      </c>
      <c r="H479" s="36" t="s">
        <v>6498</v>
      </c>
    </row>
    <row r="480" spans="1:8" ht="30.5">
      <c r="A480" s="28" t="s">
        <v>2124</v>
      </c>
      <c r="B480" s="8" t="s">
        <v>7703</v>
      </c>
      <c r="C480" s="37" t="s">
        <v>7693</v>
      </c>
      <c r="D480" s="28" t="s">
        <v>2251</v>
      </c>
      <c r="E480" s="36" t="s">
        <v>6499</v>
      </c>
      <c r="F480" s="28" t="s">
        <v>5166</v>
      </c>
      <c r="G480" s="36" t="s">
        <v>6500</v>
      </c>
      <c r="H480" s="36" t="s">
        <v>6030</v>
      </c>
    </row>
    <row r="481" spans="1:8" ht="20.5">
      <c r="A481" s="28" t="s">
        <v>2124</v>
      </c>
      <c r="B481" s="8" t="s">
        <v>7703</v>
      </c>
      <c r="C481" s="37" t="s">
        <v>7693</v>
      </c>
      <c r="D481" s="28" t="s">
        <v>2251</v>
      </c>
      <c r="E481" s="36" t="s">
        <v>6501</v>
      </c>
      <c r="F481" s="28" t="s">
        <v>5180</v>
      </c>
      <c r="G481" s="36" t="s">
        <v>6502</v>
      </c>
      <c r="H481" s="36" t="s">
        <v>6503</v>
      </c>
    </row>
    <row r="482" spans="1:8" ht="30.5">
      <c r="A482" s="28" t="s">
        <v>733</v>
      </c>
      <c r="B482" s="8" t="s">
        <v>7807</v>
      </c>
      <c r="C482" s="37" t="s">
        <v>7693</v>
      </c>
      <c r="D482" s="28" t="s">
        <v>872</v>
      </c>
      <c r="E482" s="36" t="s">
        <v>6504</v>
      </c>
      <c r="F482" s="28" t="s">
        <v>5162</v>
      </c>
      <c r="G482" s="36" t="s">
        <v>6505</v>
      </c>
      <c r="H482" s="36" t="s">
        <v>6506</v>
      </c>
    </row>
    <row r="483" spans="1:8" ht="12.5">
      <c r="A483" s="28" t="s">
        <v>1788</v>
      </c>
      <c r="B483" s="8" t="s">
        <v>7706</v>
      </c>
      <c r="C483" s="37" t="s">
        <v>7693</v>
      </c>
      <c r="D483" s="28" t="s">
        <v>7694</v>
      </c>
      <c r="E483" s="36" t="s">
        <v>6507</v>
      </c>
      <c r="F483" s="28" t="s">
        <v>5173</v>
      </c>
      <c r="G483" s="36" t="s">
        <v>5464</v>
      </c>
      <c r="H483" s="36" t="s">
        <v>6508</v>
      </c>
    </row>
    <row r="484" spans="1:8" ht="20.5">
      <c r="A484" s="28" t="s">
        <v>171</v>
      </c>
      <c r="B484" s="8" t="s">
        <v>7714</v>
      </c>
      <c r="C484" s="37" t="s">
        <v>7693</v>
      </c>
      <c r="D484" s="28" t="s">
        <v>3442</v>
      </c>
      <c r="E484" s="36" t="s">
        <v>6509</v>
      </c>
      <c r="F484" s="28" t="s">
        <v>5220</v>
      </c>
      <c r="G484" s="36" t="s">
        <v>6510</v>
      </c>
      <c r="H484" s="36" t="s">
        <v>6511</v>
      </c>
    </row>
    <row r="485" spans="1:8" ht="30.5">
      <c r="A485" s="28" t="s">
        <v>171</v>
      </c>
      <c r="B485" s="8" t="s">
        <v>7714</v>
      </c>
      <c r="C485" s="37" t="s">
        <v>7693</v>
      </c>
      <c r="D485" s="28" t="s">
        <v>3442</v>
      </c>
      <c r="E485" s="36" t="s">
        <v>6512</v>
      </c>
      <c r="F485" s="28" t="s">
        <v>5180</v>
      </c>
      <c r="G485" s="36" t="s">
        <v>6513</v>
      </c>
      <c r="H485" s="36" t="s">
        <v>6514</v>
      </c>
    </row>
    <row r="486" spans="1:8" ht="20.5">
      <c r="A486" s="28" t="s">
        <v>171</v>
      </c>
      <c r="B486" s="8" t="s">
        <v>7714</v>
      </c>
      <c r="C486" s="37" t="s">
        <v>7693</v>
      </c>
      <c r="D486" s="28" t="s">
        <v>3442</v>
      </c>
      <c r="E486" s="36" t="s">
        <v>6515</v>
      </c>
      <c r="F486" s="28" t="s">
        <v>5220</v>
      </c>
      <c r="G486" s="36" t="s">
        <v>6516</v>
      </c>
      <c r="H486" s="36" t="s">
        <v>6514</v>
      </c>
    </row>
    <row r="487" spans="1:8" ht="30.5">
      <c r="A487" s="28" t="s">
        <v>2412</v>
      </c>
      <c r="B487" s="8" t="s">
        <v>7709</v>
      </c>
      <c r="C487" s="37" t="s">
        <v>7693</v>
      </c>
      <c r="D487" s="28" t="s">
        <v>2495</v>
      </c>
      <c r="E487" s="36" t="s">
        <v>6517</v>
      </c>
      <c r="F487" s="28" t="s">
        <v>5162</v>
      </c>
      <c r="G487" s="36" t="s">
        <v>6518</v>
      </c>
      <c r="H487" s="36" t="s">
        <v>6519</v>
      </c>
    </row>
    <row r="488" spans="1:8" ht="30.5">
      <c r="A488" s="28" t="s">
        <v>2648</v>
      </c>
      <c r="B488" s="8" t="s">
        <v>7601</v>
      </c>
      <c r="C488" s="37" t="s">
        <v>7693</v>
      </c>
      <c r="D488" s="28" t="s">
        <v>2768</v>
      </c>
      <c r="E488" s="36" t="s">
        <v>6520</v>
      </c>
      <c r="F488" s="28" t="s">
        <v>5173</v>
      </c>
      <c r="G488" s="36" t="s">
        <v>6521</v>
      </c>
      <c r="H488" s="36" t="s">
        <v>6522</v>
      </c>
    </row>
    <row r="489" spans="1:8" ht="30.5">
      <c r="A489" s="28" t="s">
        <v>2527</v>
      </c>
      <c r="B489" s="8" t="s">
        <v>7727</v>
      </c>
      <c r="C489" s="37" t="s">
        <v>7693</v>
      </c>
      <c r="D489" s="28" t="s">
        <v>2646</v>
      </c>
      <c r="E489" s="36" t="s">
        <v>6523</v>
      </c>
      <c r="F489" s="28" t="s">
        <v>5331</v>
      </c>
      <c r="G489" s="36" t="s">
        <v>6524</v>
      </c>
      <c r="H489" s="36" t="s">
        <v>6525</v>
      </c>
    </row>
    <row r="490" spans="1:8" ht="20.5">
      <c r="A490" s="28" t="s">
        <v>1220</v>
      </c>
      <c r="B490" s="37" t="s">
        <v>7732</v>
      </c>
      <c r="C490" s="37" t="s">
        <v>7693</v>
      </c>
      <c r="D490" s="28" t="s">
        <v>6526</v>
      </c>
      <c r="E490" s="36" t="s">
        <v>6527</v>
      </c>
      <c r="F490" s="28" t="s">
        <v>5162</v>
      </c>
      <c r="G490" s="36" t="s">
        <v>6528</v>
      </c>
      <c r="H490" s="36" t="s">
        <v>6529</v>
      </c>
    </row>
    <row r="491" spans="1:8" ht="20.5">
      <c r="A491" s="28" t="s">
        <v>2909</v>
      </c>
      <c r="B491" s="8" t="s">
        <v>7717</v>
      </c>
      <c r="C491" s="37" t="s">
        <v>7693</v>
      </c>
      <c r="D491" s="28" t="s">
        <v>2996</v>
      </c>
      <c r="E491" s="36" t="s">
        <v>6530</v>
      </c>
      <c r="F491" s="28" t="s">
        <v>5194</v>
      </c>
      <c r="G491" s="36" t="s">
        <v>6531</v>
      </c>
      <c r="H491" s="36" t="s">
        <v>6532</v>
      </c>
    </row>
    <row r="492" spans="1:8" ht="20.5">
      <c r="A492" s="28" t="s">
        <v>464</v>
      </c>
      <c r="B492" s="8" t="s">
        <v>7710</v>
      </c>
      <c r="C492" s="37" t="s">
        <v>7693</v>
      </c>
      <c r="D492" s="28" t="s">
        <v>4526</v>
      </c>
      <c r="E492" s="36" t="s">
        <v>6533</v>
      </c>
      <c r="F492" s="28" t="s">
        <v>5331</v>
      </c>
      <c r="G492" s="36" t="s">
        <v>6534</v>
      </c>
      <c r="H492" s="36" t="s">
        <v>6535</v>
      </c>
    </row>
    <row r="493" spans="1:8" ht="20.5">
      <c r="A493" s="28" t="s">
        <v>1220</v>
      </c>
      <c r="B493" s="37" t="s">
        <v>7732</v>
      </c>
      <c r="C493" s="37" t="s">
        <v>7693</v>
      </c>
      <c r="D493" s="28" t="s">
        <v>6526</v>
      </c>
      <c r="E493" s="36" t="s">
        <v>6536</v>
      </c>
      <c r="F493" s="28" t="s">
        <v>5220</v>
      </c>
      <c r="G493" s="36" t="s">
        <v>6537</v>
      </c>
      <c r="H493" s="36" t="s">
        <v>6538</v>
      </c>
    </row>
    <row r="494" spans="1:8" ht="30.5">
      <c r="A494" s="28" t="s">
        <v>3046</v>
      </c>
      <c r="B494" s="8" t="s">
        <v>7708</v>
      </c>
      <c r="C494" s="37" t="s">
        <v>7693</v>
      </c>
      <c r="D494" s="28" t="s">
        <v>3190</v>
      </c>
      <c r="E494" s="36" t="s">
        <v>6539</v>
      </c>
      <c r="F494" s="28" t="s">
        <v>5220</v>
      </c>
      <c r="G494" s="36" t="s">
        <v>6540</v>
      </c>
      <c r="H494" s="36" t="s">
        <v>6541</v>
      </c>
    </row>
    <row r="495" spans="1:8" ht="12.5">
      <c r="A495" s="28" t="s">
        <v>171</v>
      </c>
      <c r="B495" s="8" t="s">
        <v>7714</v>
      </c>
      <c r="C495" s="37" t="s">
        <v>7693</v>
      </c>
      <c r="D495" s="28" t="s">
        <v>3442</v>
      </c>
      <c r="E495" s="36" t="s">
        <v>6542</v>
      </c>
      <c r="F495" s="28" t="s">
        <v>5162</v>
      </c>
      <c r="G495" s="36" t="s">
        <v>6543</v>
      </c>
      <c r="H495" s="36" t="s">
        <v>6544</v>
      </c>
    </row>
    <row r="496" spans="1:8" ht="12.5">
      <c r="A496" s="28" t="s">
        <v>1597</v>
      </c>
      <c r="B496" s="8" t="s">
        <v>7704</v>
      </c>
      <c r="C496" s="37" t="s">
        <v>7693</v>
      </c>
      <c r="D496" s="28" t="s">
        <v>1676</v>
      </c>
      <c r="E496" s="36" t="s">
        <v>6545</v>
      </c>
      <c r="F496" s="28" t="s">
        <v>5173</v>
      </c>
      <c r="G496" s="36" t="s">
        <v>6546</v>
      </c>
      <c r="H496" s="36" t="s">
        <v>3482</v>
      </c>
    </row>
    <row r="497" spans="1:8" ht="20.5">
      <c r="A497" s="28" t="s">
        <v>1220</v>
      </c>
      <c r="B497" s="37" t="s">
        <v>7732</v>
      </c>
      <c r="C497" s="37" t="s">
        <v>7693</v>
      </c>
      <c r="D497" s="28" t="s">
        <v>6526</v>
      </c>
      <c r="E497" s="36" t="s">
        <v>6547</v>
      </c>
      <c r="F497" s="28" t="s">
        <v>5180</v>
      </c>
      <c r="G497" s="36" t="s">
        <v>6546</v>
      </c>
      <c r="H497" s="36" t="s">
        <v>3482</v>
      </c>
    </row>
    <row r="498" spans="1:8" ht="20.5">
      <c r="A498" s="28" t="s">
        <v>1220</v>
      </c>
      <c r="B498" s="37" t="s">
        <v>7732</v>
      </c>
      <c r="C498" s="37" t="s">
        <v>7693</v>
      </c>
      <c r="D498" s="28" t="s">
        <v>6526</v>
      </c>
      <c r="E498" s="36" t="s">
        <v>6548</v>
      </c>
      <c r="F498" s="28" t="s">
        <v>5173</v>
      </c>
      <c r="G498" s="36" t="s">
        <v>6549</v>
      </c>
      <c r="H498" s="36" t="s">
        <v>3482</v>
      </c>
    </row>
    <row r="499" spans="1:8" ht="20.5">
      <c r="A499" s="28" t="s">
        <v>1220</v>
      </c>
      <c r="B499" s="37" t="s">
        <v>7732</v>
      </c>
      <c r="C499" s="37" t="s">
        <v>7693</v>
      </c>
      <c r="D499" s="28" t="s">
        <v>6526</v>
      </c>
      <c r="E499" s="36" t="s">
        <v>6550</v>
      </c>
      <c r="F499" s="28" t="s">
        <v>5173</v>
      </c>
      <c r="G499" s="36" t="s">
        <v>6551</v>
      </c>
      <c r="H499" s="36" t="s">
        <v>3482</v>
      </c>
    </row>
    <row r="500" spans="1:8" ht="30.5">
      <c r="A500" s="28" t="s">
        <v>1220</v>
      </c>
      <c r="B500" s="37" t="s">
        <v>7732</v>
      </c>
      <c r="C500" s="37" t="s">
        <v>7693</v>
      </c>
      <c r="D500" s="28" t="s">
        <v>6526</v>
      </c>
      <c r="E500" s="36" t="s">
        <v>6552</v>
      </c>
      <c r="F500" s="28" t="s">
        <v>5173</v>
      </c>
      <c r="G500" s="36" t="s">
        <v>6553</v>
      </c>
      <c r="H500" s="36" t="s">
        <v>3482</v>
      </c>
    </row>
    <row r="501" spans="1:8" ht="20.5">
      <c r="A501" s="28" t="s">
        <v>1220</v>
      </c>
      <c r="B501" s="37" t="s">
        <v>7732</v>
      </c>
      <c r="C501" s="37" t="s">
        <v>7693</v>
      </c>
      <c r="D501" s="28" t="s">
        <v>6526</v>
      </c>
      <c r="E501" s="36" t="s">
        <v>6554</v>
      </c>
      <c r="F501" s="28" t="s">
        <v>5173</v>
      </c>
      <c r="G501" s="36" t="s">
        <v>6555</v>
      </c>
      <c r="H501" s="36" t="s">
        <v>3482</v>
      </c>
    </row>
    <row r="502" spans="1:8" ht="30.5">
      <c r="A502" s="28" t="s">
        <v>1220</v>
      </c>
      <c r="B502" s="37" t="s">
        <v>7732</v>
      </c>
      <c r="C502" s="37" t="s">
        <v>7693</v>
      </c>
      <c r="D502" s="28" t="s">
        <v>6526</v>
      </c>
      <c r="E502" s="36" t="s">
        <v>6556</v>
      </c>
      <c r="F502" s="28" t="s">
        <v>5173</v>
      </c>
      <c r="G502" s="36" t="s">
        <v>6557</v>
      </c>
      <c r="H502" s="36" t="s">
        <v>3482</v>
      </c>
    </row>
    <row r="503" spans="1:8" ht="20.5">
      <c r="A503" s="28" t="s">
        <v>1220</v>
      </c>
      <c r="B503" s="37" t="s">
        <v>7732</v>
      </c>
      <c r="C503" s="37" t="s">
        <v>7693</v>
      </c>
      <c r="D503" s="28" t="s">
        <v>6526</v>
      </c>
      <c r="E503" s="36" t="s">
        <v>6558</v>
      </c>
      <c r="F503" s="28" t="s">
        <v>5173</v>
      </c>
      <c r="G503" s="36" t="s">
        <v>6559</v>
      </c>
      <c r="H503" s="36" t="s">
        <v>3482</v>
      </c>
    </row>
    <row r="504" spans="1:8" ht="12.5">
      <c r="A504" s="28" t="s">
        <v>3046</v>
      </c>
      <c r="B504" s="8" t="s">
        <v>7708</v>
      </c>
      <c r="C504" s="37" t="s">
        <v>7693</v>
      </c>
      <c r="D504" s="28" t="s">
        <v>3134</v>
      </c>
      <c r="E504" s="36" t="s">
        <v>6560</v>
      </c>
      <c r="F504" s="28" t="s">
        <v>5173</v>
      </c>
      <c r="G504" s="36" t="s">
        <v>6546</v>
      </c>
      <c r="H504" s="36" t="s">
        <v>3482</v>
      </c>
    </row>
    <row r="505" spans="1:8" ht="40.5">
      <c r="A505" s="28" t="s">
        <v>17</v>
      </c>
      <c r="B505" s="8" t="s">
        <v>7699</v>
      </c>
      <c r="C505" s="37" t="s">
        <v>7693</v>
      </c>
      <c r="D505" s="28" t="s">
        <v>3705</v>
      </c>
      <c r="E505" s="36" t="s">
        <v>6561</v>
      </c>
      <c r="F505" s="28" t="s">
        <v>5173</v>
      </c>
      <c r="G505" s="36" t="s">
        <v>6562</v>
      </c>
      <c r="H505" s="36" t="s">
        <v>3482</v>
      </c>
    </row>
    <row r="506" spans="1:8" ht="70.5">
      <c r="A506" s="28" t="s">
        <v>1220</v>
      </c>
      <c r="B506" s="37" t="s">
        <v>7732</v>
      </c>
      <c r="C506" s="37" t="s">
        <v>7693</v>
      </c>
      <c r="D506" s="28" t="s">
        <v>6526</v>
      </c>
      <c r="E506" s="36" t="s">
        <v>6563</v>
      </c>
      <c r="F506" s="28" t="s">
        <v>5173</v>
      </c>
      <c r="G506" s="36" t="s">
        <v>6564</v>
      </c>
      <c r="H506" s="36" t="s">
        <v>3482</v>
      </c>
    </row>
    <row r="507" spans="1:8" ht="50.5">
      <c r="A507" s="28" t="s">
        <v>1220</v>
      </c>
      <c r="B507" s="37" t="s">
        <v>7732</v>
      </c>
      <c r="C507" s="37" t="s">
        <v>7693</v>
      </c>
      <c r="D507" s="28" t="s">
        <v>6526</v>
      </c>
      <c r="E507" s="36" t="s">
        <v>6565</v>
      </c>
      <c r="F507" s="28" t="s">
        <v>5173</v>
      </c>
      <c r="G507" s="36" t="s">
        <v>6566</v>
      </c>
      <c r="H507" s="36" t="s">
        <v>3482</v>
      </c>
    </row>
    <row r="508" spans="1:8" ht="70.5">
      <c r="A508" s="28" t="s">
        <v>1220</v>
      </c>
      <c r="B508" s="37" t="s">
        <v>7732</v>
      </c>
      <c r="C508" s="37" t="s">
        <v>7693</v>
      </c>
      <c r="D508" s="28" t="s">
        <v>6526</v>
      </c>
      <c r="E508" s="36" t="s">
        <v>6567</v>
      </c>
      <c r="F508" s="28" t="s">
        <v>5173</v>
      </c>
      <c r="G508" s="36" t="s">
        <v>6568</v>
      </c>
      <c r="H508" s="36" t="s">
        <v>3482</v>
      </c>
    </row>
    <row r="509" spans="1:8" ht="20.5">
      <c r="A509" s="28" t="s">
        <v>7704</v>
      </c>
      <c r="B509" s="8" t="s">
        <v>7704</v>
      </c>
      <c r="C509" s="37" t="s">
        <v>7693</v>
      </c>
      <c r="D509" s="28" t="s">
        <v>1662</v>
      </c>
      <c r="E509" s="36" t="s">
        <v>6569</v>
      </c>
      <c r="F509" s="28" t="s">
        <v>5173</v>
      </c>
      <c r="G509" s="36" t="s">
        <v>6570</v>
      </c>
      <c r="H509" s="36" t="s">
        <v>3482</v>
      </c>
    </row>
    <row r="510" spans="1:8" ht="20.5">
      <c r="A510" s="28" t="s">
        <v>1220</v>
      </c>
      <c r="B510" s="37" t="s">
        <v>7732</v>
      </c>
      <c r="C510" s="37" t="s">
        <v>7693</v>
      </c>
      <c r="D510" s="28" t="s">
        <v>6526</v>
      </c>
      <c r="E510" s="36" t="s">
        <v>6571</v>
      </c>
      <c r="F510" s="28" t="s">
        <v>5173</v>
      </c>
      <c r="G510" s="36" t="s">
        <v>6546</v>
      </c>
      <c r="H510" s="36" t="s">
        <v>3482</v>
      </c>
    </row>
    <row r="511" spans="1:8" ht="50.5">
      <c r="A511" s="28" t="s">
        <v>1220</v>
      </c>
      <c r="B511" s="37" t="s">
        <v>7732</v>
      </c>
      <c r="C511" s="37" t="s">
        <v>7693</v>
      </c>
      <c r="D511" s="28" t="s">
        <v>6526</v>
      </c>
      <c r="E511" s="36" t="s">
        <v>6572</v>
      </c>
      <c r="F511" s="28" t="s">
        <v>5173</v>
      </c>
      <c r="G511" s="36" t="s">
        <v>6573</v>
      </c>
      <c r="H511" s="36" t="s">
        <v>3482</v>
      </c>
    </row>
    <row r="512" spans="1:8" ht="20.5">
      <c r="A512" s="28" t="s">
        <v>171</v>
      </c>
      <c r="B512" s="8" t="s">
        <v>7714</v>
      </c>
      <c r="C512" s="37" t="s">
        <v>7693</v>
      </c>
      <c r="D512" s="28" t="s">
        <v>3442</v>
      </c>
      <c r="E512" s="36" t="s">
        <v>6574</v>
      </c>
      <c r="F512" s="28" t="s">
        <v>5173</v>
      </c>
      <c r="G512" s="36" t="s">
        <v>6546</v>
      </c>
      <c r="H512" s="36" t="s">
        <v>3482</v>
      </c>
    </row>
    <row r="513" spans="1:8" ht="20.5">
      <c r="A513" s="28" t="s">
        <v>1220</v>
      </c>
      <c r="B513" s="37" t="s">
        <v>7732</v>
      </c>
      <c r="C513" s="37" t="s">
        <v>7693</v>
      </c>
      <c r="D513" s="28" t="s">
        <v>6526</v>
      </c>
      <c r="E513" s="36" t="s">
        <v>6575</v>
      </c>
      <c r="F513" s="28" t="s">
        <v>5173</v>
      </c>
      <c r="G513" s="36" t="s">
        <v>6546</v>
      </c>
      <c r="H513" s="36" t="s">
        <v>3482</v>
      </c>
    </row>
    <row r="514" spans="1:8" ht="50.5">
      <c r="A514" s="28" t="s">
        <v>1220</v>
      </c>
      <c r="B514" s="37" t="s">
        <v>7732</v>
      </c>
      <c r="C514" s="37" t="s">
        <v>7693</v>
      </c>
      <c r="D514" s="28" t="s">
        <v>6526</v>
      </c>
      <c r="E514" s="36" t="s">
        <v>6576</v>
      </c>
      <c r="F514" s="28" t="s">
        <v>5173</v>
      </c>
      <c r="G514" s="36" t="s">
        <v>6577</v>
      </c>
      <c r="H514" s="36" t="s">
        <v>3482</v>
      </c>
    </row>
    <row r="515" spans="1:8" ht="50.5">
      <c r="A515" s="28" t="s">
        <v>1220</v>
      </c>
      <c r="B515" s="37" t="s">
        <v>7732</v>
      </c>
      <c r="C515" s="37" t="s">
        <v>7693</v>
      </c>
      <c r="D515" s="28" t="s">
        <v>6526</v>
      </c>
      <c r="E515" s="36" t="s">
        <v>6578</v>
      </c>
      <c r="F515" s="28" t="s">
        <v>5173</v>
      </c>
      <c r="G515" s="36" t="s">
        <v>6579</v>
      </c>
      <c r="H515" s="36" t="s">
        <v>3482</v>
      </c>
    </row>
    <row r="516" spans="1:8" ht="40.5">
      <c r="A516" s="28" t="s">
        <v>3315</v>
      </c>
      <c r="B516" s="8" t="s">
        <v>7705</v>
      </c>
      <c r="C516" s="37" t="s">
        <v>7693</v>
      </c>
      <c r="D516" s="28" t="s">
        <v>5141</v>
      </c>
      <c r="E516" s="36" t="s">
        <v>6580</v>
      </c>
      <c r="F516" s="28" t="s">
        <v>5173</v>
      </c>
      <c r="G516" s="36" t="s">
        <v>6581</v>
      </c>
      <c r="H516" s="36" t="s">
        <v>5477</v>
      </c>
    </row>
    <row r="517" spans="1:8" ht="12.5">
      <c r="A517" s="28" t="s">
        <v>1900</v>
      </c>
      <c r="B517" s="8" t="s">
        <v>7781</v>
      </c>
      <c r="C517" s="37" t="s">
        <v>7693</v>
      </c>
      <c r="D517" s="28" t="s">
        <v>2055</v>
      </c>
      <c r="E517" s="36" t="s">
        <v>6582</v>
      </c>
      <c r="F517" s="28" t="s">
        <v>5173</v>
      </c>
      <c r="G517" s="36" t="s">
        <v>6546</v>
      </c>
      <c r="H517" s="36" t="s">
        <v>3482</v>
      </c>
    </row>
    <row r="518" spans="1:8" ht="50.5">
      <c r="A518" s="28" t="s">
        <v>1220</v>
      </c>
      <c r="B518" s="37" t="s">
        <v>7732</v>
      </c>
      <c r="C518" s="37" t="s">
        <v>7693</v>
      </c>
      <c r="D518" s="28" t="s">
        <v>6526</v>
      </c>
      <c r="E518" s="36" t="s">
        <v>6583</v>
      </c>
      <c r="F518" s="28" t="s">
        <v>5173</v>
      </c>
      <c r="G518" s="36" t="s">
        <v>6584</v>
      </c>
      <c r="H518" s="36" t="s">
        <v>3482</v>
      </c>
    </row>
    <row r="519" spans="1:8" ht="40.5">
      <c r="A519" s="28" t="s">
        <v>1220</v>
      </c>
      <c r="B519" s="37" t="s">
        <v>7732</v>
      </c>
      <c r="C519" s="37" t="s">
        <v>7693</v>
      </c>
      <c r="D519" s="28" t="s">
        <v>6526</v>
      </c>
      <c r="E519" s="36" t="s">
        <v>6585</v>
      </c>
      <c r="F519" s="28" t="s">
        <v>5173</v>
      </c>
      <c r="G519" s="36" t="s">
        <v>6586</v>
      </c>
      <c r="H519" s="36" t="s">
        <v>3482</v>
      </c>
    </row>
    <row r="520" spans="1:8" ht="20.5">
      <c r="A520" s="28" t="s">
        <v>2648</v>
      </c>
      <c r="B520" s="8" t="s">
        <v>7601</v>
      </c>
      <c r="C520" s="37" t="s">
        <v>7693</v>
      </c>
      <c r="D520" s="28" t="s">
        <v>2768</v>
      </c>
      <c r="E520" s="36" t="s">
        <v>6587</v>
      </c>
      <c r="F520" s="28" t="s">
        <v>5173</v>
      </c>
      <c r="G520" s="36" t="s">
        <v>6588</v>
      </c>
      <c r="H520" s="36" t="s">
        <v>3482</v>
      </c>
    </row>
    <row r="521" spans="1:8" ht="40.5">
      <c r="A521" s="28" t="s">
        <v>1220</v>
      </c>
      <c r="B521" s="37" t="s">
        <v>7732</v>
      </c>
      <c r="C521" s="37" t="s">
        <v>7693</v>
      </c>
      <c r="D521" s="28" t="s">
        <v>6526</v>
      </c>
      <c r="E521" s="36" t="s">
        <v>6589</v>
      </c>
      <c r="F521" s="28" t="s">
        <v>5173</v>
      </c>
      <c r="G521" s="36" t="s">
        <v>6590</v>
      </c>
      <c r="H521" s="36" t="s">
        <v>3482</v>
      </c>
    </row>
    <row r="522" spans="1:8" ht="12.5">
      <c r="A522" s="28" t="s">
        <v>1220</v>
      </c>
      <c r="B522" s="37" t="s">
        <v>7732</v>
      </c>
      <c r="C522" s="37" t="s">
        <v>7693</v>
      </c>
      <c r="D522" s="28" t="s">
        <v>6526</v>
      </c>
      <c r="E522" s="36" t="s">
        <v>6591</v>
      </c>
      <c r="F522" s="28" t="s">
        <v>5173</v>
      </c>
      <c r="G522" s="36" t="s">
        <v>6546</v>
      </c>
      <c r="H522" s="36" t="s">
        <v>3482</v>
      </c>
    </row>
    <row r="523" spans="1:8" ht="20.5">
      <c r="A523" s="28" t="s">
        <v>1220</v>
      </c>
      <c r="B523" s="37" t="s">
        <v>7732</v>
      </c>
      <c r="C523" s="37" t="s">
        <v>7693</v>
      </c>
      <c r="D523" s="28" t="s">
        <v>6526</v>
      </c>
      <c r="E523" s="36" t="s">
        <v>6592</v>
      </c>
      <c r="F523" s="28" t="s">
        <v>5173</v>
      </c>
      <c r="G523" s="36" t="s">
        <v>6593</v>
      </c>
      <c r="H523" s="36" t="s">
        <v>3482</v>
      </c>
    </row>
    <row r="524" spans="1:8" ht="12.5">
      <c r="A524" s="28" t="s">
        <v>1220</v>
      </c>
      <c r="B524" s="37" t="s">
        <v>7732</v>
      </c>
      <c r="C524" s="37" t="s">
        <v>7693</v>
      </c>
      <c r="D524" s="28" t="s">
        <v>6526</v>
      </c>
      <c r="E524" s="36" t="s">
        <v>6594</v>
      </c>
      <c r="F524" s="28" t="s">
        <v>5173</v>
      </c>
      <c r="G524" s="36" t="s">
        <v>6546</v>
      </c>
      <c r="H524" s="36" t="s">
        <v>3482</v>
      </c>
    </row>
    <row r="525" spans="1:8" ht="40.5">
      <c r="A525" s="28" t="s">
        <v>1220</v>
      </c>
      <c r="B525" s="37" t="s">
        <v>7732</v>
      </c>
      <c r="C525" s="37" t="s">
        <v>7693</v>
      </c>
      <c r="D525" s="28" t="s">
        <v>6526</v>
      </c>
      <c r="E525" s="36" t="s">
        <v>6595</v>
      </c>
      <c r="F525" s="28" t="s">
        <v>5173</v>
      </c>
      <c r="G525" s="36" t="s">
        <v>6596</v>
      </c>
      <c r="H525" s="36" t="s">
        <v>3482</v>
      </c>
    </row>
    <row r="526" spans="1:8" ht="40.5">
      <c r="A526" s="28" t="s">
        <v>1220</v>
      </c>
      <c r="B526" s="37" t="s">
        <v>7732</v>
      </c>
      <c r="C526" s="37" t="s">
        <v>7693</v>
      </c>
      <c r="D526" s="28" t="s">
        <v>6526</v>
      </c>
      <c r="E526" s="36" t="s">
        <v>6597</v>
      </c>
      <c r="F526" s="28" t="s">
        <v>5173</v>
      </c>
      <c r="G526" s="36" t="s">
        <v>6598</v>
      </c>
      <c r="H526" s="36" t="s">
        <v>3482</v>
      </c>
    </row>
    <row r="527" spans="1:8" ht="70.5">
      <c r="A527" s="28" t="s">
        <v>1220</v>
      </c>
      <c r="B527" s="37" t="s">
        <v>7732</v>
      </c>
      <c r="C527" s="37" t="s">
        <v>7693</v>
      </c>
      <c r="D527" s="28" t="s">
        <v>6526</v>
      </c>
      <c r="E527" s="36" t="s">
        <v>6599</v>
      </c>
      <c r="F527" s="28" t="s">
        <v>5173</v>
      </c>
      <c r="G527" s="36" t="s">
        <v>6600</v>
      </c>
      <c r="H527" s="36" t="s">
        <v>3482</v>
      </c>
    </row>
    <row r="528" spans="1:8" ht="80.5">
      <c r="A528" s="28" t="s">
        <v>1220</v>
      </c>
      <c r="B528" s="37" t="s">
        <v>7732</v>
      </c>
      <c r="C528" s="37" t="s">
        <v>7693</v>
      </c>
      <c r="D528" s="28" t="s">
        <v>6526</v>
      </c>
      <c r="E528" s="36" t="s">
        <v>6601</v>
      </c>
      <c r="F528" s="28" t="s">
        <v>5173</v>
      </c>
      <c r="G528" s="36" t="s">
        <v>6602</v>
      </c>
      <c r="H528" s="36" t="s">
        <v>3482</v>
      </c>
    </row>
    <row r="529" spans="1:8" ht="20.5">
      <c r="A529" s="28" t="s">
        <v>1220</v>
      </c>
      <c r="B529" s="37" t="s">
        <v>7732</v>
      </c>
      <c r="C529" s="37" t="s">
        <v>7693</v>
      </c>
      <c r="D529" s="28" t="s">
        <v>6526</v>
      </c>
      <c r="E529" s="36" t="s">
        <v>6603</v>
      </c>
      <c r="F529" s="28" t="s">
        <v>5173</v>
      </c>
      <c r="G529" s="36" t="s">
        <v>6546</v>
      </c>
      <c r="H529" s="36" t="s">
        <v>3482</v>
      </c>
    </row>
    <row r="530" spans="1:8" ht="30.5">
      <c r="A530" s="28" t="s">
        <v>1220</v>
      </c>
      <c r="B530" s="37" t="s">
        <v>7732</v>
      </c>
      <c r="C530" s="37" t="s">
        <v>7693</v>
      </c>
      <c r="D530" s="28" t="s">
        <v>6526</v>
      </c>
      <c r="E530" s="36" t="s">
        <v>6604</v>
      </c>
      <c r="F530" s="28" t="s">
        <v>5173</v>
      </c>
      <c r="G530" s="36" t="s">
        <v>6605</v>
      </c>
      <c r="H530" s="36" t="s">
        <v>3482</v>
      </c>
    </row>
    <row r="531" spans="1:8" ht="20.5">
      <c r="A531" s="28" t="s">
        <v>1220</v>
      </c>
      <c r="B531" s="37" t="s">
        <v>7732</v>
      </c>
      <c r="C531" s="37" t="s">
        <v>7693</v>
      </c>
      <c r="D531" s="28" t="s">
        <v>6526</v>
      </c>
      <c r="E531" s="36" t="s">
        <v>6606</v>
      </c>
      <c r="F531" s="28" t="s">
        <v>5173</v>
      </c>
      <c r="G531" s="36" t="s">
        <v>6607</v>
      </c>
      <c r="H531" s="36" t="s">
        <v>3482</v>
      </c>
    </row>
    <row r="532" spans="1:8" ht="60.5">
      <c r="A532" s="28" t="s">
        <v>1220</v>
      </c>
      <c r="B532" s="37" t="s">
        <v>7732</v>
      </c>
      <c r="C532" s="37" t="s">
        <v>7693</v>
      </c>
      <c r="D532" s="28" t="s">
        <v>6526</v>
      </c>
      <c r="E532" s="36" t="s">
        <v>6608</v>
      </c>
      <c r="F532" s="28" t="s">
        <v>5173</v>
      </c>
      <c r="G532" s="36" t="s">
        <v>6609</v>
      </c>
      <c r="H532" s="36" t="s">
        <v>3482</v>
      </c>
    </row>
    <row r="533" spans="1:8" ht="20.5">
      <c r="A533" s="28" t="s">
        <v>1220</v>
      </c>
      <c r="B533" s="37" t="s">
        <v>7732</v>
      </c>
      <c r="C533" s="37" t="s">
        <v>7693</v>
      </c>
      <c r="D533" s="28" t="s">
        <v>6526</v>
      </c>
      <c r="E533" s="36" t="s">
        <v>6610</v>
      </c>
      <c r="F533" s="28" t="s">
        <v>5173</v>
      </c>
      <c r="G533" s="36" t="s">
        <v>6611</v>
      </c>
      <c r="H533" s="36" t="s">
        <v>3482</v>
      </c>
    </row>
    <row r="534" spans="1:8" ht="60.5">
      <c r="A534" s="28" t="s">
        <v>287</v>
      </c>
      <c r="B534" s="8" t="s">
        <v>7700</v>
      </c>
      <c r="C534" s="37" t="s">
        <v>7693</v>
      </c>
      <c r="D534" s="28" t="s">
        <v>3497</v>
      </c>
      <c r="E534" s="36" t="s">
        <v>6612</v>
      </c>
      <c r="F534" s="28" t="s">
        <v>5173</v>
      </c>
      <c r="G534" s="36" t="s">
        <v>6613</v>
      </c>
      <c r="H534" s="36" t="s">
        <v>3482</v>
      </c>
    </row>
    <row r="535" spans="1:8" ht="60.5">
      <c r="A535" s="28" t="s">
        <v>1220</v>
      </c>
      <c r="B535" s="37" t="s">
        <v>7732</v>
      </c>
      <c r="C535" s="37" t="s">
        <v>7693</v>
      </c>
      <c r="D535" s="28" t="s">
        <v>6526</v>
      </c>
      <c r="E535" s="36" t="s">
        <v>6614</v>
      </c>
      <c r="F535" s="28" t="s">
        <v>5173</v>
      </c>
      <c r="G535" s="36" t="s">
        <v>6615</v>
      </c>
      <c r="H535" s="36" t="s">
        <v>3482</v>
      </c>
    </row>
    <row r="536" spans="1:8" ht="40.5">
      <c r="A536" s="28" t="s">
        <v>1220</v>
      </c>
      <c r="B536" s="37" t="s">
        <v>7732</v>
      </c>
      <c r="C536" s="37" t="s">
        <v>7693</v>
      </c>
      <c r="D536" s="28" t="s">
        <v>6526</v>
      </c>
      <c r="E536" s="36" t="s">
        <v>6616</v>
      </c>
      <c r="F536" s="28" t="s">
        <v>5173</v>
      </c>
      <c r="G536" s="36" t="s">
        <v>6617</v>
      </c>
      <c r="H536" s="36" t="s">
        <v>3482</v>
      </c>
    </row>
    <row r="537" spans="1:8" ht="40.5">
      <c r="A537" s="28" t="s">
        <v>1220</v>
      </c>
      <c r="B537" s="37" t="s">
        <v>7732</v>
      </c>
      <c r="C537" s="37" t="s">
        <v>7693</v>
      </c>
      <c r="D537" s="28" t="s">
        <v>6526</v>
      </c>
      <c r="E537" s="36" t="s">
        <v>6618</v>
      </c>
      <c r="F537" s="28" t="s">
        <v>5173</v>
      </c>
      <c r="G537" s="36" t="s">
        <v>6619</v>
      </c>
      <c r="H537" s="36" t="s">
        <v>3482</v>
      </c>
    </row>
    <row r="538" spans="1:8" ht="60.5">
      <c r="A538" s="28" t="s">
        <v>1220</v>
      </c>
      <c r="B538" s="37" t="s">
        <v>7732</v>
      </c>
      <c r="C538" s="37" t="s">
        <v>7693</v>
      </c>
      <c r="D538" s="28" t="s">
        <v>6526</v>
      </c>
      <c r="E538" s="36" t="s">
        <v>6620</v>
      </c>
      <c r="F538" s="28" t="s">
        <v>5173</v>
      </c>
      <c r="G538" s="36" t="s">
        <v>6621</v>
      </c>
      <c r="H538" s="36" t="s">
        <v>3482</v>
      </c>
    </row>
    <row r="539" spans="1:8" ht="20.5">
      <c r="A539" s="28" t="s">
        <v>1220</v>
      </c>
      <c r="B539" s="37" t="s">
        <v>7732</v>
      </c>
      <c r="C539" s="37" t="s">
        <v>7693</v>
      </c>
      <c r="D539" s="28" t="s">
        <v>6526</v>
      </c>
      <c r="E539" s="36" t="s">
        <v>6622</v>
      </c>
      <c r="F539" s="28" t="s">
        <v>5173</v>
      </c>
      <c r="G539" s="36" t="s">
        <v>6623</v>
      </c>
      <c r="H539" s="36" t="s">
        <v>3482</v>
      </c>
    </row>
    <row r="540" spans="1:8" ht="20.5">
      <c r="A540" s="28" t="s">
        <v>1220</v>
      </c>
      <c r="B540" s="37" t="s">
        <v>7732</v>
      </c>
      <c r="C540" s="37" t="s">
        <v>7693</v>
      </c>
      <c r="D540" s="28" t="s">
        <v>6526</v>
      </c>
      <c r="E540" s="36" t="s">
        <v>6624</v>
      </c>
      <c r="F540" s="28" t="s">
        <v>5173</v>
      </c>
      <c r="G540" s="36" t="s">
        <v>6625</v>
      </c>
      <c r="H540" s="36" t="s">
        <v>3482</v>
      </c>
    </row>
    <row r="541" spans="1:8" ht="30.5">
      <c r="A541" s="28" t="s">
        <v>1220</v>
      </c>
      <c r="B541" s="37" t="s">
        <v>7732</v>
      </c>
      <c r="C541" s="37" t="s">
        <v>7693</v>
      </c>
      <c r="D541" s="28" t="s">
        <v>6526</v>
      </c>
      <c r="E541" s="36" t="s">
        <v>6626</v>
      </c>
      <c r="F541" s="28" t="s">
        <v>5173</v>
      </c>
      <c r="G541" s="36" t="s">
        <v>6546</v>
      </c>
      <c r="H541" s="36" t="s">
        <v>3482</v>
      </c>
    </row>
    <row r="542" spans="1:8" ht="12.5">
      <c r="A542" s="28" t="s">
        <v>1220</v>
      </c>
      <c r="B542" s="37" t="s">
        <v>7732</v>
      </c>
      <c r="C542" s="37" t="s">
        <v>7693</v>
      </c>
      <c r="D542" s="28" t="s">
        <v>6526</v>
      </c>
      <c r="E542" s="36" t="s">
        <v>6627</v>
      </c>
      <c r="F542" s="28" t="s">
        <v>5173</v>
      </c>
      <c r="G542" s="36" t="s">
        <v>6546</v>
      </c>
      <c r="H542" s="36" t="s">
        <v>3482</v>
      </c>
    </row>
    <row r="543" spans="1:8" ht="30.5">
      <c r="A543" s="28" t="s">
        <v>1220</v>
      </c>
      <c r="B543" s="8" t="s">
        <v>7732</v>
      </c>
      <c r="C543" s="37" t="s">
        <v>7693</v>
      </c>
      <c r="D543" s="28" t="s">
        <v>1346</v>
      </c>
      <c r="E543" s="36" t="s">
        <v>6628</v>
      </c>
      <c r="F543" s="28" t="s">
        <v>5173</v>
      </c>
      <c r="G543" s="36" t="s">
        <v>6629</v>
      </c>
      <c r="H543" s="36" t="s">
        <v>3482</v>
      </c>
    </row>
    <row r="544" spans="1:8" ht="30.5">
      <c r="A544" s="28" t="s">
        <v>1220</v>
      </c>
      <c r="B544" s="37" t="s">
        <v>7732</v>
      </c>
      <c r="C544" s="37" t="s">
        <v>7693</v>
      </c>
      <c r="D544" s="28" t="s">
        <v>6526</v>
      </c>
      <c r="E544" s="36" t="s">
        <v>6630</v>
      </c>
      <c r="F544" s="28" t="s">
        <v>5173</v>
      </c>
      <c r="G544" s="36" t="s">
        <v>6631</v>
      </c>
      <c r="H544" s="36" t="s">
        <v>3482</v>
      </c>
    </row>
    <row r="545" spans="1:8" ht="12.5">
      <c r="A545" s="28" t="s">
        <v>1220</v>
      </c>
      <c r="B545" s="37" t="s">
        <v>7732</v>
      </c>
      <c r="C545" s="37" t="s">
        <v>7693</v>
      </c>
      <c r="D545" s="28" t="s">
        <v>6526</v>
      </c>
      <c r="E545" s="36" t="s">
        <v>6632</v>
      </c>
      <c r="F545" s="28" t="s">
        <v>5173</v>
      </c>
      <c r="G545" s="36" t="s">
        <v>6546</v>
      </c>
      <c r="H545" s="36" t="s">
        <v>3482</v>
      </c>
    </row>
    <row r="546" spans="1:8" ht="50.5">
      <c r="A546" s="28" t="s">
        <v>1220</v>
      </c>
      <c r="B546" s="37" t="s">
        <v>7732</v>
      </c>
      <c r="C546" s="37" t="s">
        <v>7693</v>
      </c>
      <c r="D546" s="28" t="s">
        <v>6526</v>
      </c>
      <c r="E546" s="36" t="s">
        <v>6633</v>
      </c>
      <c r="F546" s="28" t="s">
        <v>5173</v>
      </c>
      <c r="G546" s="36" t="s">
        <v>6634</v>
      </c>
      <c r="H546" s="36" t="s">
        <v>3482</v>
      </c>
    </row>
    <row r="547" spans="1:8" ht="50.5">
      <c r="A547" s="28" t="s">
        <v>1220</v>
      </c>
      <c r="B547" s="37" t="s">
        <v>7732</v>
      </c>
      <c r="C547" s="37" t="s">
        <v>7693</v>
      </c>
      <c r="D547" s="28" t="s">
        <v>6526</v>
      </c>
      <c r="E547" s="36" t="s">
        <v>6635</v>
      </c>
      <c r="F547" s="28" t="s">
        <v>5173</v>
      </c>
      <c r="G547" s="36" t="s">
        <v>6636</v>
      </c>
      <c r="H547" s="36" t="s">
        <v>3482</v>
      </c>
    </row>
    <row r="548" spans="1:8" ht="30.5">
      <c r="A548" s="28" t="s">
        <v>1220</v>
      </c>
      <c r="B548" s="37" t="s">
        <v>7732</v>
      </c>
      <c r="C548" s="37" t="s">
        <v>7693</v>
      </c>
      <c r="D548" s="28" t="s">
        <v>6526</v>
      </c>
      <c r="E548" s="36" t="s">
        <v>6637</v>
      </c>
      <c r="F548" s="28" t="s">
        <v>5173</v>
      </c>
      <c r="G548" s="36" t="s">
        <v>6638</v>
      </c>
      <c r="H548" s="36" t="s">
        <v>3482</v>
      </c>
    </row>
    <row r="549" spans="1:8" ht="30.5">
      <c r="A549" s="28" t="s">
        <v>3046</v>
      </c>
      <c r="B549" s="8" t="s">
        <v>7708</v>
      </c>
      <c r="C549" s="37" t="s">
        <v>7693</v>
      </c>
      <c r="D549" s="28" t="s">
        <v>3134</v>
      </c>
      <c r="E549" s="36" t="s">
        <v>6639</v>
      </c>
      <c r="F549" s="28" t="s">
        <v>5173</v>
      </c>
      <c r="G549" s="36" t="s">
        <v>6640</v>
      </c>
      <c r="H549" s="36" t="s">
        <v>3482</v>
      </c>
    </row>
    <row r="550" spans="1:8" ht="70.5">
      <c r="A550" s="28" t="s">
        <v>1220</v>
      </c>
      <c r="B550" s="37" t="s">
        <v>7732</v>
      </c>
      <c r="C550" s="37" t="s">
        <v>7693</v>
      </c>
      <c r="D550" s="28" t="s">
        <v>6526</v>
      </c>
      <c r="E550" s="36" t="s">
        <v>6641</v>
      </c>
      <c r="F550" s="28" t="s">
        <v>5173</v>
      </c>
      <c r="G550" s="36" t="s">
        <v>6642</v>
      </c>
      <c r="H550" s="36" t="s">
        <v>3482</v>
      </c>
    </row>
    <row r="551" spans="1:8" ht="50.5">
      <c r="A551" s="28" t="s">
        <v>1220</v>
      </c>
      <c r="B551" s="37" t="s">
        <v>7732</v>
      </c>
      <c r="C551" s="37" t="s">
        <v>7693</v>
      </c>
      <c r="D551" s="28" t="s">
        <v>6526</v>
      </c>
      <c r="E551" s="36" t="s">
        <v>6643</v>
      </c>
      <c r="F551" s="28" t="s">
        <v>5173</v>
      </c>
      <c r="G551" s="36" t="s">
        <v>6644</v>
      </c>
      <c r="H551" s="36" t="s">
        <v>3482</v>
      </c>
    </row>
    <row r="552" spans="1:8" ht="50.5">
      <c r="A552" s="28" t="s">
        <v>1220</v>
      </c>
      <c r="B552" s="37" t="s">
        <v>7732</v>
      </c>
      <c r="C552" s="37" t="s">
        <v>7693</v>
      </c>
      <c r="D552" s="28" t="s">
        <v>6526</v>
      </c>
      <c r="E552" s="36" t="s">
        <v>6645</v>
      </c>
      <c r="F552" s="28" t="s">
        <v>5173</v>
      </c>
      <c r="G552" s="36" t="s">
        <v>6646</v>
      </c>
      <c r="H552" s="36" t="s">
        <v>3482</v>
      </c>
    </row>
    <row r="553" spans="1:8" ht="20.5">
      <c r="A553" s="28" t="s">
        <v>2793</v>
      </c>
      <c r="B553" s="8" t="s">
        <v>7737</v>
      </c>
      <c r="C553" s="37" t="s">
        <v>7693</v>
      </c>
      <c r="D553" s="28" t="s">
        <v>2902</v>
      </c>
      <c r="E553" s="36" t="s">
        <v>6647</v>
      </c>
      <c r="F553" s="28" t="s">
        <v>5173</v>
      </c>
      <c r="G553" s="36" t="s">
        <v>6546</v>
      </c>
      <c r="H553" s="36" t="s">
        <v>3482</v>
      </c>
    </row>
    <row r="554" spans="1:8" ht="40.5">
      <c r="A554" s="28" t="s">
        <v>1220</v>
      </c>
      <c r="B554" s="37" t="s">
        <v>7732</v>
      </c>
      <c r="C554" s="37" t="s">
        <v>7693</v>
      </c>
      <c r="D554" s="28" t="s">
        <v>6526</v>
      </c>
      <c r="E554" s="36" t="s">
        <v>6648</v>
      </c>
      <c r="F554" s="28" t="s">
        <v>5173</v>
      </c>
      <c r="G554" s="36" t="s">
        <v>6649</v>
      </c>
      <c r="H554" s="36" t="s">
        <v>3482</v>
      </c>
    </row>
    <row r="555" spans="1:8" ht="30.5">
      <c r="A555" s="28" t="s">
        <v>1220</v>
      </c>
      <c r="B555" s="37" t="s">
        <v>7732</v>
      </c>
      <c r="C555" s="37" t="s">
        <v>7693</v>
      </c>
      <c r="D555" s="28" t="s">
        <v>6526</v>
      </c>
      <c r="E555" s="36" t="s">
        <v>6650</v>
      </c>
      <c r="F555" s="28" t="s">
        <v>5173</v>
      </c>
      <c r="G555" s="36" t="s">
        <v>6651</v>
      </c>
      <c r="H555" s="36" t="s">
        <v>3482</v>
      </c>
    </row>
    <row r="556" spans="1:8" ht="20.5">
      <c r="A556" s="28" t="s">
        <v>1220</v>
      </c>
      <c r="B556" s="37" t="s">
        <v>7732</v>
      </c>
      <c r="C556" s="37" t="s">
        <v>7693</v>
      </c>
      <c r="D556" s="28" t="s">
        <v>6526</v>
      </c>
      <c r="E556" s="36" t="s">
        <v>6652</v>
      </c>
      <c r="F556" s="28" t="s">
        <v>5173</v>
      </c>
      <c r="G556" s="36" t="s">
        <v>6653</v>
      </c>
      <c r="H556" s="36" t="s">
        <v>3482</v>
      </c>
    </row>
    <row r="557" spans="1:8" ht="12.5">
      <c r="A557" s="28" t="s">
        <v>1220</v>
      </c>
      <c r="B557" s="37" t="s">
        <v>7732</v>
      </c>
      <c r="C557" s="37" t="s">
        <v>7693</v>
      </c>
      <c r="D557" s="28" t="s">
        <v>6526</v>
      </c>
      <c r="E557" s="36" t="s">
        <v>6654</v>
      </c>
      <c r="F557" s="28" t="s">
        <v>5173</v>
      </c>
      <c r="G557" s="36" t="s">
        <v>6546</v>
      </c>
      <c r="H557" s="36" t="s">
        <v>3482</v>
      </c>
    </row>
    <row r="558" spans="1:8" ht="40.5">
      <c r="A558" s="28" t="s">
        <v>1220</v>
      </c>
      <c r="B558" s="37" t="s">
        <v>7732</v>
      </c>
      <c r="C558" s="37" t="s">
        <v>7693</v>
      </c>
      <c r="D558" s="28" t="s">
        <v>6526</v>
      </c>
      <c r="E558" s="36" t="s">
        <v>6655</v>
      </c>
      <c r="F558" s="28" t="s">
        <v>5173</v>
      </c>
      <c r="G558" s="36" t="s">
        <v>6656</v>
      </c>
      <c r="H558" s="36" t="s">
        <v>3482</v>
      </c>
    </row>
    <row r="559" spans="1:8" ht="30.5">
      <c r="A559" s="28" t="s">
        <v>1597</v>
      </c>
      <c r="B559" s="8" t="s">
        <v>7704</v>
      </c>
      <c r="C559" s="37" t="s">
        <v>7693</v>
      </c>
      <c r="D559" s="28" t="s">
        <v>1662</v>
      </c>
      <c r="E559" s="36" t="s">
        <v>6657</v>
      </c>
      <c r="F559" s="28" t="s">
        <v>5173</v>
      </c>
      <c r="G559" s="36" t="s">
        <v>6658</v>
      </c>
      <c r="H559" s="36" t="s">
        <v>3482</v>
      </c>
    </row>
    <row r="560" spans="1:8" ht="12.5">
      <c r="A560" s="28" t="s">
        <v>1220</v>
      </c>
      <c r="B560" s="37" t="s">
        <v>7732</v>
      </c>
      <c r="C560" s="37" t="s">
        <v>7693</v>
      </c>
      <c r="D560" s="28" t="s">
        <v>6526</v>
      </c>
      <c r="E560" s="36" t="s">
        <v>6659</v>
      </c>
      <c r="F560" s="28" t="s">
        <v>5173</v>
      </c>
      <c r="G560" s="36" t="s">
        <v>6546</v>
      </c>
      <c r="H560" s="36" t="s">
        <v>3482</v>
      </c>
    </row>
    <row r="561" spans="1:8" ht="20.5">
      <c r="A561" s="28" t="s">
        <v>1220</v>
      </c>
      <c r="B561" s="37" t="s">
        <v>7732</v>
      </c>
      <c r="C561" s="37" t="s">
        <v>7693</v>
      </c>
      <c r="D561" s="28" t="s">
        <v>6526</v>
      </c>
      <c r="E561" s="36" t="s">
        <v>6660</v>
      </c>
      <c r="F561" s="28" t="s">
        <v>5173</v>
      </c>
      <c r="G561" s="36" t="s">
        <v>6661</v>
      </c>
      <c r="H561" s="36" t="s">
        <v>3482</v>
      </c>
    </row>
    <row r="562" spans="1:8" ht="20.5">
      <c r="A562" s="28" t="s">
        <v>17</v>
      </c>
      <c r="B562" s="8" t="s">
        <v>7699</v>
      </c>
      <c r="C562" s="37" t="s">
        <v>7693</v>
      </c>
      <c r="D562" s="28" t="s">
        <v>3705</v>
      </c>
      <c r="E562" s="36" t="s">
        <v>6662</v>
      </c>
      <c r="F562" s="28" t="s">
        <v>5173</v>
      </c>
      <c r="G562" s="36" t="s">
        <v>6546</v>
      </c>
      <c r="H562" s="36" t="s">
        <v>3482</v>
      </c>
    </row>
    <row r="563" spans="1:8" ht="20.5">
      <c r="A563" s="28" t="s">
        <v>1788</v>
      </c>
      <c r="B563" s="8" t="s">
        <v>7706</v>
      </c>
      <c r="C563" s="37" t="s">
        <v>7695</v>
      </c>
      <c r="D563" s="28" t="s">
        <v>6663</v>
      </c>
      <c r="E563" s="36" t="s">
        <v>6664</v>
      </c>
      <c r="F563" s="28" t="s">
        <v>5173</v>
      </c>
      <c r="G563" s="36" t="s">
        <v>6546</v>
      </c>
      <c r="H563" s="36" t="s">
        <v>3482</v>
      </c>
    </row>
    <row r="564" spans="1:8" ht="30.5">
      <c r="A564" s="28" t="s">
        <v>1220</v>
      </c>
      <c r="B564" s="37" t="s">
        <v>7732</v>
      </c>
      <c r="C564" s="37" t="s">
        <v>7693</v>
      </c>
      <c r="D564" s="28" t="s">
        <v>6526</v>
      </c>
      <c r="E564" s="36" t="s">
        <v>6665</v>
      </c>
      <c r="F564" s="28" t="s">
        <v>5173</v>
      </c>
      <c r="G564" s="36" t="s">
        <v>6666</v>
      </c>
      <c r="H564" s="36" t="s">
        <v>3482</v>
      </c>
    </row>
    <row r="565" spans="1:8" ht="20.5">
      <c r="A565" s="28" t="s">
        <v>1788</v>
      </c>
      <c r="B565" s="8" t="s">
        <v>7706</v>
      </c>
      <c r="C565" s="37" t="s">
        <v>7693</v>
      </c>
      <c r="D565" s="28" t="s">
        <v>1735</v>
      </c>
      <c r="E565" s="36" t="s">
        <v>6667</v>
      </c>
      <c r="F565" s="28" t="s">
        <v>5173</v>
      </c>
      <c r="G565" s="36" t="s">
        <v>6546</v>
      </c>
      <c r="H565" s="36" t="s">
        <v>3482</v>
      </c>
    </row>
    <row r="566" spans="1:8" ht="40.5">
      <c r="A566" s="28" t="s">
        <v>1220</v>
      </c>
      <c r="B566" s="37" t="s">
        <v>7732</v>
      </c>
      <c r="C566" s="37" t="s">
        <v>7693</v>
      </c>
      <c r="D566" s="28" t="s">
        <v>6526</v>
      </c>
      <c r="E566" s="36" t="s">
        <v>6668</v>
      </c>
      <c r="F566" s="28" t="s">
        <v>5173</v>
      </c>
      <c r="G566" s="36" t="s">
        <v>6669</v>
      </c>
      <c r="H566" s="36" t="s">
        <v>3482</v>
      </c>
    </row>
    <row r="567" spans="1:8" ht="40.5">
      <c r="A567" s="28" t="s">
        <v>1220</v>
      </c>
      <c r="B567" s="37" t="s">
        <v>7732</v>
      </c>
      <c r="C567" s="37" t="s">
        <v>7693</v>
      </c>
      <c r="D567" s="28" t="s">
        <v>6526</v>
      </c>
      <c r="E567" s="36" t="s">
        <v>6670</v>
      </c>
      <c r="F567" s="28" t="s">
        <v>5173</v>
      </c>
      <c r="G567" s="36" t="s">
        <v>6671</v>
      </c>
      <c r="H567" s="36" t="s">
        <v>3482</v>
      </c>
    </row>
    <row r="568" spans="1:8" ht="40.5">
      <c r="A568" s="28" t="s">
        <v>2793</v>
      </c>
      <c r="B568" s="8" t="s">
        <v>7737</v>
      </c>
      <c r="C568" s="37" t="s">
        <v>7693</v>
      </c>
      <c r="D568" s="28" t="s">
        <v>5392</v>
      </c>
      <c r="E568" s="36" t="s">
        <v>6672</v>
      </c>
      <c r="F568" s="28" t="s">
        <v>5173</v>
      </c>
      <c r="G568" s="36" t="s">
        <v>6546</v>
      </c>
      <c r="H568" s="36" t="s">
        <v>3482</v>
      </c>
    </row>
    <row r="569" spans="1:8" ht="60.5">
      <c r="A569" s="28" t="s">
        <v>1220</v>
      </c>
      <c r="B569" s="37" t="s">
        <v>7732</v>
      </c>
      <c r="C569" s="37" t="s">
        <v>7693</v>
      </c>
      <c r="D569" s="28" t="s">
        <v>6526</v>
      </c>
      <c r="E569" s="36" t="s">
        <v>6673</v>
      </c>
      <c r="F569" s="28" t="s">
        <v>5173</v>
      </c>
      <c r="G569" s="36" t="s">
        <v>6674</v>
      </c>
      <c r="H569" s="36" t="s">
        <v>3482</v>
      </c>
    </row>
    <row r="570" spans="1:8" ht="20.5">
      <c r="A570" s="28" t="s">
        <v>1220</v>
      </c>
      <c r="B570" s="37" t="s">
        <v>7732</v>
      </c>
      <c r="C570" s="37" t="s">
        <v>7693</v>
      </c>
      <c r="D570" s="28" t="s">
        <v>6526</v>
      </c>
      <c r="E570" s="36" t="s">
        <v>6675</v>
      </c>
      <c r="F570" s="28" t="s">
        <v>5173</v>
      </c>
      <c r="G570" s="36" t="s">
        <v>6546</v>
      </c>
      <c r="H570" s="36" t="s">
        <v>3482</v>
      </c>
    </row>
    <row r="571" spans="1:8" ht="30.5">
      <c r="A571" s="28" t="s">
        <v>1220</v>
      </c>
      <c r="B571" s="37" t="s">
        <v>7732</v>
      </c>
      <c r="C571" s="37" t="s">
        <v>7693</v>
      </c>
      <c r="D571" s="28" t="s">
        <v>6526</v>
      </c>
      <c r="E571" s="36" t="s">
        <v>6676</v>
      </c>
      <c r="F571" s="28" t="s">
        <v>5173</v>
      </c>
      <c r="G571" s="36" t="s">
        <v>6677</v>
      </c>
      <c r="H571" s="36" t="s">
        <v>3482</v>
      </c>
    </row>
    <row r="572" spans="1:8" ht="20.5">
      <c r="A572" s="28" t="s">
        <v>1220</v>
      </c>
      <c r="B572" s="37" t="s">
        <v>7732</v>
      </c>
      <c r="C572" s="37" t="s">
        <v>7693</v>
      </c>
      <c r="D572" s="28" t="s">
        <v>6526</v>
      </c>
      <c r="E572" s="36" t="s">
        <v>6678</v>
      </c>
      <c r="F572" s="28" t="s">
        <v>5173</v>
      </c>
      <c r="G572" s="36" t="s">
        <v>6679</v>
      </c>
      <c r="H572" s="36" t="s">
        <v>3482</v>
      </c>
    </row>
    <row r="573" spans="1:8" ht="20.5">
      <c r="A573" s="28" t="s">
        <v>1220</v>
      </c>
      <c r="B573" s="37" t="s">
        <v>7732</v>
      </c>
      <c r="C573" s="37" t="s">
        <v>7693</v>
      </c>
      <c r="D573" s="28" t="s">
        <v>6526</v>
      </c>
      <c r="E573" s="36" t="s">
        <v>6680</v>
      </c>
      <c r="F573" s="28" t="s">
        <v>5173</v>
      </c>
      <c r="G573" s="36" t="s">
        <v>6681</v>
      </c>
      <c r="H573" s="36" t="s">
        <v>3482</v>
      </c>
    </row>
    <row r="574" spans="1:8" ht="80.5">
      <c r="A574" s="28" t="s">
        <v>1220</v>
      </c>
      <c r="B574" s="37" t="s">
        <v>7732</v>
      </c>
      <c r="C574" s="37" t="s">
        <v>7693</v>
      </c>
      <c r="D574" s="28" t="s">
        <v>6526</v>
      </c>
      <c r="E574" s="36" t="s">
        <v>6682</v>
      </c>
      <c r="F574" s="28" t="s">
        <v>5173</v>
      </c>
      <c r="G574" s="36" t="s">
        <v>6683</v>
      </c>
      <c r="H574" s="36" t="s">
        <v>3482</v>
      </c>
    </row>
    <row r="575" spans="1:8" ht="30.5">
      <c r="A575" s="28" t="s">
        <v>1220</v>
      </c>
      <c r="B575" s="37" t="s">
        <v>7732</v>
      </c>
      <c r="C575" s="37" t="s">
        <v>7693</v>
      </c>
      <c r="D575" s="28" t="s">
        <v>6526</v>
      </c>
      <c r="E575" s="36" t="s">
        <v>6684</v>
      </c>
      <c r="F575" s="28" t="s">
        <v>5173</v>
      </c>
      <c r="G575" s="36" t="s">
        <v>6685</v>
      </c>
      <c r="H575" s="36" t="s">
        <v>3482</v>
      </c>
    </row>
    <row r="576" spans="1:8" ht="20.5">
      <c r="A576" s="28" t="s">
        <v>1220</v>
      </c>
      <c r="B576" s="37" t="s">
        <v>7732</v>
      </c>
      <c r="C576" s="37" t="s">
        <v>7693</v>
      </c>
      <c r="D576" s="28" t="s">
        <v>6526</v>
      </c>
      <c r="E576" s="36" t="s">
        <v>6686</v>
      </c>
      <c r="F576" s="28" t="s">
        <v>5173</v>
      </c>
      <c r="G576" s="36" t="s">
        <v>6687</v>
      </c>
      <c r="H576" s="36" t="s">
        <v>3482</v>
      </c>
    </row>
    <row r="577" spans="1:8" ht="40.5">
      <c r="A577" s="28" t="s">
        <v>1220</v>
      </c>
      <c r="B577" s="37" t="s">
        <v>7732</v>
      </c>
      <c r="C577" s="37" t="s">
        <v>7693</v>
      </c>
      <c r="D577" s="28" t="s">
        <v>6526</v>
      </c>
      <c r="E577" s="36" t="s">
        <v>6688</v>
      </c>
      <c r="F577" s="28" t="s">
        <v>5173</v>
      </c>
      <c r="G577" s="36" t="s">
        <v>6689</v>
      </c>
      <c r="H577" s="36" t="s">
        <v>3482</v>
      </c>
    </row>
    <row r="578" spans="1:8" ht="20.5">
      <c r="A578" s="28" t="s">
        <v>1597</v>
      </c>
      <c r="B578" s="8" t="s">
        <v>7704</v>
      </c>
      <c r="C578" s="37" t="s">
        <v>7693</v>
      </c>
      <c r="D578" s="28" t="s">
        <v>1662</v>
      </c>
      <c r="E578" s="36" t="s">
        <v>6690</v>
      </c>
      <c r="F578" s="28" t="s">
        <v>5173</v>
      </c>
      <c r="G578" s="36" t="s">
        <v>6546</v>
      </c>
      <c r="H578" s="36" t="s">
        <v>3482</v>
      </c>
    </row>
    <row r="579" spans="1:8" ht="30.5">
      <c r="A579" s="28" t="s">
        <v>1220</v>
      </c>
      <c r="B579" s="37" t="s">
        <v>7732</v>
      </c>
      <c r="C579" s="37" t="s">
        <v>7693</v>
      </c>
      <c r="D579" s="28" t="s">
        <v>6526</v>
      </c>
      <c r="E579" s="36" t="s">
        <v>6691</v>
      </c>
      <c r="F579" s="28" t="s">
        <v>5173</v>
      </c>
      <c r="G579" s="36" t="s">
        <v>6692</v>
      </c>
      <c r="H579" s="36" t="s">
        <v>3482</v>
      </c>
    </row>
    <row r="580" spans="1:8" ht="20.5">
      <c r="A580" s="28" t="s">
        <v>1532</v>
      </c>
      <c r="B580" s="8" t="s">
        <v>7754</v>
      </c>
      <c r="C580" s="37" t="s">
        <v>7693</v>
      </c>
      <c r="D580" s="28" t="s">
        <v>1584</v>
      </c>
      <c r="E580" s="36" t="s">
        <v>6693</v>
      </c>
      <c r="F580" s="28" t="s">
        <v>5173</v>
      </c>
      <c r="G580" s="36" t="s">
        <v>6546</v>
      </c>
      <c r="H580" s="36" t="s">
        <v>3482</v>
      </c>
    </row>
    <row r="581" spans="1:8" ht="30.5">
      <c r="A581" s="28" t="s">
        <v>1220</v>
      </c>
      <c r="B581" s="37" t="s">
        <v>7732</v>
      </c>
      <c r="C581" s="37" t="s">
        <v>7693</v>
      </c>
      <c r="D581" s="28" t="s">
        <v>6526</v>
      </c>
      <c r="E581" s="36" t="s">
        <v>6694</v>
      </c>
      <c r="F581" s="28" t="s">
        <v>5173</v>
      </c>
      <c r="G581" s="36" t="s">
        <v>6695</v>
      </c>
      <c r="H581" s="36" t="s">
        <v>3482</v>
      </c>
    </row>
    <row r="582" spans="1:8" ht="40.5">
      <c r="A582" s="28" t="s">
        <v>1220</v>
      </c>
      <c r="B582" s="37" t="s">
        <v>7732</v>
      </c>
      <c r="C582" s="37" t="s">
        <v>7693</v>
      </c>
      <c r="D582" s="28" t="s">
        <v>6526</v>
      </c>
      <c r="E582" s="36" t="s">
        <v>6696</v>
      </c>
      <c r="F582" s="28" t="s">
        <v>5173</v>
      </c>
      <c r="G582" s="36" t="s">
        <v>6697</v>
      </c>
      <c r="H582" s="36" t="s">
        <v>3482</v>
      </c>
    </row>
    <row r="583" spans="1:8" ht="12.5">
      <c r="A583" s="28" t="s">
        <v>1220</v>
      </c>
      <c r="B583" s="37" t="s">
        <v>7732</v>
      </c>
      <c r="C583" s="37" t="s">
        <v>7693</v>
      </c>
      <c r="D583" s="28" t="s">
        <v>6526</v>
      </c>
      <c r="E583" s="36" t="s">
        <v>6698</v>
      </c>
      <c r="F583" s="28" t="s">
        <v>5173</v>
      </c>
      <c r="G583" s="36" t="s">
        <v>6546</v>
      </c>
      <c r="H583" s="36" t="s">
        <v>3482</v>
      </c>
    </row>
    <row r="584" spans="1:8" ht="12.5">
      <c r="A584" s="28" t="s">
        <v>1900</v>
      </c>
      <c r="B584" s="8" t="s">
        <v>7781</v>
      </c>
      <c r="C584" s="37" t="s">
        <v>7693</v>
      </c>
      <c r="D584" s="28" t="s">
        <v>2055</v>
      </c>
      <c r="E584" s="36" t="s">
        <v>6699</v>
      </c>
      <c r="F584" s="28" t="s">
        <v>5173</v>
      </c>
      <c r="G584" s="36" t="s">
        <v>6546</v>
      </c>
      <c r="H584" s="36" t="s">
        <v>3482</v>
      </c>
    </row>
    <row r="585" spans="1:8" ht="20.5">
      <c r="A585" s="28" t="s">
        <v>1788</v>
      </c>
      <c r="B585" s="8" t="s">
        <v>7706</v>
      </c>
      <c r="C585" s="37" t="s">
        <v>7693</v>
      </c>
      <c r="D585" s="28" t="s">
        <v>1735</v>
      </c>
      <c r="E585" s="36" t="s">
        <v>6700</v>
      </c>
      <c r="F585" s="28" t="s">
        <v>5173</v>
      </c>
      <c r="G585" s="36" t="s">
        <v>6546</v>
      </c>
      <c r="H585" s="36" t="s">
        <v>3482</v>
      </c>
    </row>
    <row r="586" spans="1:8" ht="30.5">
      <c r="A586" s="28" t="s">
        <v>1220</v>
      </c>
      <c r="B586" s="37" t="s">
        <v>7732</v>
      </c>
      <c r="C586" s="37" t="s">
        <v>7693</v>
      </c>
      <c r="D586" s="28" t="s">
        <v>6526</v>
      </c>
      <c r="E586" s="36" t="s">
        <v>6701</v>
      </c>
      <c r="F586" s="28" t="s">
        <v>5173</v>
      </c>
      <c r="G586" s="36" t="s">
        <v>6702</v>
      </c>
      <c r="H586" s="36" t="s">
        <v>3482</v>
      </c>
    </row>
    <row r="587" spans="1:8" ht="20.5">
      <c r="A587" s="28" t="s">
        <v>1220</v>
      </c>
      <c r="B587" s="37" t="s">
        <v>7732</v>
      </c>
      <c r="C587" s="37" t="s">
        <v>7693</v>
      </c>
      <c r="D587" s="28" t="s">
        <v>6526</v>
      </c>
      <c r="E587" s="36" t="s">
        <v>6703</v>
      </c>
      <c r="F587" s="28" t="s">
        <v>5173</v>
      </c>
      <c r="G587" s="36" t="s">
        <v>6704</v>
      </c>
      <c r="H587" s="36" t="s">
        <v>3482</v>
      </c>
    </row>
    <row r="588" spans="1:8" ht="20.5">
      <c r="A588" s="28" t="s">
        <v>1220</v>
      </c>
      <c r="B588" s="37" t="s">
        <v>7732</v>
      </c>
      <c r="C588" s="37" t="s">
        <v>7693</v>
      </c>
      <c r="D588" s="28" t="s">
        <v>6526</v>
      </c>
      <c r="E588" s="36" t="s">
        <v>6705</v>
      </c>
      <c r="F588" s="28" t="s">
        <v>5173</v>
      </c>
      <c r="G588" s="36" t="s">
        <v>6546</v>
      </c>
      <c r="H588" s="36" t="s">
        <v>3482</v>
      </c>
    </row>
    <row r="589" spans="1:8" ht="20.5">
      <c r="A589" s="28" t="s">
        <v>1220</v>
      </c>
      <c r="B589" s="37" t="s">
        <v>7732</v>
      </c>
      <c r="C589" s="37" t="s">
        <v>7693</v>
      </c>
      <c r="D589" s="28" t="s">
        <v>6526</v>
      </c>
      <c r="E589" s="36" t="s">
        <v>6706</v>
      </c>
      <c r="F589" s="28" t="s">
        <v>5173</v>
      </c>
      <c r="G589" s="36" t="s">
        <v>6707</v>
      </c>
      <c r="H589" s="36" t="s">
        <v>3482</v>
      </c>
    </row>
    <row r="590" spans="1:8" ht="20.5">
      <c r="A590" s="28" t="s">
        <v>1220</v>
      </c>
      <c r="B590" s="37" t="s">
        <v>7732</v>
      </c>
      <c r="C590" s="37" t="s">
        <v>7693</v>
      </c>
      <c r="D590" s="28" t="s">
        <v>6526</v>
      </c>
      <c r="E590" s="36" t="s">
        <v>6708</v>
      </c>
      <c r="F590" s="28" t="s">
        <v>5173</v>
      </c>
      <c r="G590" s="36" t="s">
        <v>6546</v>
      </c>
      <c r="H590" s="36" t="s">
        <v>3482</v>
      </c>
    </row>
    <row r="591" spans="1:8" ht="20.5">
      <c r="A591" s="28" t="s">
        <v>2909</v>
      </c>
      <c r="B591" s="8" t="s">
        <v>7717</v>
      </c>
      <c r="C591" s="37" t="s">
        <v>7693</v>
      </c>
      <c r="D591" s="28" t="s">
        <v>3008</v>
      </c>
      <c r="E591" s="36" t="s">
        <v>6709</v>
      </c>
      <c r="F591" s="28" t="s">
        <v>5173</v>
      </c>
      <c r="G591" s="36" t="s">
        <v>6546</v>
      </c>
      <c r="H591" s="36" t="s">
        <v>3482</v>
      </c>
    </row>
    <row r="592" spans="1:8" ht="20.5">
      <c r="A592" s="28" t="s">
        <v>1220</v>
      </c>
      <c r="B592" s="37" t="s">
        <v>7732</v>
      </c>
      <c r="C592" s="37" t="s">
        <v>7693</v>
      </c>
      <c r="D592" s="28" t="s">
        <v>6526</v>
      </c>
      <c r="E592" s="36" t="s">
        <v>6710</v>
      </c>
      <c r="F592" s="28" t="s">
        <v>5173</v>
      </c>
      <c r="G592" s="36" t="s">
        <v>6546</v>
      </c>
      <c r="H592" s="36" t="s">
        <v>3482</v>
      </c>
    </row>
    <row r="593" spans="1:8" ht="30.5">
      <c r="A593" s="28" t="s">
        <v>1220</v>
      </c>
      <c r="B593" s="37" t="s">
        <v>7732</v>
      </c>
      <c r="C593" s="37" t="s">
        <v>7693</v>
      </c>
      <c r="D593" s="28" t="s">
        <v>6526</v>
      </c>
      <c r="E593" s="36" t="s">
        <v>6711</v>
      </c>
      <c r="F593" s="28" t="s">
        <v>5173</v>
      </c>
      <c r="G593" s="36" t="s">
        <v>6712</v>
      </c>
      <c r="H593" s="36" t="s">
        <v>3482</v>
      </c>
    </row>
    <row r="594" spans="1:8" ht="80.5">
      <c r="A594" s="28" t="s">
        <v>1220</v>
      </c>
      <c r="B594" s="37" t="s">
        <v>7732</v>
      </c>
      <c r="C594" s="37" t="s">
        <v>7693</v>
      </c>
      <c r="D594" s="28" t="s">
        <v>6526</v>
      </c>
      <c r="E594" s="36" t="s">
        <v>6713</v>
      </c>
      <c r="F594" s="28" t="s">
        <v>5173</v>
      </c>
      <c r="G594" s="36" t="s">
        <v>6714</v>
      </c>
      <c r="H594" s="36" t="s">
        <v>3482</v>
      </c>
    </row>
    <row r="595" spans="1:8" ht="40.5">
      <c r="A595" s="28" t="s">
        <v>1220</v>
      </c>
      <c r="B595" s="37" t="s">
        <v>7732</v>
      </c>
      <c r="C595" s="37" t="s">
        <v>7693</v>
      </c>
      <c r="D595" s="28" t="s">
        <v>6526</v>
      </c>
      <c r="E595" s="36" t="s">
        <v>6715</v>
      </c>
      <c r="F595" s="28" t="s">
        <v>5173</v>
      </c>
      <c r="G595" s="36" t="s">
        <v>6716</v>
      </c>
      <c r="H595" s="36" t="s">
        <v>3482</v>
      </c>
    </row>
    <row r="596" spans="1:8" ht="30.5">
      <c r="A596" s="28" t="s">
        <v>1788</v>
      </c>
      <c r="B596" s="8" t="s">
        <v>7706</v>
      </c>
      <c r="C596" s="37" t="s">
        <v>7693</v>
      </c>
      <c r="D596" s="28" t="s">
        <v>1735</v>
      </c>
      <c r="E596" s="36" t="s">
        <v>6717</v>
      </c>
      <c r="F596" s="28" t="s">
        <v>5173</v>
      </c>
      <c r="G596" s="36" t="s">
        <v>6718</v>
      </c>
      <c r="H596" s="36" t="s">
        <v>3482</v>
      </c>
    </row>
    <row r="597" spans="1:8" ht="20.5">
      <c r="A597" s="28" t="s">
        <v>1220</v>
      </c>
      <c r="B597" s="37" t="s">
        <v>7732</v>
      </c>
      <c r="C597" s="37" t="s">
        <v>7693</v>
      </c>
      <c r="D597" s="28" t="s">
        <v>6526</v>
      </c>
      <c r="E597" s="36" t="s">
        <v>6719</v>
      </c>
      <c r="F597" s="28" t="s">
        <v>5173</v>
      </c>
      <c r="G597" s="36" t="s">
        <v>6720</v>
      </c>
      <c r="H597" s="36" t="s">
        <v>3482</v>
      </c>
    </row>
    <row r="598" spans="1:8" ht="30.5">
      <c r="A598" s="28" t="s">
        <v>1220</v>
      </c>
      <c r="B598" s="37" t="s">
        <v>7732</v>
      </c>
      <c r="C598" s="37" t="s">
        <v>7693</v>
      </c>
      <c r="D598" s="28" t="s">
        <v>6526</v>
      </c>
      <c r="E598" s="36" t="s">
        <v>6721</v>
      </c>
      <c r="F598" s="28" t="s">
        <v>5173</v>
      </c>
      <c r="G598" s="36" t="s">
        <v>6722</v>
      </c>
      <c r="H598" s="36" t="s">
        <v>3482</v>
      </c>
    </row>
    <row r="599" spans="1:8" ht="30.5">
      <c r="A599" s="28" t="s">
        <v>3315</v>
      </c>
      <c r="B599" s="8" t="s">
        <v>7705</v>
      </c>
      <c r="C599" s="37" t="s">
        <v>7695</v>
      </c>
      <c r="D599" s="28" t="s">
        <v>1286</v>
      </c>
      <c r="E599" s="36" t="s">
        <v>6723</v>
      </c>
      <c r="F599" s="28" t="s">
        <v>5173</v>
      </c>
      <c r="G599" s="36" t="s">
        <v>6724</v>
      </c>
      <c r="H599" s="36" t="s">
        <v>3482</v>
      </c>
    </row>
    <row r="600" spans="1:8" ht="40.5">
      <c r="A600" s="28" t="s">
        <v>1220</v>
      </c>
      <c r="B600" s="37" t="s">
        <v>7732</v>
      </c>
      <c r="C600" s="37" t="s">
        <v>7693</v>
      </c>
      <c r="D600" s="28" t="s">
        <v>6526</v>
      </c>
      <c r="E600" s="36" t="s">
        <v>6725</v>
      </c>
      <c r="F600" s="28" t="s">
        <v>5173</v>
      </c>
      <c r="G600" s="36" t="s">
        <v>6726</v>
      </c>
      <c r="H600" s="36" t="s">
        <v>3482</v>
      </c>
    </row>
    <row r="601" spans="1:8" ht="30.5">
      <c r="A601" s="28" t="s">
        <v>2793</v>
      </c>
      <c r="B601" s="8" t="s">
        <v>7737</v>
      </c>
      <c r="C601" s="37" t="s">
        <v>7693</v>
      </c>
      <c r="D601" s="28" t="s">
        <v>2902</v>
      </c>
      <c r="E601" s="36" t="s">
        <v>6727</v>
      </c>
      <c r="F601" s="28" t="s">
        <v>5173</v>
      </c>
      <c r="G601" s="36" t="s">
        <v>6728</v>
      </c>
      <c r="H601" s="36" t="s">
        <v>6729</v>
      </c>
    </row>
    <row r="602" spans="1:8" ht="30.5">
      <c r="A602" s="28" t="s">
        <v>17</v>
      </c>
      <c r="B602" s="8" t="s">
        <v>7699</v>
      </c>
      <c r="C602" s="37" t="s">
        <v>7693</v>
      </c>
      <c r="D602" s="28" t="s">
        <v>3705</v>
      </c>
      <c r="E602" s="36" t="s">
        <v>6730</v>
      </c>
      <c r="F602" s="28" t="s">
        <v>5173</v>
      </c>
      <c r="G602" s="36" t="s">
        <v>6731</v>
      </c>
      <c r="H602" s="36" t="s">
        <v>3482</v>
      </c>
    </row>
    <row r="603" spans="1:8" ht="40.5">
      <c r="A603" s="28" t="s">
        <v>1220</v>
      </c>
      <c r="B603" s="37" t="s">
        <v>7732</v>
      </c>
      <c r="C603" s="37" t="s">
        <v>7693</v>
      </c>
      <c r="D603" s="28" t="s">
        <v>6526</v>
      </c>
      <c r="E603" s="36" t="s">
        <v>6732</v>
      </c>
      <c r="F603" s="28" t="s">
        <v>5173</v>
      </c>
      <c r="G603" s="36" t="s">
        <v>6733</v>
      </c>
      <c r="H603" s="36" t="s">
        <v>3482</v>
      </c>
    </row>
    <row r="604" spans="1:8" ht="70.5">
      <c r="A604" s="28" t="s">
        <v>1220</v>
      </c>
      <c r="B604" s="37" t="s">
        <v>7732</v>
      </c>
      <c r="C604" s="37" t="s">
        <v>7693</v>
      </c>
      <c r="D604" s="28" t="s">
        <v>6526</v>
      </c>
      <c r="E604" s="36" t="s">
        <v>6734</v>
      </c>
      <c r="F604" s="28" t="s">
        <v>5173</v>
      </c>
      <c r="G604" s="36" t="s">
        <v>6735</v>
      </c>
      <c r="H604" s="36" t="s">
        <v>3482</v>
      </c>
    </row>
    <row r="605" spans="1:8" ht="60.5">
      <c r="A605" s="28" t="s">
        <v>1220</v>
      </c>
      <c r="B605" s="37" t="s">
        <v>7732</v>
      </c>
      <c r="C605" s="37" t="s">
        <v>7693</v>
      </c>
      <c r="D605" s="28" t="s">
        <v>6526</v>
      </c>
      <c r="E605" s="36" t="s">
        <v>6736</v>
      </c>
      <c r="F605" s="28" t="s">
        <v>5173</v>
      </c>
      <c r="G605" s="36" t="s">
        <v>6737</v>
      </c>
      <c r="H605" s="36" t="s">
        <v>3482</v>
      </c>
    </row>
    <row r="606" spans="1:8" ht="20.5">
      <c r="A606" s="28" t="s">
        <v>17</v>
      </c>
      <c r="B606" s="8" t="s">
        <v>7699</v>
      </c>
      <c r="C606" s="37" t="s">
        <v>7693</v>
      </c>
      <c r="D606" s="28" t="s">
        <v>3705</v>
      </c>
      <c r="E606" s="36" t="s">
        <v>6738</v>
      </c>
      <c r="F606" s="28" t="s">
        <v>5180</v>
      </c>
      <c r="G606" s="36" t="s">
        <v>6739</v>
      </c>
      <c r="H606" s="36" t="s">
        <v>3482</v>
      </c>
    </row>
    <row r="607" spans="1:8" ht="50.5">
      <c r="A607" s="28" t="s">
        <v>171</v>
      </c>
      <c r="B607" s="8" t="s">
        <v>7714</v>
      </c>
      <c r="C607" s="37" t="s">
        <v>7693</v>
      </c>
      <c r="D607" s="28" t="s">
        <v>3442</v>
      </c>
      <c r="E607" s="36" t="s">
        <v>6740</v>
      </c>
      <c r="F607" s="28" t="s">
        <v>5180</v>
      </c>
      <c r="G607" s="36" t="s">
        <v>6741</v>
      </c>
      <c r="H607" s="36" t="s">
        <v>6514</v>
      </c>
    </row>
    <row r="608" spans="1:8" ht="20.5">
      <c r="A608" s="28" t="s">
        <v>1220</v>
      </c>
      <c r="B608" s="37" t="s">
        <v>7732</v>
      </c>
      <c r="C608" s="37" t="s">
        <v>7693</v>
      </c>
      <c r="D608" s="28" t="s">
        <v>6526</v>
      </c>
      <c r="E608" s="36" t="s">
        <v>6742</v>
      </c>
      <c r="F608" s="28" t="s">
        <v>5173</v>
      </c>
      <c r="G608" s="36" t="s">
        <v>6743</v>
      </c>
      <c r="H608" s="36" t="s">
        <v>3482</v>
      </c>
    </row>
    <row r="609" spans="1:8" ht="50.5">
      <c r="A609" s="28" t="s">
        <v>1220</v>
      </c>
      <c r="B609" s="37" t="s">
        <v>7732</v>
      </c>
      <c r="C609" s="37" t="s">
        <v>7693</v>
      </c>
      <c r="D609" s="28" t="s">
        <v>6526</v>
      </c>
      <c r="E609" s="36" t="s">
        <v>6744</v>
      </c>
      <c r="F609" s="28" t="s">
        <v>5173</v>
      </c>
      <c r="G609" s="36" t="s">
        <v>6745</v>
      </c>
      <c r="H609" s="36" t="s">
        <v>3482</v>
      </c>
    </row>
    <row r="610" spans="1:8" ht="40.5">
      <c r="A610" s="28" t="s">
        <v>1220</v>
      </c>
      <c r="B610" s="37" t="s">
        <v>7732</v>
      </c>
      <c r="C610" s="37" t="s">
        <v>7693</v>
      </c>
      <c r="D610" s="28" t="s">
        <v>6526</v>
      </c>
      <c r="E610" s="36" t="s">
        <v>6746</v>
      </c>
      <c r="F610" s="28" t="s">
        <v>5173</v>
      </c>
      <c r="G610" s="36" t="s">
        <v>6546</v>
      </c>
      <c r="H610" s="36" t="s">
        <v>3482</v>
      </c>
    </row>
    <row r="611" spans="1:8" ht="20.5">
      <c r="A611" s="28" t="s">
        <v>3315</v>
      </c>
      <c r="B611" s="8" t="s">
        <v>7705</v>
      </c>
      <c r="C611" s="37" t="s">
        <v>7695</v>
      </c>
      <c r="D611" s="28" t="s">
        <v>1286</v>
      </c>
      <c r="E611" s="36" t="s">
        <v>6747</v>
      </c>
      <c r="F611" s="28" t="s">
        <v>5173</v>
      </c>
      <c r="G611" s="36" t="s">
        <v>6748</v>
      </c>
      <c r="H611" s="36" t="s">
        <v>3482</v>
      </c>
    </row>
    <row r="612" spans="1:8" ht="20.5">
      <c r="A612" s="28" t="s">
        <v>1220</v>
      </c>
      <c r="B612" s="37" t="s">
        <v>7732</v>
      </c>
      <c r="C612" s="37" t="s">
        <v>7693</v>
      </c>
      <c r="D612" s="28" t="s">
        <v>6526</v>
      </c>
      <c r="E612" s="36" t="s">
        <v>6749</v>
      </c>
      <c r="F612" s="28" t="s">
        <v>5173</v>
      </c>
      <c r="G612" s="36" t="s">
        <v>6546</v>
      </c>
      <c r="H612" s="36" t="s">
        <v>3482</v>
      </c>
    </row>
    <row r="613" spans="1:8" ht="30.5">
      <c r="A613" s="28" t="s">
        <v>1597</v>
      </c>
      <c r="B613" s="8" t="s">
        <v>7704</v>
      </c>
      <c r="C613" s="37" t="s">
        <v>7693</v>
      </c>
      <c r="D613" s="28" t="s">
        <v>1662</v>
      </c>
      <c r="E613" s="36" t="s">
        <v>6750</v>
      </c>
      <c r="F613" s="28" t="s">
        <v>5173</v>
      </c>
      <c r="G613" s="36" t="s">
        <v>6751</v>
      </c>
      <c r="H613" s="36" t="s">
        <v>6752</v>
      </c>
    </row>
    <row r="614" spans="1:8" ht="30.5">
      <c r="A614" s="28" t="s">
        <v>1220</v>
      </c>
      <c r="B614" s="37" t="s">
        <v>7732</v>
      </c>
      <c r="C614" s="37" t="s">
        <v>7693</v>
      </c>
      <c r="D614" s="28" t="s">
        <v>6526</v>
      </c>
      <c r="E614" s="36" t="s">
        <v>6753</v>
      </c>
      <c r="F614" s="28" t="s">
        <v>5173</v>
      </c>
      <c r="G614" s="36" t="s">
        <v>6754</v>
      </c>
      <c r="H614" s="36" t="s">
        <v>3482</v>
      </c>
    </row>
    <row r="615" spans="1:8" ht="70.5">
      <c r="A615" s="28" t="s">
        <v>1220</v>
      </c>
      <c r="B615" s="37" t="s">
        <v>7732</v>
      </c>
      <c r="C615" s="37" t="s">
        <v>7693</v>
      </c>
      <c r="D615" s="28" t="s">
        <v>6526</v>
      </c>
      <c r="E615" s="36" t="s">
        <v>6755</v>
      </c>
      <c r="F615" s="28" t="s">
        <v>5173</v>
      </c>
      <c r="G615" s="36" t="s">
        <v>6756</v>
      </c>
      <c r="H615" s="36" t="s">
        <v>3482</v>
      </c>
    </row>
    <row r="616" spans="1:8" ht="30.5">
      <c r="A616" s="28" t="s">
        <v>1220</v>
      </c>
      <c r="B616" s="37" t="s">
        <v>7732</v>
      </c>
      <c r="C616" s="37" t="s">
        <v>7693</v>
      </c>
      <c r="D616" s="28" t="s">
        <v>6526</v>
      </c>
      <c r="E616" s="36" t="s">
        <v>6757</v>
      </c>
      <c r="F616" s="28" t="s">
        <v>5173</v>
      </c>
      <c r="G616" s="36" t="s">
        <v>6546</v>
      </c>
      <c r="H616" s="36" t="s">
        <v>3482</v>
      </c>
    </row>
    <row r="617" spans="1:8" ht="12.5">
      <c r="A617" s="28" t="s">
        <v>1220</v>
      </c>
      <c r="B617" s="37" t="s">
        <v>7732</v>
      </c>
      <c r="C617" s="37" t="s">
        <v>7693</v>
      </c>
      <c r="D617" s="28" t="s">
        <v>6526</v>
      </c>
      <c r="E617" s="36" t="s">
        <v>6758</v>
      </c>
      <c r="F617" s="28" t="s">
        <v>5173</v>
      </c>
      <c r="G617" s="36" t="s">
        <v>6546</v>
      </c>
      <c r="H617" s="36" t="s">
        <v>3482</v>
      </c>
    </row>
    <row r="618" spans="1:8" ht="30.5">
      <c r="A618" s="28" t="s">
        <v>1220</v>
      </c>
      <c r="B618" s="37" t="s">
        <v>7732</v>
      </c>
      <c r="C618" s="37" t="s">
        <v>7693</v>
      </c>
      <c r="D618" s="28" t="s">
        <v>6526</v>
      </c>
      <c r="E618" s="36" t="s">
        <v>6759</v>
      </c>
      <c r="F618" s="28" t="s">
        <v>5173</v>
      </c>
      <c r="G618" s="36" t="s">
        <v>6760</v>
      </c>
      <c r="H618" s="36" t="s">
        <v>3482</v>
      </c>
    </row>
    <row r="619" spans="1:8" ht="30.5">
      <c r="A619" s="28" t="s">
        <v>1220</v>
      </c>
      <c r="B619" s="37" t="s">
        <v>7732</v>
      </c>
      <c r="C619" s="37" t="s">
        <v>7693</v>
      </c>
      <c r="D619" s="28" t="s">
        <v>6526</v>
      </c>
      <c r="E619" s="36" t="s">
        <v>6761</v>
      </c>
      <c r="F619" s="28" t="s">
        <v>5173</v>
      </c>
      <c r="G619" s="36" t="s">
        <v>6762</v>
      </c>
      <c r="H619" s="36" t="s">
        <v>3482</v>
      </c>
    </row>
    <row r="620" spans="1:8" ht="60.5">
      <c r="A620" s="28" t="s">
        <v>1220</v>
      </c>
      <c r="B620" s="37" t="s">
        <v>7732</v>
      </c>
      <c r="C620" s="37" t="s">
        <v>7693</v>
      </c>
      <c r="D620" s="28" t="s">
        <v>6526</v>
      </c>
      <c r="E620" s="36" t="s">
        <v>6763</v>
      </c>
      <c r="F620" s="28" t="s">
        <v>5173</v>
      </c>
      <c r="G620" s="36" t="s">
        <v>6764</v>
      </c>
      <c r="H620" s="36" t="s">
        <v>3482</v>
      </c>
    </row>
    <row r="621" spans="1:8" ht="40.5">
      <c r="A621" s="28" t="s">
        <v>1220</v>
      </c>
      <c r="B621" s="37" t="s">
        <v>7732</v>
      </c>
      <c r="C621" s="37" t="s">
        <v>7693</v>
      </c>
      <c r="D621" s="28" t="s">
        <v>6526</v>
      </c>
      <c r="E621" s="36" t="s">
        <v>6765</v>
      </c>
      <c r="F621" s="28" t="s">
        <v>5173</v>
      </c>
      <c r="G621" s="36" t="s">
        <v>6766</v>
      </c>
      <c r="H621" s="36" t="s">
        <v>3482</v>
      </c>
    </row>
    <row r="622" spans="1:8" ht="70.5">
      <c r="A622" s="28" t="s">
        <v>2264</v>
      </c>
      <c r="B622" s="8" t="s">
        <v>3603</v>
      </c>
      <c r="C622" s="37" t="s">
        <v>7693</v>
      </c>
      <c r="D622" s="28" t="s">
        <v>2299</v>
      </c>
      <c r="E622" s="36" t="s">
        <v>6767</v>
      </c>
      <c r="F622" s="28" t="s">
        <v>5173</v>
      </c>
      <c r="G622" s="36" t="s">
        <v>6768</v>
      </c>
      <c r="H622" s="36" t="s">
        <v>3482</v>
      </c>
    </row>
    <row r="623" spans="1:8" ht="20.5">
      <c r="A623" s="28" t="s">
        <v>287</v>
      </c>
      <c r="B623" s="8" t="s">
        <v>7700</v>
      </c>
      <c r="C623" s="37" t="s">
        <v>7693</v>
      </c>
      <c r="D623" s="28" t="s">
        <v>3497</v>
      </c>
      <c r="E623" s="36" t="s">
        <v>6769</v>
      </c>
      <c r="F623" s="28" t="s">
        <v>5173</v>
      </c>
      <c r="G623" s="36" t="s">
        <v>6546</v>
      </c>
      <c r="H623" s="36" t="s">
        <v>3482</v>
      </c>
    </row>
    <row r="624" spans="1:8" ht="40.5">
      <c r="A624" s="28" t="s">
        <v>1220</v>
      </c>
      <c r="B624" s="37" t="s">
        <v>7732</v>
      </c>
      <c r="C624" s="37" t="s">
        <v>7693</v>
      </c>
      <c r="D624" s="28" t="s">
        <v>6526</v>
      </c>
      <c r="E624" s="36" t="s">
        <v>6770</v>
      </c>
      <c r="F624" s="28" t="s">
        <v>5173</v>
      </c>
      <c r="G624" s="36" t="s">
        <v>6771</v>
      </c>
      <c r="H624" s="36" t="s">
        <v>3482</v>
      </c>
    </row>
    <row r="625" spans="1:8" ht="60.5">
      <c r="A625" s="28" t="s">
        <v>1220</v>
      </c>
      <c r="B625" s="37" t="s">
        <v>7732</v>
      </c>
      <c r="C625" s="37" t="s">
        <v>7693</v>
      </c>
      <c r="D625" s="28" t="s">
        <v>6526</v>
      </c>
      <c r="E625" s="36" t="s">
        <v>6772</v>
      </c>
      <c r="F625" s="28" t="s">
        <v>5173</v>
      </c>
      <c r="G625" s="36" t="s">
        <v>6773</v>
      </c>
      <c r="H625" s="36" t="s">
        <v>3482</v>
      </c>
    </row>
    <row r="626" spans="1:8" ht="20.5">
      <c r="A626" s="28" t="s">
        <v>1220</v>
      </c>
      <c r="B626" s="37" t="s">
        <v>7732</v>
      </c>
      <c r="C626" s="37" t="s">
        <v>7693</v>
      </c>
      <c r="D626" s="28" t="s">
        <v>6526</v>
      </c>
      <c r="E626" s="36" t="s">
        <v>6774</v>
      </c>
      <c r="F626" s="28" t="s">
        <v>5173</v>
      </c>
      <c r="G626" s="36" t="s">
        <v>6775</v>
      </c>
      <c r="H626" s="36" t="s">
        <v>3482</v>
      </c>
    </row>
    <row r="627" spans="1:8" ht="40.5">
      <c r="A627" s="28" t="s">
        <v>1220</v>
      </c>
      <c r="B627" s="37" t="s">
        <v>7732</v>
      </c>
      <c r="C627" s="37" t="s">
        <v>7693</v>
      </c>
      <c r="D627" s="28" t="s">
        <v>6526</v>
      </c>
      <c r="E627" s="36" t="s">
        <v>6776</v>
      </c>
      <c r="F627" s="28" t="s">
        <v>5173</v>
      </c>
      <c r="G627" s="36" t="s">
        <v>6777</v>
      </c>
      <c r="H627" s="36" t="s">
        <v>3482</v>
      </c>
    </row>
    <row r="628" spans="1:8" ht="30.5">
      <c r="A628" s="28" t="s">
        <v>1220</v>
      </c>
      <c r="B628" s="37" t="s">
        <v>7732</v>
      </c>
      <c r="C628" s="37" t="s">
        <v>7693</v>
      </c>
      <c r="D628" s="28" t="s">
        <v>6526</v>
      </c>
      <c r="E628" s="36" t="s">
        <v>6778</v>
      </c>
      <c r="F628" s="28" t="s">
        <v>5173</v>
      </c>
      <c r="G628" s="36" t="s">
        <v>6779</v>
      </c>
      <c r="H628" s="36" t="s">
        <v>3482</v>
      </c>
    </row>
    <row r="629" spans="1:8" ht="30.5">
      <c r="A629" s="28" t="s">
        <v>1220</v>
      </c>
      <c r="B629" s="37" t="s">
        <v>7732</v>
      </c>
      <c r="C629" s="37" t="s">
        <v>7693</v>
      </c>
      <c r="D629" s="28" t="s">
        <v>6526</v>
      </c>
      <c r="E629" s="36" t="s">
        <v>6780</v>
      </c>
      <c r="F629" s="28" t="s">
        <v>5173</v>
      </c>
      <c r="G629" s="36" t="s">
        <v>6781</v>
      </c>
      <c r="H629" s="36" t="s">
        <v>3482</v>
      </c>
    </row>
    <row r="630" spans="1:8" ht="20.5">
      <c r="A630" s="28" t="s">
        <v>1220</v>
      </c>
      <c r="B630" s="37" t="s">
        <v>7732</v>
      </c>
      <c r="C630" s="37" t="s">
        <v>7693</v>
      </c>
      <c r="D630" s="28" t="s">
        <v>6526</v>
      </c>
      <c r="E630" s="36" t="s">
        <v>6782</v>
      </c>
      <c r="F630" s="28" t="s">
        <v>5173</v>
      </c>
      <c r="G630" s="36" t="s">
        <v>6783</v>
      </c>
      <c r="H630" s="36" t="s">
        <v>3482</v>
      </c>
    </row>
    <row r="631" spans="1:8" ht="40.5">
      <c r="A631" s="28" t="s">
        <v>1220</v>
      </c>
      <c r="B631" s="37" t="s">
        <v>7732</v>
      </c>
      <c r="C631" s="37" t="s">
        <v>7693</v>
      </c>
      <c r="D631" s="28" t="s">
        <v>6526</v>
      </c>
      <c r="E631" s="36" t="s">
        <v>6784</v>
      </c>
      <c r="F631" s="28" t="s">
        <v>5173</v>
      </c>
      <c r="G631" s="36" t="s">
        <v>6785</v>
      </c>
      <c r="H631" s="36" t="s">
        <v>3482</v>
      </c>
    </row>
    <row r="632" spans="1:8" ht="20.5">
      <c r="A632" s="28" t="s">
        <v>1220</v>
      </c>
      <c r="B632" s="37" t="s">
        <v>7732</v>
      </c>
      <c r="C632" s="37" t="s">
        <v>7693</v>
      </c>
      <c r="D632" s="28" t="s">
        <v>6526</v>
      </c>
      <c r="E632" s="36" t="s">
        <v>6786</v>
      </c>
      <c r="F632" s="28" t="s">
        <v>5173</v>
      </c>
      <c r="G632" s="36" t="s">
        <v>6546</v>
      </c>
      <c r="H632" s="36" t="s">
        <v>3482</v>
      </c>
    </row>
    <row r="633" spans="1:8" ht="50.5">
      <c r="A633" s="28" t="s">
        <v>1788</v>
      </c>
      <c r="B633" s="8" t="s">
        <v>7706</v>
      </c>
      <c r="C633" s="37" t="s">
        <v>7693</v>
      </c>
      <c r="D633" s="28" t="s">
        <v>1735</v>
      </c>
      <c r="E633" s="36" t="s">
        <v>6787</v>
      </c>
      <c r="F633" s="28" t="s">
        <v>5173</v>
      </c>
      <c r="G633" s="36" t="s">
        <v>6788</v>
      </c>
      <c r="H633" s="36" t="s">
        <v>3482</v>
      </c>
    </row>
    <row r="634" spans="1:8" ht="20.5">
      <c r="A634" s="28" t="s">
        <v>17</v>
      </c>
      <c r="B634" s="8" t="s">
        <v>7699</v>
      </c>
      <c r="C634" s="37" t="s">
        <v>7693</v>
      </c>
      <c r="D634" s="28" t="s">
        <v>3705</v>
      </c>
      <c r="E634" s="36" t="s">
        <v>6789</v>
      </c>
      <c r="F634" s="28" t="s">
        <v>5173</v>
      </c>
      <c r="G634" s="36" t="s">
        <v>6790</v>
      </c>
      <c r="H634" s="36" t="s">
        <v>5178</v>
      </c>
    </row>
    <row r="635" spans="1:8" ht="20.5">
      <c r="A635" s="28" t="s">
        <v>1900</v>
      </c>
      <c r="B635" s="8" t="s">
        <v>7781</v>
      </c>
      <c r="C635" s="37" t="s">
        <v>7693</v>
      </c>
      <c r="D635" s="28" t="s">
        <v>2055</v>
      </c>
      <c r="E635" s="36" t="s">
        <v>6791</v>
      </c>
      <c r="F635" s="28" t="s">
        <v>5173</v>
      </c>
      <c r="G635" s="36" t="s">
        <v>6546</v>
      </c>
      <c r="H635" s="36" t="s">
        <v>3482</v>
      </c>
    </row>
    <row r="636" spans="1:8" ht="20.5">
      <c r="A636" s="28" t="s">
        <v>464</v>
      </c>
      <c r="B636" s="8" t="s">
        <v>7710</v>
      </c>
      <c r="C636" s="37" t="s">
        <v>7693</v>
      </c>
      <c r="D636" s="28" t="s">
        <v>539</v>
      </c>
      <c r="E636" s="36" t="s">
        <v>6792</v>
      </c>
      <c r="F636" s="28" t="s">
        <v>5173</v>
      </c>
      <c r="G636" s="36" t="s">
        <v>6546</v>
      </c>
      <c r="H636" s="36" t="s">
        <v>3482</v>
      </c>
    </row>
    <row r="637" spans="1:8" ht="20.5">
      <c r="A637" s="28" t="s">
        <v>2412</v>
      </c>
      <c r="B637" s="8" t="s">
        <v>7709</v>
      </c>
      <c r="C637" s="37" t="s">
        <v>7693</v>
      </c>
      <c r="D637" s="28" t="s">
        <v>2523</v>
      </c>
      <c r="E637" s="36" t="s">
        <v>6793</v>
      </c>
      <c r="F637" s="28" t="s">
        <v>5173</v>
      </c>
      <c r="G637" s="36" t="s">
        <v>6794</v>
      </c>
      <c r="H637" s="36" t="s">
        <v>3482</v>
      </c>
    </row>
    <row r="638" spans="1:8" ht="20.5">
      <c r="A638" s="28" t="s">
        <v>1220</v>
      </c>
      <c r="B638" s="37" t="s">
        <v>7732</v>
      </c>
      <c r="C638" s="37" t="s">
        <v>7693</v>
      </c>
      <c r="D638" s="28" t="s">
        <v>6526</v>
      </c>
      <c r="E638" s="36" t="s">
        <v>6795</v>
      </c>
      <c r="F638" s="28" t="s">
        <v>5173</v>
      </c>
      <c r="G638" s="36" t="s">
        <v>6546</v>
      </c>
      <c r="H638" s="36" t="s">
        <v>3482</v>
      </c>
    </row>
    <row r="639" spans="1:8" ht="20.5">
      <c r="A639" s="28" t="s">
        <v>464</v>
      </c>
      <c r="B639" s="8" t="s">
        <v>7710</v>
      </c>
      <c r="C639" s="37" t="s">
        <v>7693</v>
      </c>
      <c r="D639" s="28" t="s">
        <v>478</v>
      </c>
      <c r="E639" s="36" t="s">
        <v>6796</v>
      </c>
      <c r="F639" s="28" t="s">
        <v>5173</v>
      </c>
      <c r="G639" s="36" t="s">
        <v>6546</v>
      </c>
      <c r="H639" s="36" t="s">
        <v>5235</v>
      </c>
    </row>
    <row r="640" spans="1:8" ht="20.5">
      <c r="A640" s="28" t="s">
        <v>17</v>
      </c>
      <c r="B640" s="8" t="s">
        <v>7699</v>
      </c>
      <c r="C640" s="37" t="s">
        <v>7693</v>
      </c>
      <c r="D640" s="28" t="s">
        <v>3705</v>
      </c>
      <c r="E640" s="36" t="s">
        <v>6797</v>
      </c>
      <c r="F640" s="28" t="s">
        <v>5173</v>
      </c>
      <c r="G640" s="36" t="s">
        <v>6798</v>
      </c>
      <c r="H640" s="36" t="s">
        <v>6799</v>
      </c>
    </row>
    <row r="641" spans="1:8" ht="20.5">
      <c r="A641" s="28" t="s">
        <v>1220</v>
      </c>
      <c r="B641" s="37" t="s">
        <v>7732</v>
      </c>
      <c r="C641" s="37" t="s">
        <v>7693</v>
      </c>
      <c r="D641" s="28" t="s">
        <v>6526</v>
      </c>
      <c r="E641" s="36" t="s">
        <v>6800</v>
      </c>
      <c r="F641" s="28" t="s">
        <v>5173</v>
      </c>
      <c r="G641" s="36" t="s">
        <v>6801</v>
      </c>
      <c r="H641" s="36" t="s">
        <v>3482</v>
      </c>
    </row>
    <row r="642" spans="1:8" ht="40.5">
      <c r="A642" s="28" t="s">
        <v>1220</v>
      </c>
      <c r="B642" s="37" t="s">
        <v>7732</v>
      </c>
      <c r="C642" s="37" t="s">
        <v>7693</v>
      </c>
      <c r="D642" s="28" t="s">
        <v>6526</v>
      </c>
      <c r="E642" s="36" t="s">
        <v>6802</v>
      </c>
      <c r="F642" s="28" t="s">
        <v>5173</v>
      </c>
      <c r="G642" s="36" t="s">
        <v>6803</v>
      </c>
      <c r="H642" s="36" t="s">
        <v>3482</v>
      </c>
    </row>
    <row r="643" spans="1:8" ht="20.5">
      <c r="A643" s="28" t="s">
        <v>17</v>
      </c>
      <c r="B643" s="8" t="s">
        <v>7699</v>
      </c>
      <c r="C643" s="37" t="s">
        <v>7693</v>
      </c>
      <c r="D643" s="28" t="s">
        <v>3309</v>
      </c>
      <c r="E643" s="36" t="s">
        <v>6804</v>
      </c>
      <c r="F643" s="28" t="s">
        <v>5173</v>
      </c>
      <c r="G643" s="36" t="s">
        <v>6805</v>
      </c>
      <c r="H643" s="36" t="s">
        <v>3482</v>
      </c>
    </row>
    <row r="644" spans="1:8" ht="20.5">
      <c r="A644" s="28" t="s">
        <v>1220</v>
      </c>
      <c r="B644" s="37" t="s">
        <v>7732</v>
      </c>
      <c r="C644" s="37" t="s">
        <v>7693</v>
      </c>
      <c r="D644" s="28" t="s">
        <v>6526</v>
      </c>
      <c r="E644" s="36" t="s">
        <v>6806</v>
      </c>
      <c r="F644" s="28" t="s">
        <v>5173</v>
      </c>
      <c r="G644" s="36" t="s">
        <v>6546</v>
      </c>
      <c r="H644" s="36" t="s">
        <v>3482</v>
      </c>
    </row>
    <row r="645" spans="1:8" ht="50.5">
      <c r="A645" s="28" t="s">
        <v>1597</v>
      </c>
      <c r="B645" s="8" t="s">
        <v>7704</v>
      </c>
      <c r="C645" s="37" t="s">
        <v>7693</v>
      </c>
      <c r="D645" s="28" t="s">
        <v>1662</v>
      </c>
      <c r="E645" s="36" t="s">
        <v>6807</v>
      </c>
      <c r="F645" s="28" t="s">
        <v>5173</v>
      </c>
      <c r="G645" s="36" t="s">
        <v>6808</v>
      </c>
      <c r="H645" s="36" t="s">
        <v>3482</v>
      </c>
    </row>
    <row r="646" spans="1:8" ht="30.5">
      <c r="A646" s="28" t="s">
        <v>1220</v>
      </c>
      <c r="B646" s="37" t="s">
        <v>7732</v>
      </c>
      <c r="C646" s="37" t="s">
        <v>7693</v>
      </c>
      <c r="D646" s="28" t="s">
        <v>6526</v>
      </c>
      <c r="E646" s="36" t="s">
        <v>6809</v>
      </c>
      <c r="F646" s="28" t="s">
        <v>5173</v>
      </c>
      <c r="G646" s="36" t="s">
        <v>6546</v>
      </c>
      <c r="H646" s="36" t="s">
        <v>3482</v>
      </c>
    </row>
    <row r="647" spans="1:8" ht="30.5">
      <c r="A647" s="28" t="s">
        <v>287</v>
      </c>
      <c r="B647" s="8" t="s">
        <v>7700</v>
      </c>
      <c r="C647" s="37" t="s">
        <v>7693</v>
      </c>
      <c r="D647" s="28" t="s">
        <v>3497</v>
      </c>
      <c r="E647" s="36" t="s">
        <v>6810</v>
      </c>
      <c r="F647" s="28" t="s">
        <v>5173</v>
      </c>
      <c r="G647" s="36" t="s">
        <v>6546</v>
      </c>
      <c r="H647" s="36" t="s">
        <v>3482</v>
      </c>
    </row>
    <row r="648" spans="1:8" ht="30.5">
      <c r="A648" s="28" t="s">
        <v>17</v>
      </c>
      <c r="B648" s="8" t="s">
        <v>7699</v>
      </c>
      <c r="C648" s="37" t="s">
        <v>7693</v>
      </c>
      <c r="D648" s="28" t="s">
        <v>3309</v>
      </c>
      <c r="E648" s="36" t="s">
        <v>6811</v>
      </c>
      <c r="F648" s="28" t="s">
        <v>5173</v>
      </c>
      <c r="G648" s="36" t="s">
        <v>6812</v>
      </c>
      <c r="H648" s="36" t="s">
        <v>3482</v>
      </c>
    </row>
    <row r="649" spans="1:8" ht="30.5">
      <c r="A649" s="28" t="s">
        <v>1065</v>
      </c>
      <c r="B649" s="8" t="s">
        <v>7702</v>
      </c>
      <c r="C649" s="37" t="s">
        <v>7695</v>
      </c>
      <c r="D649" s="28" t="s">
        <v>7697</v>
      </c>
      <c r="E649" s="36" t="s">
        <v>6813</v>
      </c>
      <c r="F649" s="28" t="s">
        <v>5173</v>
      </c>
      <c r="G649" s="36" t="s">
        <v>6546</v>
      </c>
      <c r="H649" s="36" t="s">
        <v>6814</v>
      </c>
    </row>
    <row r="650" spans="1:8" ht="30.5">
      <c r="A650" s="28" t="s">
        <v>1220</v>
      </c>
      <c r="B650" s="37" t="s">
        <v>7732</v>
      </c>
      <c r="C650" s="37" t="s">
        <v>7693</v>
      </c>
      <c r="D650" s="28" t="s">
        <v>6526</v>
      </c>
      <c r="E650" s="36" t="s">
        <v>6815</v>
      </c>
      <c r="F650" s="28" t="s">
        <v>5173</v>
      </c>
      <c r="G650" s="36" t="s">
        <v>6816</v>
      </c>
      <c r="H650" s="36" t="s">
        <v>3482</v>
      </c>
    </row>
    <row r="651" spans="1:8" ht="20.5">
      <c r="A651" s="28" t="s">
        <v>1220</v>
      </c>
      <c r="B651" s="37" t="s">
        <v>7732</v>
      </c>
      <c r="C651" s="37" t="s">
        <v>7693</v>
      </c>
      <c r="D651" s="28" t="s">
        <v>6526</v>
      </c>
      <c r="E651" s="36" t="s">
        <v>6817</v>
      </c>
      <c r="F651" s="28" t="s">
        <v>5173</v>
      </c>
      <c r="G651" s="36" t="s">
        <v>6546</v>
      </c>
      <c r="H651" s="36" t="s">
        <v>3482</v>
      </c>
    </row>
    <row r="652" spans="1:8" ht="20.5">
      <c r="A652" s="28" t="s">
        <v>1220</v>
      </c>
      <c r="B652" s="37" t="s">
        <v>7732</v>
      </c>
      <c r="C652" s="37" t="s">
        <v>7693</v>
      </c>
      <c r="D652" s="28" t="s">
        <v>6526</v>
      </c>
      <c r="E652" s="36" t="s">
        <v>6818</v>
      </c>
      <c r="F652" s="28" t="s">
        <v>5173</v>
      </c>
      <c r="G652" s="36" t="s">
        <v>6546</v>
      </c>
      <c r="H652" s="36" t="s">
        <v>3482</v>
      </c>
    </row>
    <row r="653" spans="1:8" ht="20.5">
      <c r="A653" s="28" t="s">
        <v>1220</v>
      </c>
      <c r="B653" s="37" t="s">
        <v>7732</v>
      </c>
      <c r="C653" s="37" t="s">
        <v>7693</v>
      </c>
      <c r="D653" s="28" t="s">
        <v>6526</v>
      </c>
      <c r="E653" s="36" t="s">
        <v>6819</v>
      </c>
      <c r="F653" s="28" t="s">
        <v>5173</v>
      </c>
      <c r="G653" s="36" t="s">
        <v>6546</v>
      </c>
      <c r="H653" s="36" t="s">
        <v>3482</v>
      </c>
    </row>
    <row r="654" spans="1:8" ht="20.5">
      <c r="A654" s="28" t="s">
        <v>1220</v>
      </c>
      <c r="B654" s="37" t="s">
        <v>7732</v>
      </c>
      <c r="C654" s="37" t="s">
        <v>7693</v>
      </c>
      <c r="D654" s="28" t="s">
        <v>6526</v>
      </c>
      <c r="E654" s="36" t="s">
        <v>6820</v>
      </c>
      <c r="F654" s="28" t="s">
        <v>5173</v>
      </c>
      <c r="G654" s="36" t="s">
        <v>6546</v>
      </c>
      <c r="H654" s="36" t="s">
        <v>3482</v>
      </c>
    </row>
    <row r="655" spans="1:8" ht="20.5">
      <c r="A655" s="28" t="s">
        <v>1220</v>
      </c>
      <c r="B655" s="8" t="s">
        <v>7732</v>
      </c>
      <c r="C655" s="37" t="s">
        <v>7693</v>
      </c>
      <c r="D655" s="28" t="s">
        <v>1308</v>
      </c>
      <c r="E655" s="36" t="s">
        <v>6821</v>
      </c>
      <c r="F655" s="28" t="s">
        <v>5173</v>
      </c>
      <c r="G655" s="36" t="s">
        <v>6546</v>
      </c>
      <c r="H655" s="36" t="s">
        <v>3482</v>
      </c>
    </row>
    <row r="656" spans="1:8" ht="20.5">
      <c r="A656" s="28" t="s">
        <v>915</v>
      </c>
      <c r="B656" s="8" t="s">
        <v>7701</v>
      </c>
      <c r="C656" s="37" t="s">
        <v>7693</v>
      </c>
      <c r="D656" s="28" t="s">
        <v>972</v>
      </c>
      <c r="E656" s="36" t="s">
        <v>6822</v>
      </c>
      <c r="F656" s="28" t="s">
        <v>5173</v>
      </c>
      <c r="G656" s="36" t="s">
        <v>6823</v>
      </c>
      <c r="H656" s="36" t="s">
        <v>6824</v>
      </c>
    </row>
    <row r="657" spans="1:8" ht="50.5">
      <c r="A657" s="28" t="s">
        <v>464</v>
      </c>
      <c r="B657" s="8" t="s">
        <v>7710</v>
      </c>
      <c r="C657" s="37" t="s">
        <v>7693</v>
      </c>
      <c r="D657" s="28" t="s">
        <v>516</v>
      </c>
      <c r="E657" s="36" t="s">
        <v>6825</v>
      </c>
      <c r="F657" s="28" t="s">
        <v>5173</v>
      </c>
      <c r="G657" s="36" t="s">
        <v>6826</v>
      </c>
      <c r="H657" s="36" t="s">
        <v>3482</v>
      </c>
    </row>
    <row r="658" spans="1:8" ht="40.5">
      <c r="A658" s="28" t="s">
        <v>287</v>
      </c>
      <c r="B658" s="8" t="s">
        <v>7700</v>
      </c>
      <c r="C658" s="37" t="s">
        <v>7693</v>
      </c>
      <c r="D658" s="28" t="s">
        <v>3497</v>
      </c>
      <c r="E658" s="36" t="s">
        <v>6827</v>
      </c>
      <c r="F658" s="28" t="s">
        <v>5173</v>
      </c>
      <c r="G658" s="36" t="s">
        <v>6828</v>
      </c>
      <c r="H658" s="36" t="s">
        <v>3482</v>
      </c>
    </row>
    <row r="659" spans="1:8" ht="30.5">
      <c r="A659" s="28" t="s">
        <v>2909</v>
      </c>
      <c r="B659" s="8" t="s">
        <v>7717</v>
      </c>
      <c r="C659" s="37" t="s">
        <v>7693</v>
      </c>
      <c r="D659" s="28" t="s">
        <v>5106</v>
      </c>
      <c r="E659" s="36" t="s">
        <v>6829</v>
      </c>
      <c r="F659" s="28" t="s">
        <v>5173</v>
      </c>
      <c r="G659" s="36" t="s">
        <v>6546</v>
      </c>
      <c r="H659" s="36" t="s">
        <v>3482</v>
      </c>
    </row>
    <row r="660" spans="1:8" ht="30.5">
      <c r="A660" s="28" t="s">
        <v>1900</v>
      </c>
      <c r="B660" s="8" t="s">
        <v>7781</v>
      </c>
      <c r="C660" s="37" t="s">
        <v>7693</v>
      </c>
      <c r="D660" s="28" t="s">
        <v>2055</v>
      </c>
      <c r="E660" s="36" t="s">
        <v>6830</v>
      </c>
      <c r="F660" s="28" t="s">
        <v>5173</v>
      </c>
      <c r="G660" s="36" t="s">
        <v>6831</v>
      </c>
      <c r="H660" s="36" t="s">
        <v>3482</v>
      </c>
    </row>
    <row r="661" spans="1:8" ht="30.5">
      <c r="A661" s="28" t="s">
        <v>1900</v>
      </c>
      <c r="B661" s="8" t="s">
        <v>7781</v>
      </c>
      <c r="C661" s="37" t="s">
        <v>7693</v>
      </c>
      <c r="D661" s="28" t="s">
        <v>2055</v>
      </c>
      <c r="E661" s="36" t="s">
        <v>6832</v>
      </c>
      <c r="F661" s="28" t="s">
        <v>5173</v>
      </c>
      <c r="G661" s="36" t="s">
        <v>6546</v>
      </c>
      <c r="H661" s="36" t="s">
        <v>3482</v>
      </c>
    </row>
    <row r="662" spans="1:8" ht="30.5">
      <c r="A662" s="28" t="s">
        <v>1220</v>
      </c>
      <c r="B662" s="37" t="s">
        <v>7732</v>
      </c>
      <c r="C662" s="37" t="s">
        <v>7693</v>
      </c>
      <c r="D662" s="28" t="s">
        <v>6526</v>
      </c>
      <c r="E662" s="36" t="s">
        <v>6833</v>
      </c>
      <c r="F662" s="28" t="s">
        <v>5173</v>
      </c>
      <c r="G662" s="36" t="s">
        <v>6834</v>
      </c>
      <c r="H662" s="36" t="s">
        <v>3482</v>
      </c>
    </row>
    <row r="663" spans="1:8" ht="50.5">
      <c r="A663" s="28" t="s">
        <v>1220</v>
      </c>
      <c r="B663" s="37" t="s">
        <v>7732</v>
      </c>
      <c r="C663" s="37" t="s">
        <v>7693</v>
      </c>
      <c r="D663" s="28" t="s">
        <v>6526</v>
      </c>
      <c r="E663" s="36" t="s">
        <v>6835</v>
      </c>
      <c r="F663" s="28" t="s">
        <v>5173</v>
      </c>
      <c r="G663" s="36" t="s">
        <v>6836</v>
      </c>
      <c r="H663" s="36" t="s">
        <v>3482</v>
      </c>
    </row>
    <row r="664" spans="1:8" ht="40.5">
      <c r="A664" s="28" t="s">
        <v>1532</v>
      </c>
      <c r="B664" s="8" t="s">
        <v>7754</v>
      </c>
      <c r="C664" s="37" t="s">
        <v>7693</v>
      </c>
      <c r="D664" s="28" t="s">
        <v>972</v>
      </c>
      <c r="E664" s="36" t="s">
        <v>6837</v>
      </c>
      <c r="F664" s="28" t="s">
        <v>5173</v>
      </c>
      <c r="G664" s="36" t="s">
        <v>6838</v>
      </c>
      <c r="H664" s="36" t="s">
        <v>3482</v>
      </c>
    </row>
    <row r="665" spans="1:8" ht="40.5">
      <c r="A665" s="28" t="s">
        <v>1220</v>
      </c>
      <c r="B665" s="37" t="s">
        <v>7732</v>
      </c>
      <c r="C665" s="37" t="s">
        <v>7693</v>
      </c>
      <c r="D665" s="28" t="s">
        <v>6526</v>
      </c>
      <c r="E665" s="36" t="s">
        <v>6839</v>
      </c>
      <c r="F665" s="28" t="s">
        <v>5173</v>
      </c>
      <c r="G665" s="36" t="s">
        <v>6840</v>
      </c>
      <c r="H665" s="36" t="s">
        <v>3482</v>
      </c>
    </row>
    <row r="666" spans="1:8" ht="30.5">
      <c r="A666" s="28" t="s">
        <v>1220</v>
      </c>
      <c r="B666" s="37" t="s">
        <v>7732</v>
      </c>
      <c r="C666" s="37" t="s">
        <v>7693</v>
      </c>
      <c r="D666" s="28" t="s">
        <v>6526</v>
      </c>
      <c r="E666" s="36" t="s">
        <v>6841</v>
      </c>
      <c r="F666" s="28" t="s">
        <v>5173</v>
      </c>
      <c r="G666" s="36" t="s">
        <v>6842</v>
      </c>
      <c r="H666" s="36" t="s">
        <v>3482</v>
      </c>
    </row>
    <row r="667" spans="1:8" ht="20.5">
      <c r="A667" s="28" t="s">
        <v>915</v>
      </c>
      <c r="B667" s="8" t="s">
        <v>7701</v>
      </c>
      <c r="C667" s="37" t="s">
        <v>7693</v>
      </c>
      <c r="D667" s="28" t="s">
        <v>1007</v>
      </c>
      <c r="E667" s="36" t="s">
        <v>6843</v>
      </c>
      <c r="F667" s="28" t="s">
        <v>5173</v>
      </c>
      <c r="G667" s="36" t="s">
        <v>6546</v>
      </c>
      <c r="H667" s="36" t="s">
        <v>3482</v>
      </c>
    </row>
    <row r="668" spans="1:8" ht="30.5">
      <c r="A668" s="28" t="s">
        <v>2412</v>
      </c>
      <c r="B668" s="8" t="s">
        <v>7709</v>
      </c>
      <c r="C668" s="37" t="s">
        <v>7693</v>
      </c>
      <c r="D668" s="28" t="s">
        <v>2421</v>
      </c>
      <c r="E668" s="36" t="s">
        <v>6844</v>
      </c>
      <c r="F668" s="28" t="s">
        <v>5173</v>
      </c>
      <c r="G668" s="36" t="s">
        <v>6845</v>
      </c>
      <c r="H668" s="36" t="s">
        <v>3482</v>
      </c>
    </row>
    <row r="669" spans="1:8" ht="20.5">
      <c r="A669" s="28" t="s">
        <v>1597</v>
      </c>
      <c r="B669" s="8" t="s">
        <v>7704</v>
      </c>
      <c r="C669" s="37" t="s">
        <v>7693</v>
      </c>
      <c r="D669" s="28" t="s">
        <v>1662</v>
      </c>
      <c r="E669" s="36" t="s">
        <v>6846</v>
      </c>
      <c r="F669" s="28" t="s">
        <v>5173</v>
      </c>
      <c r="G669" s="36" t="s">
        <v>6546</v>
      </c>
      <c r="H669" s="36" t="s">
        <v>3482</v>
      </c>
    </row>
    <row r="670" spans="1:8" ht="80.5">
      <c r="A670" s="28" t="s">
        <v>1220</v>
      </c>
      <c r="B670" s="37" t="s">
        <v>7732</v>
      </c>
      <c r="C670" s="37" t="s">
        <v>7693</v>
      </c>
      <c r="D670" s="28" t="s">
        <v>6526</v>
      </c>
      <c r="E670" s="36" t="s">
        <v>6847</v>
      </c>
      <c r="F670" s="28" t="s">
        <v>5173</v>
      </c>
      <c r="G670" s="36" t="s">
        <v>6848</v>
      </c>
      <c r="H670" s="36" t="s">
        <v>3482</v>
      </c>
    </row>
    <row r="671" spans="1:8" ht="20.5">
      <c r="A671" s="28" t="s">
        <v>1900</v>
      </c>
      <c r="B671" s="8" t="s">
        <v>7781</v>
      </c>
      <c r="C671" s="37" t="s">
        <v>7693</v>
      </c>
      <c r="D671" s="28" t="s">
        <v>2055</v>
      </c>
      <c r="E671" s="36" t="s">
        <v>6849</v>
      </c>
      <c r="F671" s="28" t="s">
        <v>5173</v>
      </c>
      <c r="G671" s="36" t="s">
        <v>6850</v>
      </c>
      <c r="H671" s="36" t="s">
        <v>3482</v>
      </c>
    </row>
    <row r="672" spans="1:8" ht="20.5">
      <c r="A672" s="28" t="s">
        <v>1220</v>
      </c>
      <c r="B672" s="37" t="s">
        <v>7732</v>
      </c>
      <c r="C672" s="37" t="s">
        <v>7693</v>
      </c>
      <c r="D672" s="28" t="s">
        <v>6526</v>
      </c>
      <c r="E672" s="36" t="s">
        <v>6851</v>
      </c>
      <c r="F672" s="28" t="s">
        <v>5173</v>
      </c>
      <c r="G672" s="36" t="s">
        <v>6546</v>
      </c>
      <c r="H672" s="36" t="s">
        <v>3482</v>
      </c>
    </row>
    <row r="673" spans="1:8" ht="20.5">
      <c r="A673" s="28" t="s">
        <v>2124</v>
      </c>
      <c r="B673" s="8" t="s">
        <v>7703</v>
      </c>
      <c r="C673" s="37" t="s">
        <v>7693</v>
      </c>
      <c r="D673" s="28" t="s">
        <v>2251</v>
      </c>
      <c r="E673" s="36" t="s">
        <v>6852</v>
      </c>
      <c r="F673" s="28" t="s">
        <v>5173</v>
      </c>
      <c r="G673" s="36" t="s">
        <v>6546</v>
      </c>
      <c r="H673" s="36" t="s">
        <v>3482</v>
      </c>
    </row>
    <row r="674" spans="1:8" ht="50.5">
      <c r="A674" s="28" t="s">
        <v>2909</v>
      </c>
      <c r="B674" s="8" t="s">
        <v>7717</v>
      </c>
      <c r="C674" s="37" t="s">
        <v>7693</v>
      </c>
      <c r="D674" s="28" t="s">
        <v>2996</v>
      </c>
      <c r="E674" s="36" t="s">
        <v>6853</v>
      </c>
      <c r="F674" s="28" t="s">
        <v>5173</v>
      </c>
      <c r="G674" s="36" t="s">
        <v>6854</v>
      </c>
      <c r="H674" s="36" t="s">
        <v>3482</v>
      </c>
    </row>
    <row r="675" spans="1:8" ht="30.5">
      <c r="A675" s="28" t="s">
        <v>1220</v>
      </c>
      <c r="B675" s="37" t="s">
        <v>7732</v>
      </c>
      <c r="C675" s="37" t="s">
        <v>7693</v>
      </c>
      <c r="D675" s="28" t="s">
        <v>6526</v>
      </c>
      <c r="E675" s="36" t="s">
        <v>6855</v>
      </c>
      <c r="F675" s="28" t="s">
        <v>5173</v>
      </c>
      <c r="G675" s="36" t="s">
        <v>6546</v>
      </c>
      <c r="H675" s="36" t="s">
        <v>3482</v>
      </c>
    </row>
    <row r="676" spans="1:8" ht="50.5">
      <c r="A676" s="28" t="s">
        <v>1532</v>
      </c>
      <c r="B676" s="8" t="s">
        <v>7754</v>
      </c>
      <c r="C676" s="37" t="s">
        <v>7693</v>
      </c>
      <c r="D676" s="28" t="s">
        <v>972</v>
      </c>
      <c r="E676" s="36" t="s">
        <v>6856</v>
      </c>
      <c r="F676" s="28" t="s">
        <v>5173</v>
      </c>
      <c r="G676" s="36" t="s">
        <v>6546</v>
      </c>
      <c r="H676" s="36" t="s">
        <v>3482</v>
      </c>
    </row>
    <row r="677" spans="1:8" ht="50.5">
      <c r="A677" s="28" t="s">
        <v>1220</v>
      </c>
      <c r="B677" s="37" t="s">
        <v>7732</v>
      </c>
      <c r="C677" s="37" t="s">
        <v>7693</v>
      </c>
      <c r="D677" s="28" t="s">
        <v>6526</v>
      </c>
      <c r="E677" s="36" t="s">
        <v>6857</v>
      </c>
      <c r="F677" s="28" t="s">
        <v>5173</v>
      </c>
      <c r="G677" s="36" t="s">
        <v>6858</v>
      </c>
      <c r="H677" s="36" t="s">
        <v>3482</v>
      </c>
    </row>
    <row r="678" spans="1:8" ht="30.5">
      <c r="A678" s="28" t="s">
        <v>1220</v>
      </c>
      <c r="B678" s="37" t="s">
        <v>7732</v>
      </c>
      <c r="C678" s="37" t="s">
        <v>7693</v>
      </c>
      <c r="D678" s="28" t="s">
        <v>6526</v>
      </c>
      <c r="E678" s="36" t="s">
        <v>6859</v>
      </c>
      <c r="F678" s="28" t="s">
        <v>5173</v>
      </c>
      <c r="G678" s="36" t="s">
        <v>6860</v>
      </c>
      <c r="H678" s="36" t="s">
        <v>3482</v>
      </c>
    </row>
    <row r="679" spans="1:8" ht="20.5">
      <c r="A679" s="28" t="s">
        <v>2527</v>
      </c>
      <c r="B679" s="8" t="s">
        <v>7727</v>
      </c>
      <c r="C679" s="37" t="s">
        <v>7693</v>
      </c>
      <c r="D679" s="28" t="s">
        <v>3504</v>
      </c>
      <c r="E679" s="36" t="s">
        <v>6861</v>
      </c>
      <c r="F679" s="28" t="s">
        <v>5173</v>
      </c>
      <c r="G679" s="36" t="s">
        <v>6546</v>
      </c>
      <c r="H679" s="36" t="s">
        <v>3482</v>
      </c>
    </row>
    <row r="680" spans="1:8" ht="40.5">
      <c r="A680" s="28" t="s">
        <v>1220</v>
      </c>
      <c r="B680" s="37" t="s">
        <v>7732</v>
      </c>
      <c r="C680" s="37" t="s">
        <v>7693</v>
      </c>
      <c r="D680" s="28" t="s">
        <v>6526</v>
      </c>
      <c r="E680" s="36" t="s">
        <v>6862</v>
      </c>
      <c r="F680" s="28" t="s">
        <v>5173</v>
      </c>
      <c r="G680" s="36" t="s">
        <v>6863</v>
      </c>
      <c r="H680" s="36" t="s">
        <v>3482</v>
      </c>
    </row>
    <row r="681" spans="1:8" ht="20.5">
      <c r="A681" s="28" t="s">
        <v>2648</v>
      </c>
      <c r="B681" s="8" t="s">
        <v>7601</v>
      </c>
      <c r="C681" s="37" t="s">
        <v>7693</v>
      </c>
      <c r="D681" s="28" t="s">
        <v>2743</v>
      </c>
      <c r="E681" s="36" t="s">
        <v>6864</v>
      </c>
      <c r="F681" s="28" t="s">
        <v>5173</v>
      </c>
      <c r="G681" s="36" t="s">
        <v>6865</v>
      </c>
      <c r="H681" s="36" t="s">
        <v>3482</v>
      </c>
    </row>
    <row r="682" spans="1:8" ht="30.5">
      <c r="A682" s="28" t="s">
        <v>733</v>
      </c>
      <c r="B682" s="8" t="s">
        <v>7807</v>
      </c>
      <c r="C682" s="37" t="s">
        <v>7693</v>
      </c>
      <c r="D682" s="28" t="s">
        <v>872</v>
      </c>
      <c r="E682" s="36" t="s">
        <v>6866</v>
      </c>
      <c r="F682" s="28" t="s">
        <v>5173</v>
      </c>
      <c r="G682" s="36" t="s">
        <v>6867</v>
      </c>
      <c r="H682" s="36" t="s">
        <v>3482</v>
      </c>
    </row>
    <row r="683" spans="1:8" ht="30.5">
      <c r="A683" s="28" t="s">
        <v>2648</v>
      </c>
      <c r="B683" s="8" t="s">
        <v>7601</v>
      </c>
      <c r="C683" s="37" t="s">
        <v>7693</v>
      </c>
      <c r="D683" s="28" t="s">
        <v>2768</v>
      </c>
      <c r="E683" s="36" t="s">
        <v>6868</v>
      </c>
      <c r="F683" s="28" t="s">
        <v>5173</v>
      </c>
      <c r="G683" s="36" t="s">
        <v>6546</v>
      </c>
      <c r="H683" s="36" t="s">
        <v>3482</v>
      </c>
    </row>
    <row r="684" spans="1:8" ht="20.5">
      <c r="A684" s="28" t="s">
        <v>2909</v>
      </c>
      <c r="B684" s="8" t="s">
        <v>7717</v>
      </c>
      <c r="C684" s="37" t="s">
        <v>7693</v>
      </c>
      <c r="D684" s="28" t="s">
        <v>2996</v>
      </c>
      <c r="E684" s="36" t="s">
        <v>6869</v>
      </c>
      <c r="F684" s="28" t="s">
        <v>5173</v>
      </c>
      <c r="G684" s="36" t="s">
        <v>6546</v>
      </c>
      <c r="H684" s="36" t="s">
        <v>3482</v>
      </c>
    </row>
    <row r="685" spans="1:8" ht="30.5">
      <c r="A685" s="28" t="s">
        <v>1220</v>
      </c>
      <c r="B685" s="37" t="s">
        <v>7732</v>
      </c>
      <c r="C685" s="37" t="s">
        <v>7693</v>
      </c>
      <c r="D685" s="28" t="s">
        <v>6526</v>
      </c>
      <c r="E685" s="36" t="s">
        <v>6870</v>
      </c>
      <c r="F685" s="28" t="s">
        <v>5173</v>
      </c>
      <c r="G685" s="36" t="s">
        <v>6871</v>
      </c>
      <c r="H685" s="36" t="s">
        <v>3482</v>
      </c>
    </row>
    <row r="686" spans="1:8" ht="20.5">
      <c r="A686" s="28" t="s">
        <v>1220</v>
      </c>
      <c r="B686" s="37" t="s">
        <v>7732</v>
      </c>
      <c r="C686" s="37" t="s">
        <v>7693</v>
      </c>
      <c r="D686" s="28" t="s">
        <v>6526</v>
      </c>
      <c r="E686" s="36" t="s">
        <v>6872</v>
      </c>
      <c r="F686" s="28" t="s">
        <v>5173</v>
      </c>
      <c r="G686" s="36" t="s">
        <v>6873</v>
      </c>
      <c r="H686" s="36" t="s">
        <v>3482</v>
      </c>
    </row>
    <row r="687" spans="1:8" ht="30.5">
      <c r="A687" s="28" t="s">
        <v>1597</v>
      </c>
      <c r="B687" s="8" t="s">
        <v>7704</v>
      </c>
      <c r="C687" s="37" t="s">
        <v>7693</v>
      </c>
      <c r="D687" s="28" t="s">
        <v>1662</v>
      </c>
      <c r="E687" s="36" t="s">
        <v>6874</v>
      </c>
      <c r="F687" s="28" t="s">
        <v>5173</v>
      </c>
      <c r="G687" s="36" t="s">
        <v>6875</v>
      </c>
      <c r="H687" s="36" t="s">
        <v>6876</v>
      </c>
    </row>
    <row r="688" spans="1:8" ht="20.5">
      <c r="A688" s="28" t="s">
        <v>17</v>
      </c>
      <c r="B688" s="8" t="s">
        <v>7699</v>
      </c>
      <c r="C688" s="37" t="s">
        <v>7693</v>
      </c>
      <c r="D688" s="28" t="s">
        <v>3705</v>
      </c>
      <c r="E688" s="36" t="s">
        <v>6877</v>
      </c>
      <c r="F688" s="28" t="s">
        <v>5173</v>
      </c>
      <c r="G688" s="36" t="s">
        <v>6546</v>
      </c>
      <c r="H688" s="36" t="s">
        <v>3482</v>
      </c>
    </row>
    <row r="689" spans="1:8" ht="20.5">
      <c r="A689" s="28" t="s">
        <v>464</v>
      </c>
      <c r="B689" s="8" t="s">
        <v>7710</v>
      </c>
      <c r="C689" s="37" t="s">
        <v>7693</v>
      </c>
      <c r="D689" s="28" t="s">
        <v>539</v>
      </c>
      <c r="E689" s="36" t="s">
        <v>6878</v>
      </c>
      <c r="F689" s="28" t="s">
        <v>5173</v>
      </c>
      <c r="G689" s="36" t="s">
        <v>6546</v>
      </c>
      <c r="H689" s="36" t="s">
        <v>3482</v>
      </c>
    </row>
    <row r="690" spans="1:8" ht="40.5">
      <c r="A690" s="28" t="s">
        <v>1065</v>
      </c>
      <c r="B690" s="8" t="s">
        <v>7702</v>
      </c>
      <c r="C690" s="37" t="s">
        <v>7693</v>
      </c>
      <c r="D690" s="28" t="s">
        <v>1070</v>
      </c>
      <c r="E690" s="36" t="s">
        <v>6879</v>
      </c>
      <c r="F690" s="28" t="s">
        <v>5173</v>
      </c>
      <c r="G690" s="36" t="s">
        <v>6880</v>
      </c>
      <c r="H690" s="36" t="s">
        <v>3482</v>
      </c>
    </row>
    <row r="691" spans="1:8" ht="50.5">
      <c r="A691" s="28" t="s">
        <v>1220</v>
      </c>
      <c r="B691" s="37" t="s">
        <v>7732</v>
      </c>
      <c r="C691" s="37" t="s">
        <v>7693</v>
      </c>
      <c r="D691" s="28" t="s">
        <v>6526</v>
      </c>
      <c r="E691" s="36" t="s">
        <v>6881</v>
      </c>
      <c r="F691" s="28" t="s">
        <v>5173</v>
      </c>
      <c r="G691" s="36" t="s">
        <v>6882</v>
      </c>
      <c r="H691" s="36" t="s">
        <v>3482</v>
      </c>
    </row>
    <row r="692" spans="1:8" ht="20.5">
      <c r="A692" s="28" t="s">
        <v>1900</v>
      </c>
      <c r="B692" s="8" t="s">
        <v>7781</v>
      </c>
      <c r="C692" s="37" t="s">
        <v>7693</v>
      </c>
      <c r="D692" s="28" t="s">
        <v>2055</v>
      </c>
      <c r="E692" s="36" t="s">
        <v>6883</v>
      </c>
      <c r="F692" s="28" t="s">
        <v>5173</v>
      </c>
      <c r="G692" s="36" t="s">
        <v>6884</v>
      </c>
      <c r="H692" s="36" t="s">
        <v>3482</v>
      </c>
    </row>
    <row r="693" spans="1:8" ht="20.5">
      <c r="A693" s="28" t="s">
        <v>1900</v>
      </c>
      <c r="B693" s="8" t="s">
        <v>7781</v>
      </c>
      <c r="C693" s="37" t="s">
        <v>7693</v>
      </c>
      <c r="D693" s="28" t="s">
        <v>2055</v>
      </c>
      <c r="E693" s="36" t="s">
        <v>6885</v>
      </c>
      <c r="F693" s="28" t="s">
        <v>5173</v>
      </c>
      <c r="G693" s="36" t="s">
        <v>6546</v>
      </c>
      <c r="H693" s="36" t="s">
        <v>3482</v>
      </c>
    </row>
    <row r="694" spans="1:8" ht="30.5">
      <c r="A694" s="28" t="s">
        <v>2412</v>
      </c>
      <c r="B694" s="8" t="s">
        <v>7709</v>
      </c>
      <c r="C694" s="37" t="s">
        <v>7693</v>
      </c>
      <c r="D694" s="28" t="s">
        <v>2495</v>
      </c>
      <c r="E694" s="36" t="s">
        <v>6886</v>
      </c>
      <c r="F694" s="28" t="s">
        <v>5173</v>
      </c>
      <c r="G694" s="36" t="s">
        <v>6546</v>
      </c>
      <c r="H694" s="36" t="s">
        <v>6887</v>
      </c>
    </row>
    <row r="695" spans="1:8" ht="30.5">
      <c r="A695" s="28" t="s">
        <v>17</v>
      </c>
      <c r="B695" s="8" t="s">
        <v>7699</v>
      </c>
      <c r="C695" s="37" t="s">
        <v>7693</v>
      </c>
      <c r="D695" s="28" t="s">
        <v>3309</v>
      </c>
      <c r="E695" s="36" t="s">
        <v>6888</v>
      </c>
      <c r="F695" s="28" t="s">
        <v>5173</v>
      </c>
      <c r="G695" s="36" t="s">
        <v>6889</v>
      </c>
      <c r="H695" s="36" t="s">
        <v>3482</v>
      </c>
    </row>
    <row r="696" spans="1:8" ht="20.5">
      <c r="A696" s="28" t="s">
        <v>1220</v>
      </c>
      <c r="B696" s="37" t="s">
        <v>7732</v>
      </c>
      <c r="C696" s="37" t="s">
        <v>7693</v>
      </c>
      <c r="D696" s="28" t="s">
        <v>6526</v>
      </c>
      <c r="E696" s="36" t="s">
        <v>6890</v>
      </c>
      <c r="F696" s="28" t="s">
        <v>5173</v>
      </c>
      <c r="G696" s="36" t="s">
        <v>6891</v>
      </c>
      <c r="H696" s="36" t="s">
        <v>3482</v>
      </c>
    </row>
    <row r="697" spans="1:8" ht="20.5">
      <c r="A697" s="28" t="s">
        <v>2648</v>
      </c>
      <c r="B697" s="8" t="s">
        <v>7601</v>
      </c>
      <c r="C697" s="37" t="s">
        <v>7693</v>
      </c>
      <c r="D697" s="28" t="s">
        <v>2768</v>
      </c>
      <c r="E697" s="36" t="s">
        <v>6892</v>
      </c>
      <c r="F697" s="28" t="s">
        <v>5173</v>
      </c>
      <c r="G697" s="36" t="s">
        <v>6893</v>
      </c>
      <c r="H697" s="36" t="s">
        <v>3482</v>
      </c>
    </row>
    <row r="698" spans="1:8" ht="20.5">
      <c r="A698" s="28" t="s">
        <v>1900</v>
      </c>
      <c r="B698" s="8" t="s">
        <v>7781</v>
      </c>
      <c r="C698" s="37" t="s">
        <v>7693</v>
      </c>
      <c r="D698" s="28" t="s">
        <v>2055</v>
      </c>
      <c r="E698" s="36" t="s">
        <v>6894</v>
      </c>
      <c r="F698" s="28" t="s">
        <v>5173</v>
      </c>
      <c r="G698" s="36" t="s">
        <v>6895</v>
      </c>
      <c r="H698" s="36" t="s">
        <v>3482</v>
      </c>
    </row>
    <row r="699" spans="1:8" ht="20.5">
      <c r="A699" s="28" t="s">
        <v>1597</v>
      </c>
      <c r="B699" s="8" t="s">
        <v>7704</v>
      </c>
      <c r="C699" s="37" t="s">
        <v>7693</v>
      </c>
      <c r="D699" s="28" t="s">
        <v>1662</v>
      </c>
      <c r="E699" s="36" t="s">
        <v>6896</v>
      </c>
      <c r="F699" s="28" t="s">
        <v>5173</v>
      </c>
      <c r="G699" s="36" t="s">
        <v>6546</v>
      </c>
      <c r="H699" s="36" t="s">
        <v>3482</v>
      </c>
    </row>
    <row r="700" spans="1:8" ht="20.5">
      <c r="A700" s="28" t="s">
        <v>1220</v>
      </c>
      <c r="B700" s="37" t="s">
        <v>7732</v>
      </c>
      <c r="C700" s="37" t="s">
        <v>7693</v>
      </c>
      <c r="D700" s="28" t="s">
        <v>6526</v>
      </c>
      <c r="E700" s="36" t="s">
        <v>6897</v>
      </c>
      <c r="F700" s="28" t="s">
        <v>5173</v>
      </c>
      <c r="G700" s="36" t="s">
        <v>6898</v>
      </c>
      <c r="H700" s="36" t="s">
        <v>6899</v>
      </c>
    </row>
    <row r="701" spans="1:8" ht="20.5">
      <c r="A701" s="28" t="s">
        <v>915</v>
      </c>
      <c r="B701" s="8" t="s">
        <v>7701</v>
      </c>
      <c r="C701" s="37" t="s">
        <v>7693</v>
      </c>
      <c r="D701" s="28" t="s">
        <v>1007</v>
      </c>
      <c r="E701" s="36" t="s">
        <v>6900</v>
      </c>
      <c r="F701" s="28" t="s">
        <v>5173</v>
      </c>
      <c r="G701" s="36" t="s">
        <v>6546</v>
      </c>
      <c r="H701" s="36" t="s">
        <v>6901</v>
      </c>
    </row>
    <row r="702" spans="1:8" ht="30.5">
      <c r="A702" s="28" t="s">
        <v>2527</v>
      </c>
      <c r="B702" s="8" t="s">
        <v>7727</v>
      </c>
      <c r="C702" s="37" t="s">
        <v>7695</v>
      </c>
      <c r="D702" s="28" t="s">
        <v>6902</v>
      </c>
      <c r="E702" s="36" t="s">
        <v>6903</v>
      </c>
      <c r="F702" s="28" t="s">
        <v>5173</v>
      </c>
      <c r="G702" s="36" t="s">
        <v>6546</v>
      </c>
      <c r="H702" s="36" t="s">
        <v>3482</v>
      </c>
    </row>
    <row r="703" spans="1:8" ht="30.5">
      <c r="A703" s="28" t="s">
        <v>1220</v>
      </c>
      <c r="B703" s="37" t="s">
        <v>7732</v>
      </c>
      <c r="C703" s="37" t="s">
        <v>7693</v>
      </c>
      <c r="D703" s="28" t="s">
        <v>6526</v>
      </c>
      <c r="E703" s="36" t="s">
        <v>6904</v>
      </c>
      <c r="F703" s="28" t="s">
        <v>5173</v>
      </c>
      <c r="G703" s="36" t="s">
        <v>6905</v>
      </c>
      <c r="H703" s="36" t="s">
        <v>3482</v>
      </c>
    </row>
    <row r="704" spans="1:8" ht="40.5">
      <c r="A704" s="28" t="s">
        <v>1220</v>
      </c>
      <c r="B704" s="37" t="s">
        <v>7732</v>
      </c>
      <c r="C704" s="37" t="s">
        <v>7693</v>
      </c>
      <c r="D704" s="28" t="s">
        <v>6526</v>
      </c>
      <c r="E704" s="36" t="s">
        <v>6906</v>
      </c>
      <c r="F704" s="28" t="s">
        <v>5173</v>
      </c>
      <c r="G704" s="36" t="s">
        <v>6907</v>
      </c>
      <c r="H704" s="36" t="s">
        <v>3482</v>
      </c>
    </row>
    <row r="705" spans="1:8" ht="20.5">
      <c r="A705" s="28" t="s">
        <v>3046</v>
      </c>
      <c r="B705" s="8" t="s">
        <v>7708</v>
      </c>
      <c r="C705" s="37" t="s">
        <v>7693</v>
      </c>
      <c r="D705" s="28" t="s">
        <v>3190</v>
      </c>
      <c r="E705" s="36" t="s">
        <v>6908</v>
      </c>
      <c r="F705" s="28" t="s">
        <v>5173</v>
      </c>
      <c r="G705" s="36" t="s">
        <v>6546</v>
      </c>
      <c r="H705" s="36" t="s">
        <v>3482</v>
      </c>
    </row>
    <row r="706" spans="1:8" ht="50.5">
      <c r="A706" s="28" t="s">
        <v>1220</v>
      </c>
      <c r="B706" s="37" t="s">
        <v>7732</v>
      </c>
      <c r="C706" s="37" t="s">
        <v>7693</v>
      </c>
      <c r="D706" s="28" t="s">
        <v>6526</v>
      </c>
      <c r="E706" s="36" t="s">
        <v>6909</v>
      </c>
      <c r="F706" s="28" t="s">
        <v>5173</v>
      </c>
      <c r="G706" s="36" t="s">
        <v>6910</v>
      </c>
      <c r="H706" s="36" t="s">
        <v>3482</v>
      </c>
    </row>
    <row r="707" spans="1:8" ht="20.5">
      <c r="A707" s="28" t="s">
        <v>1220</v>
      </c>
      <c r="B707" s="37" t="s">
        <v>7732</v>
      </c>
      <c r="C707" s="37" t="s">
        <v>7693</v>
      </c>
      <c r="D707" s="28" t="s">
        <v>6526</v>
      </c>
      <c r="E707" s="36" t="s">
        <v>6911</v>
      </c>
      <c r="F707" s="28" t="s">
        <v>5173</v>
      </c>
      <c r="G707" s="36" t="s">
        <v>6912</v>
      </c>
      <c r="H707" s="36" t="s">
        <v>3482</v>
      </c>
    </row>
    <row r="708" spans="1:8" ht="20.5">
      <c r="A708" s="28" t="s">
        <v>1220</v>
      </c>
      <c r="B708" s="37" t="s">
        <v>7732</v>
      </c>
      <c r="C708" s="37" t="s">
        <v>7693</v>
      </c>
      <c r="D708" s="28" t="s">
        <v>6526</v>
      </c>
      <c r="E708" s="36" t="s">
        <v>6913</v>
      </c>
      <c r="F708" s="28" t="s">
        <v>5173</v>
      </c>
      <c r="G708" s="36" t="s">
        <v>6546</v>
      </c>
      <c r="H708" s="36" t="s">
        <v>3482</v>
      </c>
    </row>
    <row r="709" spans="1:8" ht="30.5">
      <c r="A709" s="28" t="s">
        <v>1220</v>
      </c>
      <c r="B709" s="37" t="s">
        <v>7732</v>
      </c>
      <c r="C709" s="37" t="s">
        <v>7693</v>
      </c>
      <c r="D709" s="28" t="s">
        <v>6526</v>
      </c>
      <c r="E709" s="36" t="s">
        <v>6914</v>
      </c>
      <c r="F709" s="28" t="s">
        <v>5173</v>
      </c>
      <c r="G709" s="36" t="s">
        <v>6915</v>
      </c>
      <c r="H709" s="36" t="s">
        <v>3482</v>
      </c>
    </row>
    <row r="710" spans="1:8" ht="30.5">
      <c r="A710" s="28" t="s">
        <v>1597</v>
      </c>
      <c r="B710" s="8" t="s">
        <v>7704</v>
      </c>
      <c r="C710" s="37" t="s">
        <v>7693</v>
      </c>
      <c r="D710" s="28" t="s">
        <v>1662</v>
      </c>
      <c r="E710" s="36" t="s">
        <v>6916</v>
      </c>
      <c r="F710" s="28" t="s">
        <v>5173</v>
      </c>
      <c r="G710" s="36" t="s">
        <v>6917</v>
      </c>
      <c r="H710" s="36" t="s">
        <v>3482</v>
      </c>
    </row>
    <row r="711" spans="1:8" ht="40.5">
      <c r="A711" s="28" t="s">
        <v>1900</v>
      </c>
      <c r="B711" s="8" t="s">
        <v>7781</v>
      </c>
      <c r="C711" s="37" t="s">
        <v>7693</v>
      </c>
      <c r="D711" s="28" t="s">
        <v>2055</v>
      </c>
      <c r="E711" s="36" t="s">
        <v>6918</v>
      </c>
      <c r="F711" s="28" t="s">
        <v>5173</v>
      </c>
      <c r="G711" s="36" t="s">
        <v>6919</v>
      </c>
      <c r="H711" s="36" t="s">
        <v>3482</v>
      </c>
    </row>
    <row r="712" spans="1:8" ht="110.5">
      <c r="A712" s="28" t="s">
        <v>1220</v>
      </c>
      <c r="B712" s="37" t="s">
        <v>7732</v>
      </c>
      <c r="C712" s="37" t="s">
        <v>7693</v>
      </c>
      <c r="D712" s="28" t="s">
        <v>6526</v>
      </c>
      <c r="E712" s="36" t="s">
        <v>6920</v>
      </c>
      <c r="F712" s="28" t="s">
        <v>5173</v>
      </c>
      <c r="G712" s="36" t="s">
        <v>6921</v>
      </c>
      <c r="H712" s="36" t="s">
        <v>3482</v>
      </c>
    </row>
    <row r="713" spans="1:8" ht="20.5">
      <c r="A713" s="28" t="s">
        <v>1220</v>
      </c>
      <c r="B713" s="37" t="s">
        <v>7732</v>
      </c>
      <c r="C713" s="37" t="s">
        <v>7693</v>
      </c>
      <c r="D713" s="28" t="s">
        <v>6526</v>
      </c>
      <c r="E713" s="36" t="s">
        <v>6922</v>
      </c>
      <c r="F713" s="28" t="s">
        <v>5173</v>
      </c>
      <c r="G713" s="36" t="s">
        <v>6923</v>
      </c>
      <c r="H713" s="36" t="s">
        <v>3482</v>
      </c>
    </row>
    <row r="714" spans="1:8" ht="20.5">
      <c r="A714" s="28" t="s">
        <v>1220</v>
      </c>
      <c r="B714" s="37" t="s">
        <v>7732</v>
      </c>
      <c r="C714" s="37" t="s">
        <v>7693</v>
      </c>
      <c r="D714" s="28" t="s">
        <v>6526</v>
      </c>
      <c r="E714" s="36" t="s">
        <v>6924</v>
      </c>
      <c r="F714" s="28" t="s">
        <v>5173</v>
      </c>
      <c r="G714" s="36" t="s">
        <v>6546</v>
      </c>
      <c r="H714" s="36" t="s">
        <v>3482</v>
      </c>
    </row>
    <row r="715" spans="1:8" ht="30.5">
      <c r="A715" s="28" t="s">
        <v>1220</v>
      </c>
      <c r="B715" s="37" t="s">
        <v>7732</v>
      </c>
      <c r="C715" s="37" t="s">
        <v>7693</v>
      </c>
      <c r="D715" s="28" t="s">
        <v>6526</v>
      </c>
      <c r="E715" s="36" t="s">
        <v>6925</v>
      </c>
      <c r="F715" s="28" t="s">
        <v>5173</v>
      </c>
      <c r="G715" s="36" t="s">
        <v>6926</v>
      </c>
      <c r="H715" s="36" t="s">
        <v>3482</v>
      </c>
    </row>
    <row r="716" spans="1:8" ht="50.5">
      <c r="A716" s="28" t="s">
        <v>1220</v>
      </c>
      <c r="B716" s="37" t="s">
        <v>7732</v>
      </c>
      <c r="C716" s="37" t="s">
        <v>7693</v>
      </c>
      <c r="D716" s="28" t="s">
        <v>6526</v>
      </c>
      <c r="E716" s="36" t="s">
        <v>6927</v>
      </c>
      <c r="F716" s="28" t="s">
        <v>5173</v>
      </c>
      <c r="G716" s="36" t="s">
        <v>6928</v>
      </c>
      <c r="H716" s="36" t="s">
        <v>3482</v>
      </c>
    </row>
    <row r="717" spans="1:8" ht="30.5">
      <c r="A717" s="28" t="s">
        <v>1220</v>
      </c>
      <c r="B717" s="37" t="s">
        <v>7732</v>
      </c>
      <c r="C717" s="37" t="s">
        <v>7693</v>
      </c>
      <c r="D717" s="28" t="s">
        <v>6526</v>
      </c>
      <c r="E717" s="36" t="s">
        <v>6929</v>
      </c>
      <c r="F717" s="28" t="s">
        <v>5173</v>
      </c>
      <c r="G717" s="36" t="s">
        <v>6930</v>
      </c>
      <c r="H717" s="36" t="s">
        <v>3482</v>
      </c>
    </row>
    <row r="718" spans="1:8" ht="50.5">
      <c r="A718" s="28" t="s">
        <v>1220</v>
      </c>
      <c r="B718" s="37" t="s">
        <v>7732</v>
      </c>
      <c r="C718" s="37" t="s">
        <v>7693</v>
      </c>
      <c r="D718" s="28" t="s">
        <v>6526</v>
      </c>
      <c r="E718" s="36" t="s">
        <v>6931</v>
      </c>
      <c r="F718" s="28" t="s">
        <v>5173</v>
      </c>
      <c r="G718" s="36" t="s">
        <v>6932</v>
      </c>
      <c r="H718" s="36" t="s">
        <v>3482</v>
      </c>
    </row>
    <row r="719" spans="1:8" ht="20.5">
      <c r="A719" s="28" t="s">
        <v>1220</v>
      </c>
      <c r="B719" s="37" t="s">
        <v>7732</v>
      </c>
      <c r="C719" s="37" t="s">
        <v>7693</v>
      </c>
      <c r="D719" s="28" t="s">
        <v>6526</v>
      </c>
      <c r="E719" s="36" t="s">
        <v>6933</v>
      </c>
      <c r="F719" s="28" t="s">
        <v>5173</v>
      </c>
      <c r="G719" s="36" t="s">
        <v>6934</v>
      </c>
      <c r="H719" s="36" t="s">
        <v>3482</v>
      </c>
    </row>
    <row r="720" spans="1:8" ht="12.5">
      <c r="A720" s="28" t="s">
        <v>1220</v>
      </c>
      <c r="B720" s="37" t="s">
        <v>7732</v>
      </c>
      <c r="C720" s="37" t="s">
        <v>7693</v>
      </c>
      <c r="D720" s="28" t="s">
        <v>6526</v>
      </c>
      <c r="E720" s="36" t="s">
        <v>6935</v>
      </c>
      <c r="F720" s="28" t="s">
        <v>5173</v>
      </c>
      <c r="G720" s="36" t="s">
        <v>6546</v>
      </c>
      <c r="H720" s="36" t="s">
        <v>3482</v>
      </c>
    </row>
    <row r="721" spans="1:8" ht="50.5">
      <c r="A721" s="28" t="s">
        <v>1220</v>
      </c>
      <c r="B721" s="37" t="s">
        <v>7732</v>
      </c>
      <c r="C721" s="37" t="s">
        <v>7693</v>
      </c>
      <c r="D721" s="28" t="s">
        <v>6526</v>
      </c>
      <c r="E721" s="36" t="s">
        <v>6936</v>
      </c>
      <c r="F721" s="28" t="s">
        <v>5173</v>
      </c>
      <c r="G721" s="36" t="s">
        <v>6937</v>
      </c>
      <c r="H721" s="36" t="s">
        <v>3482</v>
      </c>
    </row>
    <row r="722" spans="1:8" ht="30.5">
      <c r="A722" s="28" t="s">
        <v>287</v>
      </c>
      <c r="B722" s="8" t="s">
        <v>7700</v>
      </c>
      <c r="C722" s="37" t="s">
        <v>7693</v>
      </c>
      <c r="D722" s="28" t="s">
        <v>3497</v>
      </c>
      <c r="E722" s="36" t="s">
        <v>6938</v>
      </c>
      <c r="F722" s="28" t="s">
        <v>5173</v>
      </c>
      <c r="G722" s="36" t="s">
        <v>6546</v>
      </c>
      <c r="H722" s="36" t="s">
        <v>3482</v>
      </c>
    </row>
    <row r="723" spans="1:8" ht="20.5">
      <c r="A723" s="28" t="s">
        <v>1597</v>
      </c>
      <c r="B723" s="8" t="s">
        <v>7704</v>
      </c>
      <c r="C723" s="37" t="s">
        <v>7695</v>
      </c>
      <c r="D723" s="28" t="s">
        <v>6939</v>
      </c>
      <c r="E723" s="36" t="s">
        <v>6940</v>
      </c>
      <c r="F723" s="28" t="s">
        <v>5173</v>
      </c>
      <c r="G723" s="36" t="s">
        <v>6546</v>
      </c>
      <c r="H723" s="36" t="s">
        <v>3482</v>
      </c>
    </row>
    <row r="724" spans="1:8" ht="40.5">
      <c r="A724" s="28" t="s">
        <v>1220</v>
      </c>
      <c r="B724" s="37" t="s">
        <v>7732</v>
      </c>
      <c r="C724" s="37" t="s">
        <v>7693</v>
      </c>
      <c r="D724" s="28" t="s">
        <v>6526</v>
      </c>
      <c r="E724" s="36" t="s">
        <v>6941</v>
      </c>
      <c r="F724" s="28" t="s">
        <v>5173</v>
      </c>
      <c r="G724" s="36" t="s">
        <v>6942</v>
      </c>
      <c r="H724" s="36" t="s">
        <v>3482</v>
      </c>
    </row>
    <row r="725" spans="1:8" ht="20.5">
      <c r="A725" s="28" t="s">
        <v>3046</v>
      </c>
      <c r="B725" s="8" t="s">
        <v>7708</v>
      </c>
      <c r="C725" s="37" t="s">
        <v>7693</v>
      </c>
      <c r="D725" s="28" t="s">
        <v>3134</v>
      </c>
      <c r="E725" s="36" t="s">
        <v>6943</v>
      </c>
      <c r="F725" s="28" t="s">
        <v>5173</v>
      </c>
      <c r="G725" s="36" t="s">
        <v>6546</v>
      </c>
      <c r="H725" s="36" t="s">
        <v>3482</v>
      </c>
    </row>
    <row r="726" spans="1:8" ht="40.5">
      <c r="A726" s="28" t="s">
        <v>1220</v>
      </c>
      <c r="B726" s="37" t="s">
        <v>7732</v>
      </c>
      <c r="C726" s="37" t="s">
        <v>7693</v>
      </c>
      <c r="D726" s="28" t="s">
        <v>6526</v>
      </c>
      <c r="E726" s="36" t="s">
        <v>6944</v>
      </c>
      <c r="F726" s="28" t="s">
        <v>5173</v>
      </c>
      <c r="G726" s="36" t="s">
        <v>6945</v>
      </c>
      <c r="H726" s="36" t="s">
        <v>3482</v>
      </c>
    </row>
    <row r="727" spans="1:8" ht="30.5">
      <c r="A727" s="28" t="s">
        <v>1220</v>
      </c>
      <c r="B727" s="37" t="s">
        <v>7732</v>
      </c>
      <c r="C727" s="37" t="s">
        <v>7693</v>
      </c>
      <c r="D727" s="28" t="s">
        <v>6526</v>
      </c>
      <c r="E727" s="36" t="s">
        <v>6946</v>
      </c>
      <c r="F727" s="28" t="s">
        <v>5173</v>
      </c>
      <c r="G727" s="36" t="s">
        <v>6947</v>
      </c>
      <c r="H727" s="36" t="s">
        <v>3482</v>
      </c>
    </row>
    <row r="728" spans="1:8" ht="40.5">
      <c r="A728" s="28" t="s">
        <v>1220</v>
      </c>
      <c r="B728" s="37" t="s">
        <v>7732</v>
      </c>
      <c r="C728" s="37" t="s">
        <v>7693</v>
      </c>
      <c r="D728" s="28" t="s">
        <v>6526</v>
      </c>
      <c r="E728" s="36" t="s">
        <v>6948</v>
      </c>
      <c r="F728" s="28" t="s">
        <v>5173</v>
      </c>
      <c r="G728" s="36" t="s">
        <v>6949</v>
      </c>
      <c r="H728" s="36" t="s">
        <v>3482</v>
      </c>
    </row>
    <row r="729" spans="1:8" ht="20.5">
      <c r="A729" s="28" t="s">
        <v>1220</v>
      </c>
      <c r="B729" s="37" t="s">
        <v>7732</v>
      </c>
      <c r="C729" s="37" t="s">
        <v>7693</v>
      </c>
      <c r="D729" s="28" t="s">
        <v>6526</v>
      </c>
      <c r="E729" s="36" t="s">
        <v>6950</v>
      </c>
      <c r="F729" s="28" t="s">
        <v>5173</v>
      </c>
      <c r="G729" s="36" t="s">
        <v>6951</v>
      </c>
      <c r="H729" s="36" t="s">
        <v>3482</v>
      </c>
    </row>
    <row r="730" spans="1:8" ht="12.5">
      <c r="A730" s="28" t="s">
        <v>287</v>
      </c>
      <c r="B730" s="8" t="s">
        <v>7700</v>
      </c>
      <c r="C730" s="37" t="s">
        <v>7693</v>
      </c>
      <c r="D730" s="28" t="s">
        <v>3497</v>
      </c>
      <c r="E730" s="36" t="s">
        <v>6952</v>
      </c>
      <c r="F730" s="28" t="s">
        <v>5173</v>
      </c>
      <c r="G730" s="36" t="s">
        <v>6546</v>
      </c>
      <c r="H730" s="36" t="s">
        <v>6953</v>
      </c>
    </row>
    <row r="731" spans="1:8" ht="20.5">
      <c r="A731" s="28" t="s">
        <v>287</v>
      </c>
      <c r="B731" s="8" t="s">
        <v>7700</v>
      </c>
      <c r="C731" s="37" t="s">
        <v>7693</v>
      </c>
      <c r="D731" s="28" t="s">
        <v>3497</v>
      </c>
      <c r="E731" s="36" t="s">
        <v>6954</v>
      </c>
      <c r="F731" s="28" t="s">
        <v>5173</v>
      </c>
      <c r="G731" s="36" t="s">
        <v>6546</v>
      </c>
      <c r="H731" s="36" t="s">
        <v>3482</v>
      </c>
    </row>
    <row r="732" spans="1:8" ht="30.5">
      <c r="A732" s="28" t="s">
        <v>1220</v>
      </c>
      <c r="B732" s="37" t="s">
        <v>7732</v>
      </c>
      <c r="C732" s="37" t="s">
        <v>7693</v>
      </c>
      <c r="D732" s="28" t="s">
        <v>6526</v>
      </c>
      <c r="E732" s="36" t="s">
        <v>6955</v>
      </c>
      <c r="F732" s="28" t="s">
        <v>5173</v>
      </c>
      <c r="G732" s="36" t="s">
        <v>6956</v>
      </c>
      <c r="H732" s="36" t="s">
        <v>3482</v>
      </c>
    </row>
    <row r="733" spans="1:8" ht="20.5">
      <c r="A733" s="28" t="s">
        <v>1220</v>
      </c>
      <c r="B733" s="37" t="s">
        <v>7732</v>
      </c>
      <c r="C733" s="37" t="s">
        <v>7693</v>
      </c>
      <c r="D733" s="28" t="s">
        <v>6526</v>
      </c>
      <c r="E733" s="36" t="s">
        <v>6957</v>
      </c>
      <c r="F733" s="28" t="s">
        <v>5173</v>
      </c>
      <c r="G733" s="36" t="s">
        <v>6546</v>
      </c>
      <c r="H733" s="36" t="s">
        <v>3482</v>
      </c>
    </row>
    <row r="734" spans="1:8" ht="40.5">
      <c r="A734" s="28" t="s">
        <v>1597</v>
      </c>
      <c r="B734" s="8" t="s">
        <v>7704</v>
      </c>
      <c r="C734" s="37" t="s">
        <v>7693</v>
      </c>
      <c r="D734" s="28" t="s">
        <v>1662</v>
      </c>
      <c r="E734" s="36" t="s">
        <v>6958</v>
      </c>
      <c r="F734" s="28" t="s">
        <v>5173</v>
      </c>
      <c r="G734" s="36" t="s">
        <v>6959</v>
      </c>
      <c r="H734" s="36" t="s">
        <v>3482</v>
      </c>
    </row>
    <row r="735" spans="1:8" ht="20.5">
      <c r="A735" s="28" t="s">
        <v>1597</v>
      </c>
      <c r="B735" s="8" t="s">
        <v>7704</v>
      </c>
      <c r="C735" s="37" t="s">
        <v>7693</v>
      </c>
      <c r="D735" s="28" t="s">
        <v>1662</v>
      </c>
      <c r="E735" s="36" t="s">
        <v>6960</v>
      </c>
      <c r="F735" s="28" t="s">
        <v>5173</v>
      </c>
      <c r="G735" s="36" t="s">
        <v>6546</v>
      </c>
      <c r="H735" s="36" t="s">
        <v>6961</v>
      </c>
    </row>
    <row r="736" spans="1:8" ht="20.5">
      <c r="A736" s="28" t="s">
        <v>287</v>
      </c>
      <c r="B736" s="8" t="s">
        <v>7700</v>
      </c>
      <c r="C736" s="37" t="s">
        <v>7693</v>
      </c>
      <c r="D736" s="28" t="s">
        <v>6408</v>
      </c>
      <c r="E736" s="36" t="s">
        <v>6962</v>
      </c>
      <c r="F736" s="28" t="s">
        <v>5173</v>
      </c>
      <c r="G736" s="36" t="s">
        <v>6546</v>
      </c>
      <c r="H736" s="36" t="s">
        <v>3482</v>
      </c>
    </row>
    <row r="737" spans="1:8" ht="30.5">
      <c r="A737" s="28" t="s">
        <v>1597</v>
      </c>
      <c r="B737" s="8" t="s">
        <v>7704</v>
      </c>
      <c r="C737" s="37" t="s">
        <v>7693</v>
      </c>
      <c r="D737" s="28" t="s">
        <v>1662</v>
      </c>
      <c r="E737" s="36" t="s">
        <v>6963</v>
      </c>
      <c r="F737" s="28" t="s">
        <v>5190</v>
      </c>
      <c r="G737" s="36" t="s">
        <v>6964</v>
      </c>
      <c r="H737" s="36" t="s">
        <v>3482</v>
      </c>
    </row>
    <row r="738" spans="1:8" ht="20.5">
      <c r="A738" s="28" t="s">
        <v>464</v>
      </c>
      <c r="B738" s="8" t="s">
        <v>7710</v>
      </c>
      <c r="C738" s="37" t="s">
        <v>7693</v>
      </c>
      <c r="D738" s="28" t="s">
        <v>539</v>
      </c>
      <c r="E738" s="36" t="s">
        <v>6965</v>
      </c>
      <c r="F738" s="28" t="s">
        <v>5173</v>
      </c>
      <c r="G738" s="36" t="s">
        <v>6546</v>
      </c>
      <c r="H738" s="36" t="s">
        <v>3482</v>
      </c>
    </row>
    <row r="739" spans="1:8" ht="20.5">
      <c r="A739" s="28" t="s">
        <v>1788</v>
      </c>
      <c r="B739" s="8" t="s">
        <v>7706</v>
      </c>
      <c r="C739" s="37" t="s">
        <v>7693</v>
      </c>
      <c r="D739" s="28" t="s">
        <v>1735</v>
      </c>
      <c r="E739" s="36" t="s">
        <v>6966</v>
      </c>
      <c r="F739" s="28" t="s">
        <v>5173</v>
      </c>
      <c r="G739" s="36" t="s">
        <v>6546</v>
      </c>
      <c r="H739" s="36" t="s">
        <v>3482</v>
      </c>
    </row>
    <row r="740" spans="1:8" ht="60.5">
      <c r="A740" s="28" t="s">
        <v>1220</v>
      </c>
      <c r="B740" s="37" t="s">
        <v>7732</v>
      </c>
      <c r="C740" s="37" t="s">
        <v>7693</v>
      </c>
      <c r="D740" s="28" t="s">
        <v>6526</v>
      </c>
      <c r="E740" s="36" t="s">
        <v>6967</v>
      </c>
      <c r="F740" s="28" t="s">
        <v>5173</v>
      </c>
      <c r="G740" s="36" t="s">
        <v>6968</v>
      </c>
      <c r="H740" s="36" t="s">
        <v>3482</v>
      </c>
    </row>
    <row r="741" spans="1:8" ht="30.5">
      <c r="A741" s="28" t="s">
        <v>2648</v>
      </c>
      <c r="B741" s="8" t="s">
        <v>7601</v>
      </c>
      <c r="C741" s="37" t="s">
        <v>7693</v>
      </c>
      <c r="D741" s="28" t="s">
        <v>2768</v>
      </c>
      <c r="E741" s="36" t="s">
        <v>6969</v>
      </c>
      <c r="F741" s="28" t="s">
        <v>5173</v>
      </c>
      <c r="G741" s="36" t="s">
        <v>6970</v>
      </c>
      <c r="H741" s="36" t="s">
        <v>6971</v>
      </c>
    </row>
    <row r="742" spans="1:8" ht="30.5">
      <c r="A742" s="28" t="s">
        <v>1788</v>
      </c>
      <c r="B742" s="8" t="s">
        <v>7706</v>
      </c>
      <c r="C742" s="37" t="s">
        <v>7693</v>
      </c>
      <c r="D742" s="28" t="s">
        <v>1735</v>
      </c>
      <c r="E742" s="36" t="s">
        <v>6972</v>
      </c>
      <c r="F742" s="28" t="s">
        <v>5173</v>
      </c>
      <c r="G742" s="36" t="s">
        <v>6973</v>
      </c>
      <c r="H742" s="36" t="s">
        <v>3482</v>
      </c>
    </row>
    <row r="743" spans="1:8" ht="30.5">
      <c r="A743" s="28" t="s">
        <v>1220</v>
      </c>
      <c r="B743" s="37" t="s">
        <v>7732</v>
      </c>
      <c r="C743" s="37" t="s">
        <v>7693</v>
      </c>
      <c r="D743" s="28" t="s">
        <v>6526</v>
      </c>
      <c r="E743" s="36" t="s">
        <v>6974</v>
      </c>
      <c r="F743" s="28" t="s">
        <v>5173</v>
      </c>
      <c r="G743" s="36" t="s">
        <v>6975</v>
      </c>
      <c r="H743" s="36" t="s">
        <v>3482</v>
      </c>
    </row>
    <row r="744" spans="1:8" ht="40.5">
      <c r="A744" s="28" t="s">
        <v>1220</v>
      </c>
      <c r="B744" s="37" t="s">
        <v>7732</v>
      </c>
      <c r="C744" s="37" t="s">
        <v>7693</v>
      </c>
      <c r="D744" s="28" t="s">
        <v>6526</v>
      </c>
      <c r="E744" s="36" t="s">
        <v>6976</v>
      </c>
      <c r="F744" s="28" t="s">
        <v>5173</v>
      </c>
      <c r="G744" s="36" t="s">
        <v>6977</v>
      </c>
      <c r="H744" s="36" t="s">
        <v>3482</v>
      </c>
    </row>
    <row r="745" spans="1:8" ht="30.5">
      <c r="A745" s="28" t="s">
        <v>2648</v>
      </c>
      <c r="B745" s="8" t="s">
        <v>7601</v>
      </c>
      <c r="C745" s="37" t="s">
        <v>7693</v>
      </c>
      <c r="D745" s="28" t="s">
        <v>2768</v>
      </c>
      <c r="E745" s="36" t="s">
        <v>6978</v>
      </c>
      <c r="F745" s="28" t="s">
        <v>5173</v>
      </c>
      <c r="G745" s="36" t="s">
        <v>6979</v>
      </c>
      <c r="H745" s="36" t="s">
        <v>3482</v>
      </c>
    </row>
    <row r="746" spans="1:8" ht="20.5">
      <c r="A746" s="28" t="s">
        <v>1220</v>
      </c>
      <c r="B746" s="37" t="s">
        <v>7732</v>
      </c>
      <c r="C746" s="37" t="s">
        <v>7693</v>
      </c>
      <c r="D746" s="28" t="s">
        <v>6526</v>
      </c>
      <c r="E746" s="36" t="s">
        <v>6980</v>
      </c>
      <c r="F746" s="28" t="s">
        <v>5173</v>
      </c>
      <c r="G746" s="36" t="s">
        <v>6981</v>
      </c>
      <c r="H746" s="36" t="s">
        <v>3482</v>
      </c>
    </row>
    <row r="747" spans="1:8" ht="20.5">
      <c r="A747" s="28" t="s">
        <v>1220</v>
      </c>
      <c r="B747" s="37" t="s">
        <v>7732</v>
      </c>
      <c r="C747" s="37" t="s">
        <v>7693</v>
      </c>
      <c r="D747" s="28" t="s">
        <v>6526</v>
      </c>
      <c r="E747" s="36" t="s">
        <v>6982</v>
      </c>
      <c r="F747" s="28" t="s">
        <v>5173</v>
      </c>
      <c r="G747" s="36" t="s">
        <v>6983</v>
      </c>
      <c r="H747" s="36" t="s">
        <v>3482</v>
      </c>
    </row>
    <row r="748" spans="1:8" ht="20.5">
      <c r="A748" s="28" t="s">
        <v>1220</v>
      </c>
      <c r="B748" s="37" t="s">
        <v>7732</v>
      </c>
      <c r="C748" s="37" t="s">
        <v>7693</v>
      </c>
      <c r="D748" s="28" t="s">
        <v>6526</v>
      </c>
      <c r="E748" s="36" t="s">
        <v>6984</v>
      </c>
      <c r="F748" s="28" t="s">
        <v>5173</v>
      </c>
      <c r="G748" s="36" t="s">
        <v>6546</v>
      </c>
      <c r="H748" s="36" t="s">
        <v>3482</v>
      </c>
    </row>
    <row r="749" spans="1:8" ht="20.5">
      <c r="A749" s="28" t="s">
        <v>2124</v>
      </c>
      <c r="B749" s="8" t="s">
        <v>7703</v>
      </c>
      <c r="C749" s="37" t="s">
        <v>7693</v>
      </c>
      <c r="D749" s="28" t="s">
        <v>2251</v>
      </c>
      <c r="E749" s="36" t="s">
        <v>6985</v>
      </c>
      <c r="F749" s="28" t="s">
        <v>5173</v>
      </c>
      <c r="G749" s="36" t="s">
        <v>6546</v>
      </c>
      <c r="H749" s="36" t="s">
        <v>6986</v>
      </c>
    </row>
    <row r="750" spans="1:8" ht="20.5">
      <c r="A750" s="28" t="s">
        <v>1065</v>
      </c>
      <c r="B750" s="8" t="s">
        <v>7702</v>
      </c>
      <c r="C750" s="37" t="s">
        <v>7693</v>
      </c>
      <c r="D750" s="28" t="s">
        <v>1070</v>
      </c>
      <c r="E750" s="36" t="s">
        <v>6987</v>
      </c>
      <c r="F750" s="28" t="s">
        <v>5173</v>
      </c>
      <c r="G750" s="36" t="s">
        <v>6546</v>
      </c>
      <c r="H750" s="36" t="s">
        <v>3482</v>
      </c>
    </row>
    <row r="751" spans="1:8" ht="20.5">
      <c r="A751" s="28" t="s">
        <v>171</v>
      </c>
      <c r="B751" s="8" t="s">
        <v>7714</v>
      </c>
      <c r="C751" s="37" t="s">
        <v>7693</v>
      </c>
      <c r="D751" s="28" t="s">
        <v>1504</v>
      </c>
      <c r="E751" s="36" t="s">
        <v>6988</v>
      </c>
      <c r="F751" s="28" t="s">
        <v>5173</v>
      </c>
      <c r="G751" s="36" t="s">
        <v>6546</v>
      </c>
      <c r="H751" s="36" t="s">
        <v>3482</v>
      </c>
    </row>
    <row r="752" spans="1:8" ht="30.5">
      <c r="A752" s="28" t="s">
        <v>1220</v>
      </c>
      <c r="B752" s="37" t="s">
        <v>7732</v>
      </c>
      <c r="C752" s="37" t="s">
        <v>7693</v>
      </c>
      <c r="D752" s="28" t="s">
        <v>6526</v>
      </c>
      <c r="E752" s="36" t="s">
        <v>6989</v>
      </c>
      <c r="F752" s="28" t="s">
        <v>5173</v>
      </c>
      <c r="G752" s="36" t="s">
        <v>6546</v>
      </c>
      <c r="H752" s="36" t="s">
        <v>3482</v>
      </c>
    </row>
    <row r="753" spans="1:8" ht="70.5">
      <c r="A753" s="28" t="s">
        <v>1220</v>
      </c>
      <c r="B753" s="37" t="s">
        <v>7732</v>
      </c>
      <c r="C753" s="37" t="s">
        <v>7693</v>
      </c>
      <c r="D753" s="28" t="s">
        <v>6526</v>
      </c>
      <c r="E753" s="36" t="s">
        <v>6990</v>
      </c>
      <c r="F753" s="28" t="s">
        <v>5173</v>
      </c>
      <c r="G753" s="36" t="s">
        <v>6991</v>
      </c>
      <c r="H753" s="36" t="s">
        <v>3482</v>
      </c>
    </row>
    <row r="754" spans="1:8" ht="50.5">
      <c r="A754" s="28" t="s">
        <v>464</v>
      </c>
      <c r="B754" s="8" t="s">
        <v>7710</v>
      </c>
      <c r="C754" s="37" t="s">
        <v>7693</v>
      </c>
      <c r="D754" s="28" t="s">
        <v>516</v>
      </c>
      <c r="E754" s="36" t="s">
        <v>6992</v>
      </c>
      <c r="F754" s="28" t="s">
        <v>5173</v>
      </c>
      <c r="G754" s="36" t="s">
        <v>6993</v>
      </c>
      <c r="H754" s="36" t="s">
        <v>3482</v>
      </c>
    </row>
    <row r="755" spans="1:8" ht="30.5">
      <c r="A755" s="28" t="s">
        <v>1220</v>
      </c>
      <c r="B755" s="37" t="s">
        <v>7732</v>
      </c>
      <c r="C755" s="37" t="s">
        <v>7693</v>
      </c>
      <c r="D755" s="28" t="s">
        <v>6526</v>
      </c>
      <c r="E755" s="36" t="s">
        <v>6994</v>
      </c>
      <c r="F755" s="28" t="s">
        <v>5173</v>
      </c>
      <c r="G755" s="36" t="s">
        <v>6546</v>
      </c>
      <c r="H755" s="36" t="s">
        <v>3482</v>
      </c>
    </row>
    <row r="756" spans="1:8" ht="40.5">
      <c r="A756" s="28" t="s">
        <v>1220</v>
      </c>
      <c r="B756" s="37" t="s">
        <v>7732</v>
      </c>
      <c r="C756" s="37" t="s">
        <v>7693</v>
      </c>
      <c r="D756" s="28" t="s">
        <v>6526</v>
      </c>
      <c r="E756" s="36" t="s">
        <v>6995</v>
      </c>
      <c r="F756" s="28" t="s">
        <v>5173</v>
      </c>
      <c r="G756" s="36" t="s">
        <v>6996</v>
      </c>
      <c r="H756" s="36" t="s">
        <v>3482</v>
      </c>
    </row>
    <row r="757" spans="1:8" ht="30.5">
      <c r="A757" s="28" t="s">
        <v>1220</v>
      </c>
      <c r="B757" s="37" t="s">
        <v>7732</v>
      </c>
      <c r="C757" s="37" t="s">
        <v>7693</v>
      </c>
      <c r="D757" s="28" t="s">
        <v>6526</v>
      </c>
      <c r="E757" s="36" t="s">
        <v>6997</v>
      </c>
      <c r="F757" s="28" t="s">
        <v>5173</v>
      </c>
      <c r="G757" s="36" t="s">
        <v>6546</v>
      </c>
      <c r="H757" s="36" t="s">
        <v>3482</v>
      </c>
    </row>
    <row r="758" spans="1:8" ht="20.5">
      <c r="A758" s="28" t="s">
        <v>1220</v>
      </c>
      <c r="B758" s="37" t="s">
        <v>7732</v>
      </c>
      <c r="C758" s="37" t="s">
        <v>7693</v>
      </c>
      <c r="D758" s="28" t="s">
        <v>6526</v>
      </c>
      <c r="E758" s="36" t="s">
        <v>6998</v>
      </c>
      <c r="F758" s="28" t="s">
        <v>5173</v>
      </c>
      <c r="G758" s="36" t="s">
        <v>6546</v>
      </c>
      <c r="H758" s="36" t="s">
        <v>3482</v>
      </c>
    </row>
    <row r="759" spans="1:8" ht="20.5">
      <c r="A759" s="28" t="s">
        <v>287</v>
      </c>
      <c r="B759" s="8" t="s">
        <v>7700</v>
      </c>
      <c r="C759" s="37" t="s">
        <v>7693</v>
      </c>
      <c r="D759" s="28" t="s">
        <v>3497</v>
      </c>
      <c r="E759" s="36" t="s">
        <v>6999</v>
      </c>
      <c r="F759" s="28" t="s">
        <v>5173</v>
      </c>
      <c r="G759" s="36" t="s">
        <v>6546</v>
      </c>
      <c r="H759" s="36" t="s">
        <v>3482</v>
      </c>
    </row>
    <row r="760" spans="1:8" ht="20.5">
      <c r="A760" s="28" t="s">
        <v>1220</v>
      </c>
      <c r="B760" s="37" t="s">
        <v>7732</v>
      </c>
      <c r="C760" s="37" t="s">
        <v>7693</v>
      </c>
      <c r="D760" s="28" t="s">
        <v>6526</v>
      </c>
      <c r="E760" s="36" t="s">
        <v>7000</v>
      </c>
      <c r="F760" s="28" t="s">
        <v>5173</v>
      </c>
      <c r="G760" s="36" t="s">
        <v>6546</v>
      </c>
      <c r="H760" s="36" t="s">
        <v>3482</v>
      </c>
    </row>
    <row r="761" spans="1:8" ht="20.5">
      <c r="A761" s="28" t="s">
        <v>1220</v>
      </c>
      <c r="B761" s="37" t="s">
        <v>7732</v>
      </c>
      <c r="C761" s="37" t="s">
        <v>7693</v>
      </c>
      <c r="D761" s="28" t="s">
        <v>6526</v>
      </c>
      <c r="E761" s="36" t="s">
        <v>7001</v>
      </c>
      <c r="F761" s="28" t="s">
        <v>5173</v>
      </c>
      <c r="G761" s="36" t="s">
        <v>7002</v>
      </c>
      <c r="H761" s="36" t="s">
        <v>3482</v>
      </c>
    </row>
    <row r="762" spans="1:8" ht="20.5">
      <c r="A762" s="28" t="s">
        <v>2264</v>
      </c>
      <c r="B762" s="8" t="s">
        <v>3603</v>
      </c>
      <c r="C762" s="37" t="s">
        <v>7693</v>
      </c>
      <c r="D762" s="28" t="s">
        <v>2299</v>
      </c>
      <c r="E762" s="36" t="s">
        <v>7003</v>
      </c>
      <c r="F762" s="28" t="s">
        <v>5173</v>
      </c>
      <c r="G762" s="36" t="s">
        <v>6546</v>
      </c>
      <c r="H762" s="36" t="s">
        <v>3482</v>
      </c>
    </row>
    <row r="763" spans="1:8" ht="30.5">
      <c r="A763" s="28" t="s">
        <v>1220</v>
      </c>
      <c r="B763" s="37" t="s">
        <v>7732</v>
      </c>
      <c r="C763" s="37" t="s">
        <v>7693</v>
      </c>
      <c r="D763" s="28" t="s">
        <v>6526</v>
      </c>
      <c r="E763" s="36" t="s">
        <v>7004</v>
      </c>
      <c r="F763" s="28" t="s">
        <v>5173</v>
      </c>
      <c r="G763" s="36" t="s">
        <v>6546</v>
      </c>
      <c r="H763" s="36" t="s">
        <v>3482</v>
      </c>
    </row>
    <row r="764" spans="1:8" ht="30.5">
      <c r="A764" s="28" t="s">
        <v>1220</v>
      </c>
      <c r="B764" s="37" t="s">
        <v>7732</v>
      </c>
      <c r="C764" s="37" t="s">
        <v>7693</v>
      </c>
      <c r="D764" s="28" t="s">
        <v>6526</v>
      </c>
      <c r="E764" s="36" t="s">
        <v>7005</v>
      </c>
      <c r="F764" s="28" t="s">
        <v>5173</v>
      </c>
      <c r="G764" s="36" t="s">
        <v>7006</v>
      </c>
      <c r="H764" s="36" t="s">
        <v>3482</v>
      </c>
    </row>
    <row r="765" spans="1:8" ht="30.5">
      <c r="A765" s="28" t="s">
        <v>1220</v>
      </c>
      <c r="B765" s="37" t="s">
        <v>7732</v>
      </c>
      <c r="C765" s="37" t="s">
        <v>7693</v>
      </c>
      <c r="D765" s="28" t="s">
        <v>6526</v>
      </c>
      <c r="E765" s="36" t="s">
        <v>7007</v>
      </c>
      <c r="F765" s="28" t="s">
        <v>5173</v>
      </c>
      <c r="G765" s="36" t="s">
        <v>6546</v>
      </c>
      <c r="H765" s="36" t="s">
        <v>3482</v>
      </c>
    </row>
    <row r="766" spans="1:8" ht="20.5">
      <c r="A766" s="28" t="s">
        <v>1220</v>
      </c>
      <c r="B766" s="37" t="s">
        <v>7732</v>
      </c>
      <c r="C766" s="37" t="s">
        <v>7693</v>
      </c>
      <c r="D766" s="28" t="s">
        <v>6526</v>
      </c>
      <c r="E766" s="36" t="s">
        <v>7008</v>
      </c>
      <c r="F766" s="28" t="s">
        <v>5173</v>
      </c>
      <c r="G766" s="36" t="s">
        <v>7009</v>
      </c>
      <c r="H766" s="36" t="s">
        <v>3482</v>
      </c>
    </row>
    <row r="767" spans="1:8" ht="20.5">
      <c r="A767" s="28" t="s">
        <v>1220</v>
      </c>
      <c r="B767" s="37" t="s">
        <v>7732</v>
      </c>
      <c r="C767" s="37" t="s">
        <v>7693</v>
      </c>
      <c r="D767" s="28" t="s">
        <v>6526</v>
      </c>
      <c r="E767" s="36" t="s">
        <v>7010</v>
      </c>
      <c r="F767" s="28" t="s">
        <v>5173</v>
      </c>
      <c r="G767" s="36" t="s">
        <v>7011</v>
      </c>
      <c r="H767" s="36" t="s">
        <v>3482</v>
      </c>
    </row>
    <row r="768" spans="1:8" ht="30.5">
      <c r="A768" s="28" t="s">
        <v>2648</v>
      </c>
      <c r="B768" s="8" t="s">
        <v>7601</v>
      </c>
      <c r="C768" s="37" t="s">
        <v>7693</v>
      </c>
      <c r="D768" s="28" t="s">
        <v>2768</v>
      </c>
      <c r="E768" s="36" t="s">
        <v>7012</v>
      </c>
      <c r="F768" s="28" t="s">
        <v>5173</v>
      </c>
      <c r="G768" s="36" t="s">
        <v>6546</v>
      </c>
      <c r="H768" s="36" t="s">
        <v>3482</v>
      </c>
    </row>
    <row r="769" spans="1:8" ht="70.5">
      <c r="A769" s="28" t="s">
        <v>1220</v>
      </c>
      <c r="B769" s="37" t="s">
        <v>7732</v>
      </c>
      <c r="C769" s="37" t="s">
        <v>7693</v>
      </c>
      <c r="D769" s="28" t="s">
        <v>6526</v>
      </c>
      <c r="E769" s="36" t="s">
        <v>7013</v>
      </c>
      <c r="F769" s="28" t="s">
        <v>5173</v>
      </c>
      <c r="G769" s="36" t="s">
        <v>7014</v>
      </c>
      <c r="H769" s="36" t="s">
        <v>3482</v>
      </c>
    </row>
    <row r="770" spans="1:8" ht="20.5">
      <c r="A770" s="28" t="s">
        <v>1220</v>
      </c>
      <c r="B770" s="37" t="s">
        <v>7732</v>
      </c>
      <c r="C770" s="37" t="s">
        <v>7693</v>
      </c>
      <c r="D770" s="28" t="s">
        <v>6526</v>
      </c>
      <c r="E770" s="36" t="s">
        <v>7015</v>
      </c>
      <c r="F770" s="28" t="s">
        <v>5173</v>
      </c>
      <c r="G770" s="36" t="s">
        <v>6546</v>
      </c>
      <c r="H770" s="36" t="s">
        <v>3482</v>
      </c>
    </row>
    <row r="771" spans="1:8" ht="20.5">
      <c r="A771" s="28" t="s">
        <v>3046</v>
      </c>
      <c r="B771" s="8" t="s">
        <v>7708</v>
      </c>
      <c r="C771" s="37" t="s">
        <v>7693</v>
      </c>
      <c r="D771" s="28" t="s">
        <v>3190</v>
      </c>
      <c r="E771" s="36" t="s">
        <v>7016</v>
      </c>
      <c r="F771" s="28" t="s">
        <v>5173</v>
      </c>
      <c r="G771" s="36" t="s">
        <v>6546</v>
      </c>
      <c r="H771" s="36" t="s">
        <v>3482</v>
      </c>
    </row>
    <row r="772" spans="1:8" ht="20.5">
      <c r="A772" s="28" t="s">
        <v>3046</v>
      </c>
      <c r="B772" s="8" t="s">
        <v>7708</v>
      </c>
      <c r="C772" s="37" t="s">
        <v>7693</v>
      </c>
      <c r="D772" s="28" t="s">
        <v>3134</v>
      </c>
      <c r="E772" s="36" t="s">
        <v>7017</v>
      </c>
      <c r="F772" s="28" t="s">
        <v>5173</v>
      </c>
      <c r="G772" s="36" t="s">
        <v>6546</v>
      </c>
      <c r="H772" s="36" t="s">
        <v>3482</v>
      </c>
    </row>
    <row r="773" spans="1:8" ht="30.5">
      <c r="A773" s="28" t="s">
        <v>1220</v>
      </c>
      <c r="B773" s="37" t="s">
        <v>7732</v>
      </c>
      <c r="C773" s="37" t="s">
        <v>7693</v>
      </c>
      <c r="D773" s="28" t="s">
        <v>6526</v>
      </c>
      <c r="E773" s="36" t="s">
        <v>7018</v>
      </c>
      <c r="F773" s="28" t="s">
        <v>5173</v>
      </c>
      <c r="G773" s="36" t="s">
        <v>7019</v>
      </c>
      <c r="H773" s="36" t="s">
        <v>3482</v>
      </c>
    </row>
    <row r="774" spans="1:8" ht="40.5">
      <c r="A774" s="28" t="s">
        <v>1220</v>
      </c>
      <c r="B774" s="37" t="s">
        <v>7732</v>
      </c>
      <c r="C774" s="37" t="s">
        <v>7693</v>
      </c>
      <c r="D774" s="28" t="s">
        <v>6526</v>
      </c>
      <c r="E774" s="36" t="s">
        <v>7020</v>
      </c>
      <c r="F774" s="28" t="s">
        <v>5173</v>
      </c>
      <c r="G774" s="36" t="s">
        <v>6546</v>
      </c>
      <c r="H774" s="36" t="s">
        <v>3482</v>
      </c>
    </row>
    <row r="775" spans="1:8" ht="30.5">
      <c r="A775" s="28" t="s">
        <v>1220</v>
      </c>
      <c r="B775" s="37" t="s">
        <v>7732</v>
      </c>
      <c r="C775" s="37" t="s">
        <v>7693</v>
      </c>
      <c r="D775" s="28" t="s">
        <v>6526</v>
      </c>
      <c r="E775" s="36" t="s">
        <v>7021</v>
      </c>
      <c r="F775" s="28" t="s">
        <v>5173</v>
      </c>
      <c r="G775" s="36" t="s">
        <v>6546</v>
      </c>
      <c r="H775" s="36" t="s">
        <v>3482</v>
      </c>
    </row>
    <row r="776" spans="1:8" ht="20.5">
      <c r="A776" s="28" t="s">
        <v>1220</v>
      </c>
      <c r="B776" s="37" t="s">
        <v>7732</v>
      </c>
      <c r="C776" s="37" t="s">
        <v>7693</v>
      </c>
      <c r="D776" s="28" t="s">
        <v>6526</v>
      </c>
      <c r="E776" s="36" t="s">
        <v>7022</v>
      </c>
      <c r="F776" s="28" t="s">
        <v>5173</v>
      </c>
      <c r="G776" s="36" t="s">
        <v>6546</v>
      </c>
      <c r="H776" s="36" t="s">
        <v>3482</v>
      </c>
    </row>
    <row r="777" spans="1:8" ht="20.5">
      <c r="A777" s="28" t="s">
        <v>1597</v>
      </c>
      <c r="B777" s="8" t="s">
        <v>7704</v>
      </c>
      <c r="C777" s="37" t="s">
        <v>7693</v>
      </c>
      <c r="D777" s="28" t="s">
        <v>1662</v>
      </c>
      <c r="E777" s="36" t="s">
        <v>7023</v>
      </c>
      <c r="F777" s="28" t="s">
        <v>5173</v>
      </c>
      <c r="G777" s="36" t="s">
        <v>7024</v>
      </c>
      <c r="H777" s="36" t="s">
        <v>3482</v>
      </c>
    </row>
    <row r="778" spans="1:8" ht="20.5">
      <c r="A778" s="28" t="s">
        <v>1788</v>
      </c>
      <c r="B778" s="8" t="s">
        <v>7706</v>
      </c>
      <c r="C778" s="37" t="s">
        <v>7693</v>
      </c>
      <c r="D778" s="28" t="s">
        <v>1735</v>
      </c>
      <c r="E778" s="36" t="s">
        <v>7025</v>
      </c>
      <c r="F778" s="28" t="s">
        <v>5173</v>
      </c>
      <c r="G778" s="36" t="s">
        <v>6546</v>
      </c>
      <c r="H778" s="36" t="s">
        <v>3482</v>
      </c>
    </row>
    <row r="779" spans="1:8" ht="20.5">
      <c r="A779" s="28" t="s">
        <v>287</v>
      </c>
      <c r="B779" s="8" t="s">
        <v>7700</v>
      </c>
      <c r="C779" s="37" t="s">
        <v>7693</v>
      </c>
      <c r="D779" s="28" t="s">
        <v>6408</v>
      </c>
      <c r="E779" s="36" t="s">
        <v>7026</v>
      </c>
      <c r="F779" s="28" t="s">
        <v>5173</v>
      </c>
      <c r="G779" s="36" t="s">
        <v>6546</v>
      </c>
      <c r="H779" s="36" t="s">
        <v>7027</v>
      </c>
    </row>
    <row r="780" spans="1:8" ht="40.5">
      <c r="A780" s="28" t="s">
        <v>1900</v>
      </c>
      <c r="B780" s="8" t="s">
        <v>7781</v>
      </c>
      <c r="C780" s="37" t="s">
        <v>7693</v>
      </c>
      <c r="D780" s="28" t="s">
        <v>2055</v>
      </c>
      <c r="E780" s="36" t="s">
        <v>7028</v>
      </c>
      <c r="F780" s="28" t="s">
        <v>5173</v>
      </c>
      <c r="G780" s="36" t="s">
        <v>7029</v>
      </c>
      <c r="H780" s="36" t="s">
        <v>3482</v>
      </c>
    </row>
    <row r="781" spans="1:8" ht="20.5">
      <c r="A781" s="28" t="s">
        <v>287</v>
      </c>
      <c r="B781" s="8" t="s">
        <v>7700</v>
      </c>
      <c r="C781" s="37" t="s">
        <v>7693</v>
      </c>
      <c r="D781" s="28" t="s">
        <v>3497</v>
      </c>
      <c r="E781" s="36" t="s">
        <v>7030</v>
      </c>
      <c r="F781" s="28" t="s">
        <v>5173</v>
      </c>
      <c r="G781" s="36" t="s">
        <v>6546</v>
      </c>
      <c r="H781" s="36" t="s">
        <v>3482</v>
      </c>
    </row>
    <row r="782" spans="1:8" ht="20.5">
      <c r="A782" s="28" t="s">
        <v>1900</v>
      </c>
      <c r="B782" s="8" t="s">
        <v>7781</v>
      </c>
      <c r="C782" s="37" t="s">
        <v>7693</v>
      </c>
      <c r="D782" s="28" t="s">
        <v>2055</v>
      </c>
      <c r="E782" s="36" t="s">
        <v>7031</v>
      </c>
      <c r="F782" s="28" t="s">
        <v>5173</v>
      </c>
      <c r="G782" s="36" t="s">
        <v>6546</v>
      </c>
      <c r="H782" s="36" t="s">
        <v>3482</v>
      </c>
    </row>
    <row r="783" spans="1:8" ht="40.5">
      <c r="A783" s="28" t="s">
        <v>1220</v>
      </c>
      <c r="B783" s="37" t="s">
        <v>7732</v>
      </c>
      <c r="C783" s="37" t="s">
        <v>7693</v>
      </c>
      <c r="D783" s="28" t="s">
        <v>6526</v>
      </c>
      <c r="E783" s="36" t="s">
        <v>7032</v>
      </c>
      <c r="F783" s="28" t="s">
        <v>5173</v>
      </c>
      <c r="G783" s="36" t="s">
        <v>7033</v>
      </c>
      <c r="H783" s="36" t="s">
        <v>3482</v>
      </c>
    </row>
    <row r="784" spans="1:8" ht="40.5">
      <c r="A784" s="28" t="s">
        <v>1220</v>
      </c>
      <c r="B784" s="37" t="s">
        <v>7732</v>
      </c>
      <c r="C784" s="37" t="s">
        <v>7693</v>
      </c>
      <c r="D784" s="28" t="s">
        <v>6526</v>
      </c>
      <c r="E784" s="36" t="s">
        <v>7034</v>
      </c>
      <c r="F784" s="28" t="s">
        <v>5173</v>
      </c>
      <c r="G784" s="36" t="s">
        <v>7035</v>
      </c>
      <c r="H784" s="36" t="s">
        <v>3482</v>
      </c>
    </row>
    <row r="785" spans="1:8" ht="12.5">
      <c r="A785" s="28" t="s">
        <v>287</v>
      </c>
      <c r="B785" s="8" t="s">
        <v>7700</v>
      </c>
      <c r="C785" s="37" t="s">
        <v>7693</v>
      </c>
      <c r="D785" s="28" t="s">
        <v>3497</v>
      </c>
      <c r="E785" s="36" t="s">
        <v>7036</v>
      </c>
      <c r="F785" s="28" t="s">
        <v>5173</v>
      </c>
      <c r="G785" s="36" t="s">
        <v>6546</v>
      </c>
      <c r="H785" s="36" t="s">
        <v>3482</v>
      </c>
    </row>
    <row r="786" spans="1:8" ht="12.5">
      <c r="A786" s="28" t="s">
        <v>287</v>
      </c>
      <c r="B786" s="8" t="s">
        <v>7700</v>
      </c>
      <c r="C786" s="37" t="s">
        <v>7693</v>
      </c>
      <c r="D786" s="28" t="s">
        <v>3497</v>
      </c>
      <c r="E786" s="36" t="s">
        <v>7037</v>
      </c>
      <c r="F786" s="28" t="s">
        <v>5173</v>
      </c>
      <c r="G786" s="36" t="s">
        <v>6546</v>
      </c>
      <c r="H786" s="36" t="s">
        <v>3482</v>
      </c>
    </row>
    <row r="787" spans="1:8" ht="30.5">
      <c r="A787" s="28" t="s">
        <v>287</v>
      </c>
      <c r="B787" s="8" t="s">
        <v>7700</v>
      </c>
      <c r="C787" s="37" t="s">
        <v>7693</v>
      </c>
      <c r="D787" s="28" t="s">
        <v>3497</v>
      </c>
      <c r="E787" s="36" t="s">
        <v>7038</v>
      </c>
      <c r="F787" s="28" t="s">
        <v>5180</v>
      </c>
      <c r="G787" s="36" t="s">
        <v>7039</v>
      </c>
      <c r="H787" s="36" t="s">
        <v>7040</v>
      </c>
    </row>
    <row r="788" spans="1:8" ht="40.5">
      <c r="A788" s="28" t="s">
        <v>464</v>
      </c>
      <c r="B788" s="8" t="s">
        <v>7710</v>
      </c>
      <c r="C788" s="37" t="s">
        <v>7693</v>
      </c>
      <c r="D788" s="28" t="s">
        <v>516</v>
      </c>
      <c r="E788" s="36" t="s">
        <v>7041</v>
      </c>
      <c r="F788" s="28" t="s">
        <v>5180</v>
      </c>
      <c r="G788" s="36" t="s">
        <v>7042</v>
      </c>
      <c r="H788" s="36" t="s">
        <v>5792</v>
      </c>
    </row>
    <row r="789" spans="1:8" ht="20.5">
      <c r="A789" s="28" t="s">
        <v>171</v>
      </c>
      <c r="B789" s="8" t="s">
        <v>7714</v>
      </c>
      <c r="C789" s="37" t="s">
        <v>7693</v>
      </c>
      <c r="D789" s="28" t="s">
        <v>3442</v>
      </c>
      <c r="E789" s="36" t="s">
        <v>7043</v>
      </c>
      <c r="F789" s="28" t="s">
        <v>5173</v>
      </c>
      <c r="G789" s="36" t="s">
        <v>6546</v>
      </c>
      <c r="H789" s="36" t="s">
        <v>3482</v>
      </c>
    </row>
    <row r="790" spans="1:8" ht="12.5">
      <c r="A790" s="28" t="s">
        <v>1220</v>
      </c>
      <c r="B790" s="37" t="s">
        <v>7732</v>
      </c>
      <c r="C790" s="37" t="s">
        <v>7693</v>
      </c>
      <c r="D790" s="28" t="s">
        <v>6526</v>
      </c>
      <c r="E790" s="36" t="s">
        <v>7044</v>
      </c>
      <c r="F790" s="28" t="s">
        <v>5173</v>
      </c>
      <c r="G790" s="36" t="s">
        <v>6546</v>
      </c>
      <c r="H790" s="36" t="s">
        <v>7045</v>
      </c>
    </row>
    <row r="791" spans="1:8" ht="30.5">
      <c r="A791" s="28" t="s">
        <v>584</v>
      </c>
      <c r="B791" s="8" t="s">
        <v>7780</v>
      </c>
      <c r="C791" s="37" t="s">
        <v>7693</v>
      </c>
      <c r="D791" s="28" t="s">
        <v>630</v>
      </c>
      <c r="E791" s="36" t="s">
        <v>7046</v>
      </c>
      <c r="F791" s="28" t="s">
        <v>5180</v>
      </c>
      <c r="G791" s="36" t="s">
        <v>7047</v>
      </c>
      <c r="H791" s="36" t="s">
        <v>7048</v>
      </c>
    </row>
    <row r="792" spans="1:8" ht="30.5">
      <c r="A792" s="28" t="s">
        <v>733</v>
      </c>
      <c r="B792" s="8" t="s">
        <v>7807</v>
      </c>
      <c r="C792" s="37" t="s">
        <v>7693</v>
      </c>
      <c r="D792" s="28" t="s">
        <v>872</v>
      </c>
      <c r="E792" s="36" t="s">
        <v>7049</v>
      </c>
      <c r="F792" s="28" t="s">
        <v>5180</v>
      </c>
      <c r="G792" s="36" t="s">
        <v>7050</v>
      </c>
      <c r="H792" s="36" t="s">
        <v>3482</v>
      </c>
    </row>
    <row r="793" spans="1:8" ht="20.5">
      <c r="A793" s="28" t="s">
        <v>915</v>
      </c>
      <c r="B793" s="8" t="s">
        <v>7701</v>
      </c>
      <c r="C793" s="37" t="s">
        <v>7693</v>
      </c>
      <c r="D793" s="28" t="s">
        <v>972</v>
      </c>
      <c r="E793" s="36" t="s">
        <v>7051</v>
      </c>
      <c r="F793" s="28" t="s">
        <v>5180</v>
      </c>
      <c r="G793" s="36" t="s">
        <v>7052</v>
      </c>
      <c r="H793" s="36" t="s">
        <v>7053</v>
      </c>
    </row>
    <row r="794" spans="1:8" ht="40.5">
      <c r="A794" s="28" t="s">
        <v>1532</v>
      </c>
      <c r="B794" s="8" t="s">
        <v>7754</v>
      </c>
      <c r="C794" s="37" t="s">
        <v>7693</v>
      </c>
      <c r="D794" s="28" t="s">
        <v>972</v>
      </c>
      <c r="E794" s="36" t="s">
        <v>7054</v>
      </c>
      <c r="F794" s="28" t="s">
        <v>5173</v>
      </c>
      <c r="G794" s="36" t="s">
        <v>7055</v>
      </c>
      <c r="H794" s="36" t="s">
        <v>3482</v>
      </c>
    </row>
    <row r="795" spans="1:8" ht="30.5">
      <c r="A795" s="28" t="s">
        <v>1065</v>
      </c>
      <c r="B795" s="8" t="s">
        <v>7702</v>
      </c>
      <c r="C795" s="37" t="s">
        <v>7693</v>
      </c>
      <c r="D795" s="28" t="s">
        <v>1070</v>
      </c>
      <c r="E795" s="36" t="s">
        <v>7056</v>
      </c>
      <c r="F795" s="28" t="s">
        <v>5180</v>
      </c>
      <c r="G795" s="36" t="s">
        <v>7057</v>
      </c>
      <c r="H795" s="36" t="s">
        <v>3482</v>
      </c>
    </row>
    <row r="796" spans="1:8" ht="30.5">
      <c r="A796" s="28" t="s">
        <v>1065</v>
      </c>
      <c r="B796" s="8" t="s">
        <v>7702</v>
      </c>
      <c r="C796" s="37" t="s">
        <v>7693</v>
      </c>
      <c r="D796" s="28" t="s">
        <v>1070</v>
      </c>
      <c r="E796" s="36" t="s">
        <v>7058</v>
      </c>
      <c r="F796" s="28" t="s">
        <v>5173</v>
      </c>
      <c r="G796" s="36" t="s">
        <v>7059</v>
      </c>
      <c r="H796" s="36" t="s">
        <v>3482</v>
      </c>
    </row>
    <row r="797" spans="1:8" ht="20.5">
      <c r="A797" s="28" t="s">
        <v>1788</v>
      </c>
      <c r="B797" s="8" t="s">
        <v>7706</v>
      </c>
      <c r="C797" s="37" t="s">
        <v>7693</v>
      </c>
      <c r="D797" s="28" t="s">
        <v>1735</v>
      </c>
      <c r="E797" s="36" t="s">
        <v>7060</v>
      </c>
      <c r="F797" s="28" t="s">
        <v>5173</v>
      </c>
      <c r="G797" s="36" t="s">
        <v>6546</v>
      </c>
      <c r="H797" s="36" t="s">
        <v>7061</v>
      </c>
    </row>
    <row r="798" spans="1:8" ht="20.5">
      <c r="A798" s="28" t="s">
        <v>1220</v>
      </c>
      <c r="B798" s="8" t="s">
        <v>7732</v>
      </c>
      <c r="C798" s="37" t="s">
        <v>7693</v>
      </c>
      <c r="D798" s="28" t="s">
        <v>1308</v>
      </c>
      <c r="E798" s="36" t="s">
        <v>7062</v>
      </c>
      <c r="F798" s="28" t="s">
        <v>5180</v>
      </c>
      <c r="G798" s="36" t="s">
        <v>7063</v>
      </c>
      <c r="H798" s="36" t="s">
        <v>7064</v>
      </c>
    </row>
    <row r="799" spans="1:8" ht="20.5">
      <c r="A799" s="28" t="s">
        <v>1220</v>
      </c>
      <c r="B799" s="37" t="s">
        <v>7732</v>
      </c>
      <c r="C799" s="37" t="s">
        <v>7693</v>
      </c>
      <c r="D799" s="28" t="s">
        <v>6526</v>
      </c>
      <c r="E799" s="36" t="s">
        <v>7065</v>
      </c>
      <c r="F799" s="28" t="s">
        <v>5180</v>
      </c>
      <c r="G799" s="36" t="s">
        <v>7066</v>
      </c>
      <c r="H799" s="36" t="s">
        <v>3482</v>
      </c>
    </row>
    <row r="800" spans="1:8" ht="12.5">
      <c r="A800" s="28" t="s">
        <v>1220</v>
      </c>
      <c r="B800" s="37" t="s">
        <v>7732</v>
      </c>
      <c r="C800" s="37" t="s">
        <v>7693</v>
      </c>
      <c r="D800" s="28" t="s">
        <v>6526</v>
      </c>
      <c r="E800" s="36" t="s">
        <v>7067</v>
      </c>
      <c r="F800" s="28" t="s">
        <v>5173</v>
      </c>
      <c r="G800" s="36" t="s">
        <v>6546</v>
      </c>
      <c r="H800" s="36" t="s">
        <v>3482</v>
      </c>
    </row>
    <row r="801" spans="1:8" ht="20.5">
      <c r="A801" s="28" t="s">
        <v>1409</v>
      </c>
      <c r="B801" s="8" t="s">
        <v>7761</v>
      </c>
      <c r="C801" s="37" t="s">
        <v>7693</v>
      </c>
      <c r="D801" s="28" t="s">
        <v>1463</v>
      </c>
      <c r="E801" s="36" t="s">
        <v>7068</v>
      </c>
      <c r="F801" s="28" t="s">
        <v>5180</v>
      </c>
      <c r="G801" s="36" t="s">
        <v>7069</v>
      </c>
      <c r="H801" s="36" t="s">
        <v>7070</v>
      </c>
    </row>
    <row r="802" spans="1:8" ht="30.5">
      <c r="A802" s="28" t="s">
        <v>287</v>
      </c>
      <c r="B802" s="8" t="s">
        <v>7700</v>
      </c>
      <c r="C802" s="37" t="s">
        <v>7693</v>
      </c>
      <c r="D802" s="28" t="s">
        <v>3497</v>
      </c>
      <c r="E802" s="36" t="s">
        <v>7071</v>
      </c>
      <c r="F802" s="28" t="s">
        <v>5173</v>
      </c>
      <c r="G802" s="36" t="s">
        <v>6546</v>
      </c>
      <c r="H802" s="36" t="s">
        <v>3482</v>
      </c>
    </row>
    <row r="803" spans="1:8" ht="12.5">
      <c r="A803" s="28" t="s">
        <v>17</v>
      </c>
      <c r="B803" s="8" t="s">
        <v>7699</v>
      </c>
      <c r="C803" s="37" t="s">
        <v>7693</v>
      </c>
      <c r="D803" s="28" t="s">
        <v>3309</v>
      </c>
      <c r="E803" s="36" t="s">
        <v>7072</v>
      </c>
      <c r="F803" s="28" t="s">
        <v>5173</v>
      </c>
      <c r="G803" s="36" t="s">
        <v>6546</v>
      </c>
      <c r="H803" s="36" t="s">
        <v>3482</v>
      </c>
    </row>
    <row r="804" spans="1:8" ht="20.5">
      <c r="A804" s="28" t="s">
        <v>464</v>
      </c>
      <c r="B804" s="8" t="s">
        <v>7710</v>
      </c>
      <c r="C804" s="37" t="s">
        <v>7693</v>
      </c>
      <c r="D804" s="28" t="s">
        <v>516</v>
      </c>
      <c r="E804" s="36" t="s">
        <v>7073</v>
      </c>
      <c r="F804" s="28" t="s">
        <v>5173</v>
      </c>
      <c r="G804" s="36" t="s">
        <v>7074</v>
      </c>
      <c r="H804" s="36" t="s">
        <v>3482</v>
      </c>
    </row>
    <row r="805" spans="1:8" ht="50.5">
      <c r="A805" s="28" t="s">
        <v>17</v>
      </c>
      <c r="B805" s="8" t="s">
        <v>7699</v>
      </c>
      <c r="C805" s="37" t="s">
        <v>7693</v>
      </c>
      <c r="D805" s="28" t="s">
        <v>3309</v>
      </c>
      <c r="E805" s="36" t="s">
        <v>7075</v>
      </c>
      <c r="F805" s="28" t="s">
        <v>5173</v>
      </c>
      <c r="G805" s="36" t="s">
        <v>7076</v>
      </c>
      <c r="H805" s="36" t="s">
        <v>3482</v>
      </c>
    </row>
    <row r="806" spans="1:8" ht="20.5">
      <c r="A806" s="28" t="s">
        <v>1065</v>
      </c>
      <c r="B806" s="8" t="s">
        <v>7702</v>
      </c>
      <c r="C806" s="37" t="s">
        <v>7693</v>
      </c>
      <c r="D806" s="28" t="s">
        <v>1163</v>
      </c>
      <c r="E806" s="36" t="s">
        <v>7077</v>
      </c>
      <c r="F806" s="28" t="s">
        <v>5173</v>
      </c>
      <c r="G806" s="36" t="s">
        <v>7078</v>
      </c>
      <c r="H806" s="36" t="s">
        <v>3482</v>
      </c>
    </row>
    <row r="807" spans="1:8" ht="40.5">
      <c r="A807" s="28" t="s">
        <v>1220</v>
      </c>
      <c r="B807" s="37" t="s">
        <v>7732</v>
      </c>
      <c r="C807" s="37" t="s">
        <v>7693</v>
      </c>
      <c r="D807" s="28" t="s">
        <v>6526</v>
      </c>
      <c r="E807" s="36" t="s">
        <v>7079</v>
      </c>
      <c r="F807" s="28" t="s">
        <v>5173</v>
      </c>
      <c r="G807" s="36" t="s">
        <v>7080</v>
      </c>
      <c r="H807" s="36" t="s">
        <v>3482</v>
      </c>
    </row>
    <row r="808" spans="1:8" ht="12.5">
      <c r="A808" s="28" t="s">
        <v>1532</v>
      </c>
      <c r="B808" s="8" t="s">
        <v>7754</v>
      </c>
      <c r="C808" s="37" t="s">
        <v>7693</v>
      </c>
      <c r="D808" s="28" t="s">
        <v>1572</v>
      </c>
      <c r="E808" s="36" t="s">
        <v>7081</v>
      </c>
      <c r="F808" s="28" t="s">
        <v>5173</v>
      </c>
      <c r="G808" s="36" t="s">
        <v>6546</v>
      </c>
      <c r="H808" s="36" t="s">
        <v>3482</v>
      </c>
    </row>
    <row r="809" spans="1:8" ht="50.5">
      <c r="A809" s="28" t="s">
        <v>3315</v>
      </c>
      <c r="B809" s="8" t="s">
        <v>7705</v>
      </c>
      <c r="C809" s="37" t="s">
        <v>7693</v>
      </c>
      <c r="D809" s="28" t="s">
        <v>3435</v>
      </c>
      <c r="E809" s="36" t="s">
        <v>7082</v>
      </c>
      <c r="F809" s="28" t="s">
        <v>5173</v>
      </c>
      <c r="G809" s="36" t="s">
        <v>7083</v>
      </c>
      <c r="H809" s="36" t="s">
        <v>7084</v>
      </c>
    </row>
    <row r="810" spans="1:8" ht="12.5">
      <c r="A810" s="28" t="s">
        <v>2527</v>
      </c>
      <c r="B810" s="8" t="s">
        <v>7727</v>
      </c>
      <c r="C810" s="37" t="s">
        <v>7693</v>
      </c>
      <c r="D810" s="28" t="s">
        <v>3504</v>
      </c>
      <c r="E810" s="36" t="s">
        <v>7085</v>
      </c>
      <c r="F810" s="28" t="s">
        <v>5173</v>
      </c>
      <c r="G810" s="36" t="s">
        <v>6546</v>
      </c>
      <c r="H810" s="36" t="s">
        <v>3482</v>
      </c>
    </row>
    <row r="811" spans="1:8" ht="70.5">
      <c r="A811" s="28" t="s">
        <v>1220</v>
      </c>
      <c r="B811" s="37" t="s">
        <v>7732</v>
      </c>
      <c r="C811" s="37" t="s">
        <v>7693</v>
      </c>
      <c r="D811" s="28" t="s">
        <v>6526</v>
      </c>
      <c r="E811" s="36" t="s">
        <v>7086</v>
      </c>
      <c r="F811" s="28" t="s">
        <v>5173</v>
      </c>
      <c r="G811" s="36" t="s">
        <v>7087</v>
      </c>
      <c r="H811" s="36" t="s">
        <v>3482</v>
      </c>
    </row>
    <row r="812" spans="1:8" ht="20.5">
      <c r="A812" s="28" t="s">
        <v>1532</v>
      </c>
      <c r="B812" s="8" t="s">
        <v>7754</v>
      </c>
      <c r="C812" s="37" t="s">
        <v>7693</v>
      </c>
      <c r="D812" s="28" t="s">
        <v>1584</v>
      </c>
      <c r="E812" s="36" t="s">
        <v>7088</v>
      </c>
      <c r="F812" s="28" t="s">
        <v>5180</v>
      </c>
      <c r="G812" s="36" t="s">
        <v>7089</v>
      </c>
      <c r="H812" s="36" t="s">
        <v>5182</v>
      </c>
    </row>
    <row r="813" spans="1:8" ht="12.5">
      <c r="A813" s="28" t="s">
        <v>1597</v>
      </c>
      <c r="B813" s="8" t="s">
        <v>7704</v>
      </c>
      <c r="C813" s="37" t="s">
        <v>7693</v>
      </c>
      <c r="D813" s="28" t="s">
        <v>1662</v>
      </c>
      <c r="E813" s="36" t="s">
        <v>7090</v>
      </c>
      <c r="F813" s="28" t="s">
        <v>5173</v>
      </c>
      <c r="G813" s="36" t="s">
        <v>6546</v>
      </c>
      <c r="H813" s="36" t="s">
        <v>3482</v>
      </c>
    </row>
    <row r="814" spans="1:8" ht="12.5">
      <c r="A814" s="28" t="s">
        <v>1597</v>
      </c>
      <c r="B814" s="8" t="s">
        <v>7704</v>
      </c>
      <c r="C814" s="37" t="s">
        <v>7693</v>
      </c>
      <c r="D814" s="28" t="s">
        <v>1662</v>
      </c>
      <c r="E814" s="36" t="s">
        <v>7091</v>
      </c>
      <c r="F814" s="28" t="s">
        <v>5180</v>
      </c>
      <c r="G814" s="36" t="s">
        <v>6546</v>
      </c>
      <c r="H814" s="36" t="s">
        <v>3482</v>
      </c>
    </row>
    <row r="815" spans="1:8" ht="20.5">
      <c r="A815" s="28" t="s">
        <v>1597</v>
      </c>
      <c r="B815" s="8" t="s">
        <v>7704</v>
      </c>
      <c r="C815" s="37" t="s">
        <v>7693</v>
      </c>
      <c r="D815" s="28" t="s">
        <v>1662</v>
      </c>
      <c r="E815" s="36" t="s">
        <v>7092</v>
      </c>
      <c r="F815" s="28" t="s">
        <v>5173</v>
      </c>
      <c r="G815" s="36" t="s">
        <v>6546</v>
      </c>
      <c r="H815" s="36" t="s">
        <v>3482</v>
      </c>
    </row>
    <row r="816" spans="1:8" ht="20.5">
      <c r="A816" s="28" t="s">
        <v>464</v>
      </c>
      <c r="B816" s="8" t="s">
        <v>7710</v>
      </c>
      <c r="C816" s="37" t="s">
        <v>7693</v>
      </c>
      <c r="D816" s="28" t="s">
        <v>539</v>
      </c>
      <c r="E816" s="36" t="s">
        <v>7093</v>
      </c>
      <c r="F816" s="28" t="s">
        <v>5173</v>
      </c>
      <c r="G816" s="36" t="s">
        <v>6546</v>
      </c>
      <c r="H816" s="36" t="s">
        <v>7094</v>
      </c>
    </row>
    <row r="817" spans="1:8" ht="40.5">
      <c r="A817" s="28" t="s">
        <v>1788</v>
      </c>
      <c r="B817" s="8" t="s">
        <v>7706</v>
      </c>
      <c r="C817" s="37" t="s">
        <v>7693</v>
      </c>
      <c r="D817" s="28" t="s">
        <v>1735</v>
      </c>
      <c r="E817" s="36" t="s">
        <v>7095</v>
      </c>
      <c r="F817" s="28" t="s">
        <v>5180</v>
      </c>
      <c r="G817" s="36" t="s">
        <v>7096</v>
      </c>
      <c r="H817" s="36" t="s">
        <v>5663</v>
      </c>
    </row>
    <row r="818" spans="1:8" ht="50.5">
      <c r="A818" s="28" t="s">
        <v>1220</v>
      </c>
      <c r="B818" s="37" t="s">
        <v>7732</v>
      </c>
      <c r="C818" s="37" t="s">
        <v>7693</v>
      </c>
      <c r="D818" s="28" t="s">
        <v>6526</v>
      </c>
      <c r="E818" s="36" t="s">
        <v>7097</v>
      </c>
      <c r="F818" s="28" t="s">
        <v>5173</v>
      </c>
      <c r="G818" s="36" t="s">
        <v>7098</v>
      </c>
      <c r="H818" s="36" t="s">
        <v>3482</v>
      </c>
    </row>
    <row r="819" spans="1:8" ht="50.5">
      <c r="A819" s="28" t="s">
        <v>1900</v>
      </c>
      <c r="B819" s="8" t="s">
        <v>7781</v>
      </c>
      <c r="C819" s="37" t="s">
        <v>7693</v>
      </c>
      <c r="D819" s="28" t="s">
        <v>2055</v>
      </c>
      <c r="E819" s="36" t="s">
        <v>7099</v>
      </c>
      <c r="F819" s="28" t="s">
        <v>5173</v>
      </c>
      <c r="G819" s="36" t="s">
        <v>7100</v>
      </c>
      <c r="H819" s="36" t="s">
        <v>3482</v>
      </c>
    </row>
    <row r="820" spans="1:8" ht="30.5">
      <c r="A820" s="28" t="s">
        <v>1220</v>
      </c>
      <c r="B820" s="37" t="s">
        <v>7732</v>
      </c>
      <c r="C820" s="37" t="s">
        <v>7693</v>
      </c>
      <c r="D820" s="28" t="s">
        <v>6526</v>
      </c>
      <c r="E820" s="36" t="s">
        <v>7101</v>
      </c>
      <c r="F820" s="28" t="s">
        <v>5173</v>
      </c>
      <c r="G820" s="36" t="s">
        <v>6546</v>
      </c>
      <c r="H820" s="36" t="s">
        <v>3482</v>
      </c>
    </row>
    <row r="821" spans="1:8" ht="12.5">
      <c r="A821" s="28" t="s">
        <v>1220</v>
      </c>
      <c r="B821" s="37" t="s">
        <v>7732</v>
      </c>
      <c r="C821" s="37" t="s">
        <v>7693</v>
      </c>
      <c r="D821" s="28" t="s">
        <v>6526</v>
      </c>
      <c r="E821" s="36" t="s">
        <v>7102</v>
      </c>
      <c r="F821" s="28" t="s">
        <v>5173</v>
      </c>
      <c r="G821" s="36" t="s">
        <v>6546</v>
      </c>
      <c r="H821" s="36" t="s">
        <v>3482</v>
      </c>
    </row>
    <row r="822" spans="1:8" ht="20.5">
      <c r="A822" s="28" t="s">
        <v>1220</v>
      </c>
      <c r="B822" s="37" t="s">
        <v>7732</v>
      </c>
      <c r="C822" s="37" t="s">
        <v>7693</v>
      </c>
      <c r="D822" s="28" t="s">
        <v>6526</v>
      </c>
      <c r="E822" s="36" t="s">
        <v>7103</v>
      </c>
      <c r="F822" s="28" t="s">
        <v>5173</v>
      </c>
      <c r="G822" s="36" t="s">
        <v>7104</v>
      </c>
      <c r="H822" s="36" t="s">
        <v>3482</v>
      </c>
    </row>
    <row r="823" spans="1:8" ht="30.5">
      <c r="A823" s="28" t="s">
        <v>1220</v>
      </c>
      <c r="B823" s="37" t="s">
        <v>7732</v>
      </c>
      <c r="C823" s="37" t="s">
        <v>7693</v>
      </c>
      <c r="D823" s="28" t="s">
        <v>6526</v>
      </c>
      <c r="E823" s="36" t="s">
        <v>7105</v>
      </c>
      <c r="F823" s="28" t="s">
        <v>5173</v>
      </c>
      <c r="G823" s="36" t="s">
        <v>6546</v>
      </c>
      <c r="H823" s="36" t="s">
        <v>3482</v>
      </c>
    </row>
    <row r="824" spans="1:8" ht="50.5">
      <c r="A824" s="28" t="s">
        <v>1220</v>
      </c>
      <c r="B824" s="37" t="s">
        <v>7732</v>
      </c>
      <c r="C824" s="37" t="s">
        <v>7693</v>
      </c>
      <c r="D824" s="28" t="s">
        <v>6526</v>
      </c>
      <c r="E824" s="36" t="s">
        <v>7106</v>
      </c>
      <c r="F824" s="28" t="s">
        <v>5173</v>
      </c>
      <c r="G824" s="36" t="s">
        <v>7107</v>
      </c>
      <c r="H824" s="36" t="s">
        <v>3482</v>
      </c>
    </row>
    <row r="825" spans="1:8" ht="20.5">
      <c r="A825" s="28" t="s">
        <v>1220</v>
      </c>
      <c r="B825" s="37" t="s">
        <v>7732</v>
      </c>
      <c r="C825" s="37" t="s">
        <v>7693</v>
      </c>
      <c r="D825" s="28" t="s">
        <v>6526</v>
      </c>
      <c r="E825" s="36" t="s">
        <v>7108</v>
      </c>
      <c r="F825" s="28" t="s">
        <v>5173</v>
      </c>
      <c r="G825" s="36" t="s">
        <v>6546</v>
      </c>
      <c r="H825" s="36" t="s">
        <v>3482</v>
      </c>
    </row>
    <row r="826" spans="1:8" ht="30.5">
      <c r="A826" s="28" t="s">
        <v>1220</v>
      </c>
      <c r="B826" s="37" t="s">
        <v>7732</v>
      </c>
      <c r="C826" s="37" t="s">
        <v>7693</v>
      </c>
      <c r="D826" s="28" t="s">
        <v>6526</v>
      </c>
      <c r="E826" s="36" t="s">
        <v>7109</v>
      </c>
      <c r="F826" s="28" t="s">
        <v>5173</v>
      </c>
      <c r="G826" s="36" t="s">
        <v>7110</v>
      </c>
      <c r="H826" s="36" t="s">
        <v>3482</v>
      </c>
    </row>
    <row r="827" spans="1:8" ht="40.5">
      <c r="A827" s="28" t="s">
        <v>1220</v>
      </c>
      <c r="B827" s="37" t="s">
        <v>7732</v>
      </c>
      <c r="C827" s="37" t="s">
        <v>7693</v>
      </c>
      <c r="D827" s="28" t="s">
        <v>6526</v>
      </c>
      <c r="E827" s="36" t="s">
        <v>7111</v>
      </c>
      <c r="F827" s="28" t="s">
        <v>5173</v>
      </c>
      <c r="G827" s="36" t="s">
        <v>7112</v>
      </c>
      <c r="H827" s="36" t="s">
        <v>3482</v>
      </c>
    </row>
    <row r="828" spans="1:8" ht="20.5">
      <c r="A828" s="28" t="s">
        <v>1220</v>
      </c>
      <c r="B828" s="37" t="s">
        <v>7732</v>
      </c>
      <c r="C828" s="37" t="s">
        <v>7693</v>
      </c>
      <c r="D828" s="28" t="s">
        <v>6526</v>
      </c>
      <c r="E828" s="36" t="s">
        <v>7113</v>
      </c>
      <c r="F828" s="28" t="s">
        <v>5173</v>
      </c>
      <c r="G828" s="36" t="s">
        <v>6546</v>
      </c>
      <c r="H828" s="36" t="s">
        <v>3482</v>
      </c>
    </row>
    <row r="829" spans="1:8" ht="20.5">
      <c r="A829" s="28" t="s">
        <v>1220</v>
      </c>
      <c r="B829" s="37" t="s">
        <v>7732</v>
      </c>
      <c r="C829" s="37" t="s">
        <v>7693</v>
      </c>
      <c r="D829" s="28" t="s">
        <v>6526</v>
      </c>
      <c r="E829" s="36" t="s">
        <v>7114</v>
      </c>
      <c r="F829" s="28" t="s">
        <v>5173</v>
      </c>
      <c r="G829" s="36" t="s">
        <v>7115</v>
      </c>
      <c r="H829" s="36" t="s">
        <v>3482</v>
      </c>
    </row>
    <row r="830" spans="1:8" ht="20.5">
      <c r="A830" s="28" t="s">
        <v>1220</v>
      </c>
      <c r="B830" s="37" t="s">
        <v>7732</v>
      </c>
      <c r="C830" s="37" t="s">
        <v>7693</v>
      </c>
      <c r="D830" s="28" t="s">
        <v>6526</v>
      </c>
      <c r="E830" s="36" t="s">
        <v>7116</v>
      </c>
      <c r="F830" s="28" t="s">
        <v>5173</v>
      </c>
      <c r="G830" s="36" t="s">
        <v>7117</v>
      </c>
      <c r="H830" s="36" t="s">
        <v>3482</v>
      </c>
    </row>
    <row r="831" spans="1:8" ht="40.5">
      <c r="A831" s="28" t="s">
        <v>1220</v>
      </c>
      <c r="B831" s="37" t="s">
        <v>7732</v>
      </c>
      <c r="C831" s="37" t="s">
        <v>7693</v>
      </c>
      <c r="D831" s="28" t="s">
        <v>6526</v>
      </c>
      <c r="E831" s="36" t="s">
        <v>7118</v>
      </c>
      <c r="F831" s="28" t="s">
        <v>5173</v>
      </c>
      <c r="G831" s="36" t="s">
        <v>7119</v>
      </c>
      <c r="H831" s="36" t="s">
        <v>3482</v>
      </c>
    </row>
    <row r="832" spans="1:8" ht="20.5">
      <c r="A832" s="28" t="s">
        <v>2527</v>
      </c>
      <c r="B832" s="8" t="s">
        <v>7727</v>
      </c>
      <c r="C832" s="37" t="s">
        <v>7693</v>
      </c>
      <c r="D832" s="28" t="s">
        <v>1190</v>
      </c>
      <c r="E832" s="36" t="s">
        <v>7120</v>
      </c>
      <c r="F832" s="28" t="s">
        <v>5173</v>
      </c>
      <c r="G832" s="36" t="s">
        <v>6546</v>
      </c>
      <c r="H832" s="36" t="s">
        <v>3482</v>
      </c>
    </row>
    <row r="833" spans="1:8" ht="100.5">
      <c r="A833" s="28" t="s">
        <v>1220</v>
      </c>
      <c r="B833" s="37" t="s">
        <v>7732</v>
      </c>
      <c r="C833" s="37" t="s">
        <v>7693</v>
      </c>
      <c r="D833" s="28" t="s">
        <v>6526</v>
      </c>
      <c r="E833" s="36" t="s">
        <v>7121</v>
      </c>
      <c r="F833" s="28" t="s">
        <v>5173</v>
      </c>
      <c r="G833" s="36" t="s">
        <v>7122</v>
      </c>
      <c r="H833" s="36" t="s">
        <v>3482</v>
      </c>
    </row>
    <row r="834" spans="1:8" ht="12.5">
      <c r="A834" s="28" t="s">
        <v>1220</v>
      </c>
      <c r="B834" s="37" t="s">
        <v>7732</v>
      </c>
      <c r="C834" s="37" t="s">
        <v>7693</v>
      </c>
      <c r="D834" s="28" t="s">
        <v>6526</v>
      </c>
      <c r="E834" s="36" t="s">
        <v>7123</v>
      </c>
      <c r="F834" s="28" t="s">
        <v>5173</v>
      </c>
      <c r="G834" s="36" t="s">
        <v>6546</v>
      </c>
      <c r="H834" s="36" t="s">
        <v>3482</v>
      </c>
    </row>
    <row r="835" spans="1:8" ht="20.5">
      <c r="A835" s="28" t="s">
        <v>1220</v>
      </c>
      <c r="B835" s="37" t="s">
        <v>7732</v>
      </c>
      <c r="C835" s="37" t="s">
        <v>7693</v>
      </c>
      <c r="D835" s="28" t="s">
        <v>6526</v>
      </c>
      <c r="E835" s="36" t="s">
        <v>7124</v>
      </c>
      <c r="F835" s="28" t="s">
        <v>5173</v>
      </c>
      <c r="G835" s="36" t="s">
        <v>7125</v>
      </c>
      <c r="H835" s="36" t="s">
        <v>3482</v>
      </c>
    </row>
    <row r="836" spans="1:8" ht="20.5">
      <c r="A836" s="28" t="s">
        <v>1220</v>
      </c>
      <c r="B836" s="37" t="s">
        <v>7732</v>
      </c>
      <c r="C836" s="37" t="s">
        <v>7693</v>
      </c>
      <c r="D836" s="28" t="s">
        <v>6526</v>
      </c>
      <c r="E836" s="36" t="s">
        <v>7126</v>
      </c>
      <c r="F836" s="28" t="s">
        <v>5173</v>
      </c>
      <c r="G836" s="36" t="s">
        <v>6546</v>
      </c>
      <c r="H836" s="36" t="s">
        <v>3482</v>
      </c>
    </row>
    <row r="837" spans="1:8" ht="30.5">
      <c r="A837" s="28" t="s">
        <v>2648</v>
      </c>
      <c r="B837" s="8" t="s">
        <v>7601</v>
      </c>
      <c r="C837" s="37" t="s">
        <v>7693</v>
      </c>
      <c r="D837" s="28" t="s">
        <v>2768</v>
      </c>
      <c r="E837" s="36" t="s">
        <v>7127</v>
      </c>
      <c r="F837" s="28" t="s">
        <v>5173</v>
      </c>
      <c r="G837" s="36" t="s">
        <v>6546</v>
      </c>
      <c r="H837" s="36" t="s">
        <v>6143</v>
      </c>
    </row>
    <row r="838" spans="1:8" ht="30.5">
      <c r="A838" s="28" t="s">
        <v>1220</v>
      </c>
      <c r="B838" s="37" t="s">
        <v>7732</v>
      </c>
      <c r="C838" s="37" t="s">
        <v>7693</v>
      </c>
      <c r="D838" s="28" t="s">
        <v>6526</v>
      </c>
      <c r="E838" s="36" t="s">
        <v>7128</v>
      </c>
      <c r="F838" s="28" t="s">
        <v>5173</v>
      </c>
      <c r="G838" s="36" t="s">
        <v>7129</v>
      </c>
      <c r="H838" s="36" t="s">
        <v>3482</v>
      </c>
    </row>
    <row r="839" spans="1:8" ht="20.5">
      <c r="A839" s="28" t="s">
        <v>1900</v>
      </c>
      <c r="B839" s="8" t="s">
        <v>7781</v>
      </c>
      <c r="C839" s="37" t="s">
        <v>7693</v>
      </c>
      <c r="D839" s="28" t="s">
        <v>2055</v>
      </c>
      <c r="E839" s="36" t="s">
        <v>7130</v>
      </c>
      <c r="F839" s="28" t="s">
        <v>5180</v>
      </c>
      <c r="G839" s="36" t="s">
        <v>7131</v>
      </c>
      <c r="H839" s="36" t="s">
        <v>3482</v>
      </c>
    </row>
    <row r="840" spans="1:8" ht="12.5">
      <c r="A840" s="28" t="s">
        <v>1220</v>
      </c>
      <c r="B840" s="37" t="s">
        <v>7732</v>
      </c>
      <c r="C840" s="37" t="s">
        <v>7693</v>
      </c>
      <c r="D840" s="28" t="s">
        <v>6526</v>
      </c>
      <c r="E840" s="36" t="s">
        <v>7132</v>
      </c>
      <c r="F840" s="28" t="s">
        <v>5173</v>
      </c>
      <c r="G840" s="36" t="s">
        <v>7133</v>
      </c>
      <c r="H840" s="36" t="s">
        <v>3482</v>
      </c>
    </row>
    <row r="841" spans="1:8" ht="30.5">
      <c r="A841" s="28" t="s">
        <v>2909</v>
      </c>
      <c r="B841" s="8" t="s">
        <v>7717</v>
      </c>
      <c r="C841" s="37" t="s">
        <v>7693</v>
      </c>
      <c r="D841" s="28" t="s">
        <v>2996</v>
      </c>
      <c r="E841" s="36" t="s">
        <v>7134</v>
      </c>
      <c r="F841" s="28" t="s">
        <v>5173</v>
      </c>
      <c r="G841" s="36" t="s">
        <v>6546</v>
      </c>
      <c r="H841" s="36" t="s">
        <v>3482</v>
      </c>
    </row>
    <row r="842" spans="1:8" ht="12.5">
      <c r="A842" s="28" t="s">
        <v>2124</v>
      </c>
      <c r="B842" s="8" t="s">
        <v>7703</v>
      </c>
      <c r="C842" s="37" t="s">
        <v>7693</v>
      </c>
      <c r="D842" s="28" t="s">
        <v>2251</v>
      </c>
      <c r="E842" s="36" t="s">
        <v>6501</v>
      </c>
      <c r="F842" s="28" t="s">
        <v>5180</v>
      </c>
      <c r="G842" s="36" t="s">
        <v>6546</v>
      </c>
      <c r="H842" s="36" t="s">
        <v>6503</v>
      </c>
    </row>
    <row r="843" spans="1:8" ht="30.5">
      <c r="A843" s="28" t="s">
        <v>1220</v>
      </c>
      <c r="B843" s="37" t="s">
        <v>7732</v>
      </c>
      <c r="C843" s="37" t="s">
        <v>7693</v>
      </c>
      <c r="D843" s="28" t="s">
        <v>6526</v>
      </c>
      <c r="E843" s="36" t="s">
        <v>7135</v>
      </c>
      <c r="F843" s="28" t="s">
        <v>5173</v>
      </c>
      <c r="G843" s="36" t="s">
        <v>7136</v>
      </c>
      <c r="H843" s="36" t="s">
        <v>3482</v>
      </c>
    </row>
    <row r="844" spans="1:8" ht="12.5">
      <c r="A844" s="28" t="s">
        <v>1900</v>
      </c>
      <c r="B844" s="8" t="s">
        <v>7781</v>
      </c>
      <c r="C844" s="37" t="s">
        <v>7693</v>
      </c>
      <c r="D844" s="28" t="s">
        <v>7137</v>
      </c>
      <c r="E844" s="36" t="s">
        <v>7138</v>
      </c>
      <c r="F844" s="28" t="s">
        <v>5173</v>
      </c>
      <c r="G844" s="36" t="s">
        <v>6546</v>
      </c>
      <c r="H844" s="36" t="s">
        <v>3482</v>
      </c>
    </row>
    <row r="845" spans="1:8" ht="80.5">
      <c r="A845" s="28" t="s">
        <v>1220</v>
      </c>
      <c r="B845" s="37" t="s">
        <v>7732</v>
      </c>
      <c r="C845" s="37" t="s">
        <v>7693</v>
      </c>
      <c r="D845" s="28" t="s">
        <v>6526</v>
      </c>
      <c r="E845" s="36" t="s">
        <v>7139</v>
      </c>
      <c r="F845" s="28" t="s">
        <v>5173</v>
      </c>
      <c r="G845" s="36" t="s">
        <v>7140</v>
      </c>
      <c r="H845" s="36" t="s">
        <v>3482</v>
      </c>
    </row>
    <row r="846" spans="1:8" ht="80.5">
      <c r="A846" s="28" t="s">
        <v>1220</v>
      </c>
      <c r="B846" s="37" t="s">
        <v>7732</v>
      </c>
      <c r="C846" s="37" t="s">
        <v>7693</v>
      </c>
      <c r="D846" s="28" t="s">
        <v>6526</v>
      </c>
      <c r="E846" s="36" t="s">
        <v>7141</v>
      </c>
      <c r="F846" s="28" t="s">
        <v>5173</v>
      </c>
      <c r="G846" s="36" t="s">
        <v>7142</v>
      </c>
      <c r="H846" s="36" t="s">
        <v>3482</v>
      </c>
    </row>
    <row r="847" spans="1:8" ht="20.5">
      <c r="A847" s="28" t="s">
        <v>2264</v>
      </c>
      <c r="B847" s="8" t="s">
        <v>3603</v>
      </c>
      <c r="C847" s="37" t="s">
        <v>7693</v>
      </c>
      <c r="D847" s="28" t="s">
        <v>1504</v>
      </c>
      <c r="E847" s="36" t="s">
        <v>7143</v>
      </c>
      <c r="F847" s="28" t="s">
        <v>5180</v>
      </c>
      <c r="G847" s="36" t="s">
        <v>7144</v>
      </c>
      <c r="H847" s="36" t="s">
        <v>5258</v>
      </c>
    </row>
    <row r="848" spans="1:8" ht="30.5">
      <c r="A848" s="28" t="s">
        <v>171</v>
      </c>
      <c r="B848" s="8" t="s">
        <v>7714</v>
      </c>
      <c r="C848" s="37" t="s">
        <v>7693</v>
      </c>
      <c r="D848" s="28" t="s">
        <v>1504</v>
      </c>
      <c r="E848" s="36" t="s">
        <v>7145</v>
      </c>
      <c r="F848" s="28" t="s">
        <v>5173</v>
      </c>
      <c r="G848" s="36" t="s">
        <v>7146</v>
      </c>
      <c r="H848" s="36" t="s">
        <v>6289</v>
      </c>
    </row>
    <row r="849" spans="1:8" ht="30.5">
      <c r="A849" s="28" t="s">
        <v>1220</v>
      </c>
      <c r="B849" s="37" t="s">
        <v>7732</v>
      </c>
      <c r="C849" s="37" t="s">
        <v>7693</v>
      </c>
      <c r="D849" s="28" t="s">
        <v>6526</v>
      </c>
      <c r="E849" s="36" t="s">
        <v>7147</v>
      </c>
      <c r="F849" s="28" t="s">
        <v>5173</v>
      </c>
      <c r="G849" s="36" t="s">
        <v>7148</v>
      </c>
      <c r="H849" s="36" t="s">
        <v>3482</v>
      </c>
    </row>
    <row r="850" spans="1:8" ht="12.5">
      <c r="A850" s="28" t="s">
        <v>1220</v>
      </c>
      <c r="B850" s="37" t="s">
        <v>7732</v>
      </c>
      <c r="C850" s="37" t="s">
        <v>7693</v>
      </c>
      <c r="D850" s="28" t="s">
        <v>6526</v>
      </c>
      <c r="E850" s="36" t="s">
        <v>7149</v>
      </c>
      <c r="F850" s="28" t="s">
        <v>5173</v>
      </c>
      <c r="G850" s="36" t="s">
        <v>6546</v>
      </c>
      <c r="H850" s="36" t="s">
        <v>3482</v>
      </c>
    </row>
    <row r="851" spans="1:8" ht="50.5">
      <c r="A851" s="28" t="s">
        <v>1220</v>
      </c>
      <c r="B851" s="37" t="s">
        <v>7732</v>
      </c>
      <c r="C851" s="37" t="s">
        <v>7693</v>
      </c>
      <c r="D851" s="28" t="s">
        <v>6526</v>
      </c>
      <c r="E851" s="36" t="s">
        <v>7150</v>
      </c>
      <c r="F851" s="28" t="s">
        <v>5173</v>
      </c>
      <c r="G851" s="36" t="s">
        <v>7151</v>
      </c>
      <c r="H851" s="36" t="s">
        <v>3482</v>
      </c>
    </row>
    <row r="852" spans="1:8" ht="12.5">
      <c r="A852" s="28" t="s">
        <v>1220</v>
      </c>
      <c r="B852" s="37" t="s">
        <v>7732</v>
      </c>
      <c r="C852" s="37" t="s">
        <v>7693</v>
      </c>
      <c r="D852" s="28" t="s">
        <v>6526</v>
      </c>
      <c r="E852" s="36" t="s">
        <v>7152</v>
      </c>
      <c r="F852" s="28" t="s">
        <v>5173</v>
      </c>
      <c r="G852" s="36" t="s">
        <v>7153</v>
      </c>
      <c r="H852" s="36" t="s">
        <v>3482</v>
      </c>
    </row>
    <row r="853" spans="1:8" ht="40.5">
      <c r="A853" s="28" t="s">
        <v>1220</v>
      </c>
      <c r="B853" s="37" t="s">
        <v>7732</v>
      </c>
      <c r="C853" s="37" t="s">
        <v>7693</v>
      </c>
      <c r="D853" s="28" t="s">
        <v>6526</v>
      </c>
      <c r="E853" s="36" t="s">
        <v>7154</v>
      </c>
      <c r="F853" s="28" t="s">
        <v>5173</v>
      </c>
      <c r="G853" s="36" t="s">
        <v>7155</v>
      </c>
      <c r="H853" s="36" t="s">
        <v>3482</v>
      </c>
    </row>
    <row r="854" spans="1:8" ht="50.5">
      <c r="A854" s="28" t="s">
        <v>2648</v>
      </c>
      <c r="B854" s="8" t="s">
        <v>7601</v>
      </c>
      <c r="C854" s="37" t="s">
        <v>7693</v>
      </c>
      <c r="D854" s="28" t="s">
        <v>2768</v>
      </c>
      <c r="E854" s="36" t="s">
        <v>7156</v>
      </c>
      <c r="F854" s="28" t="s">
        <v>5173</v>
      </c>
      <c r="G854" s="36" t="s">
        <v>7157</v>
      </c>
      <c r="H854" s="36" t="s">
        <v>3482</v>
      </c>
    </row>
    <row r="855" spans="1:8" ht="30.5">
      <c r="A855" s="28" t="s">
        <v>2412</v>
      </c>
      <c r="B855" s="8" t="s">
        <v>7709</v>
      </c>
      <c r="C855" s="37" t="s">
        <v>7693</v>
      </c>
      <c r="D855" s="28" t="s">
        <v>2495</v>
      </c>
      <c r="E855" s="36" t="s">
        <v>7158</v>
      </c>
      <c r="F855" s="28" t="s">
        <v>5180</v>
      </c>
      <c r="G855" s="36" t="s">
        <v>7159</v>
      </c>
      <c r="H855" s="36" t="s">
        <v>3482</v>
      </c>
    </row>
    <row r="856" spans="1:8" ht="12.5">
      <c r="A856" s="28" t="s">
        <v>2793</v>
      </c>
      <c r="B856" s="8" t="s">
        <v>7737</v>
      </c>
      <c r="C856" s="37" t="s">
        <v>7693</v>
      </c>
      <c r="D856" s="28" t="s">
        <v>2902</v>
      </c>
      <c r="E856" s="36" t="s">
        <v>7160</v>
      </c>
      <c r="F856" s="28" t="s">
        <v>5173</v>
      </c>
      <c r="G856" s="36" t="s">
        <v>6546</v>
      </c>
      <c r="H856" s="36" t="s">
        <v>3482</v>
      </c>
    </row>
    <row r="857" spans="1:8" ht="60.5">
      <c r="A857" s="28" t="s">
        <v>1220</v>
      </c>
      <c r="B857" s="37" t="s">
        <v>7732</v>
      </c>
      <c r="C857" s="37" t="s">
        <v>7693</v>
      </c>
      <c r="D857" s="28" t="s">
        <v>6526</v>
      </c>
      <c r="E857" s="36" t="s">
        <v>7161</v>
      </c>
      <c r="F857" s="28" t="s">
        <v>5173</v>
      </c>
      <c r="G857" s="36" t="s">
        <v>7162</v>
      </c>
      <c r="H857" s="36" t="s">
        <v>3482</v>
      </c>
    </row>
    <row r="858" spans="1:8" ht="30.5">
      <c r="A858" s="28" t="s">
        <v>2527</v>
      </c>
      <c r="B858" s="8" t="s">
        <v>7727</v>
      </c>
      <c r="C858" s="37" t="s">
        <v>7693</v>
      </c>
      <c r="D858" s="28" t="s">
        <v>3504</v>
      </c>
      <c r="E858" s="36" t="s">
        <v>6480</v>
      </c>
      <c r="F858" s="28" t="s">
        <v>5180</v>
      </c>
      <c r="G858" s="36" t="s">
        <v>7163</v>
      </c>
      <c r="H858" s="36" t="s">
        <v>6482</v>
      </c>
    </row>
    <row r="859" spans="1:8" ht="20.5">
      <c r="A859" s="28" t="s">
        <v>1220</v>
      </c>
      <c r="B859" s="37" t="s">
        <v>7732</v>
      </c>
      <c r="C859" s="37" t="s">
        <v>7693</v>
      </c>
      <c r="D859" s="28" t="s">
        <v>6526</v>
      </c>
      <c r="E859" s="36" t="s">
        <v>7164</v>
      </c>
      <c r="F859" s="28" t="s">
        <v>5180</v>
      </c>
      <c r="G859" s="36" t="s">
        <v>7165</v>
      </c>
      <c r="H859" s="36" t="s">
        <v>3482</v>
      </c>
    </row>
    <row r="860" spans="1:8" ht="20.5">
      <c r="A860" s="28" t="s">
        <v>2412</v>
      </c>
      <c r="B860" s="8" t="s">
        <v>7709</v>
      </c>
      <c r="C860" s="37" t="s">
        <v>7693</v>
      </c>
      <c r="D860" s="28" t="s">
        <v>2495</v>
      </c>
      <c r="E860" s="36" t="s">
        <v>7166</v>
      </c>
      <c r="F860" s="28" t="s">
        <v>5173</v>
      </c>
      <c r="G860" s="36" t="s">
        <v>7167</v>
      </c>
      <c r="H860" s="36" t="s">
        <v>3482</v>
      </c>
    </row>
    <row r="861" spans="1:8" ht="30.5">
      <c r="A861" s="28" t="s">
        <v>1220</v>
      </c>
      <c r="B861" s="37" t="s">
        <v>7732</v>
      </c>
      <c r="C861" s="37" t="s">
        <v>7693</v>
      </c>
      <c r="D861" s="28" t="s">
        <v>6526</v>
      </c>
      <c r="E861" s="36" t="s">
        <v>7168</v>
      </c>
      <c r="F861" s="28" t="s">
        <v>5173</v>
      </c>
      <c r="G861" s="36" t="s">
        <v>7169</v>
      </c>
      <c r="H861" s="36" t="s">
        <v>3482</v>
      </c>
    </row>
    <row r="862" spans="1:8" ht="12.5">
      <c r="A862" s="28" t="s">
        <v>1220</v>
      </c>
      <c r="B862" s="37" t="s">
        <v>7732</v>
      </c>
      <c r="C862" s="37" t="s">
        <v>7693</v>
      </c>
      <c r="D862" s="28" t="s">
        <v>6526</v>
      </c>
      <c r="E862" s="36" t="s">
        <v>7170</v>
      </c>
      <c r="F862" s="28" t="s">
        <v>5173</v>
      </c>
      <c r="G862" s="36" t="s">
        <v>6546</v>
      </c>
      <c r="H862" s="36" t="s">
        <v>3482</v>
      </c>
    </row>
    <row r="863" spans="1:8" ht="20.5">
      <c r="A863" s="28" t="s">
        <v>1220</v>
      </c>
      <c r="B863" s="37" t="s">
        <v>7732</v>
      </c>
      <c r="C863" s="37" t="s">
        <v>7693</v>
      </c>
      <c r="D863" s="28" t="s">
        <v>6526</v>
      </c>
      <c r="E863" s="36" t="s">
        <v>7171</v>
      </c>
      <c r="F863" s="28" t="s">
        <v>5173</v>
      </c>
      <c r="G863" s="36" t="s">
        <v>7172</v>
      </c>
      <c r="H863" s="36" t="s">
        <v>3482</v>
      </c>
    </row>
    <row r="864" spans="1:8" ht="20.5">
      <c r="A864" s="28" t="s">
        <v>1220</v>
      </c>
      <c r="B864" s="37" t="s">
        <v>7732</v>
      </c>
      <c r="C864" s="37" t="s">
        <v>7693</v>
      </c>
      <c r="D864" s="28" t="s">
        <v>6526</v>
      </c>
      <c r="E864" s="36" t="s">
        <v>7173</v>
      </c>
      <c r="F864" s="28" t="s">
        <v>5173</v>
      </c>
      <c r="G864" s="36" t="s">
        <v>7174</v>
      </c>
      <c r="H864" s="36" t="s">
        <v>3482</v>
      </c>
    </row>
    <row r="865" spans="1:8" ht="50.5">
      <c r="A865" s="28" t="s">
        <v>1220</v>
      </c>
      <c r="B865" s="37" t="s">
        <v>7732</v>
      </c>
      <c r="C865" s="37" t="s">
        <v>7693</v>
      </c>
      <c r="D865" s="28" t="s">
        <v>6526</v>
      </c>
      <c r="E865" s="36" t="s">
        <v>7175</v>
      </c>
      <c r="F865" s="28" t="s">
        <v>5173</v>
      </c>
      <c r="G865" s="36" t="s">
        <v>7176</v>
      </c>
      <c r="H865" s="36" t="s">
        <v>3482</v>
      </c>
    </row>
    <row r="866" spans="1:8" ht="30.5">
      <c r="A866" s="28" t="s">
        <v>1220</v>
      </c>
      <c r="B866" s="37" t="s">
        <v>7732</v>
      </c>
      <c r="C866" s="37" t="s">
        <v>7693</v>
      </c>
      <c r="D866" s="28" t="s">
        <v>6526</v>
      </c>
      <c r="E866" s="36" t="s">
        <v>7177</v>
      </c>
      <c r="F866" s="28" t="s">
        <v>5173</v>
      </c>
      <c r="G866" s="36" t="s">
        <v>7178</v>
      </c>
      <c r="H866" s="36" t="s">
        <v>3482</v>
      </c>
    </row>
    <row r="867" spans="1:8" ht="20.5">
      <c r="A867" s="28" t="s">
        <v>1220</v>
      </c>
      <c r="B867" s="37" t="s">
        <v>7732</v>
      </c>
      <c r="C867" s="37" t="s">
        <v>7693</v>
      </c>
      <c r="D867" s="28" t="s">
        <v>6526</v>
      </c>
      <c r="E867" s="36" t="s">
        <v>7179</v>
      </c>
      <c r="F867" s="28" t="s">
        <v>5173</v>
      </c>
      <c r="G867" s="36" t="s">
        <v>7180</v>
      </c>
      <c r="H867" s="36" t="s">
        <v>3482</v>
      </c>
    </row>
    <row r="868" spans="1:8" ht="20.5">
      <c r="A868" s="28" t="s">
        <v>1220</v>
      </c>
      <c r="B868" s="37" t="s">
        <v>7732</v>
      </c>
      <c r="C868" s="37" t="s">
        <v>7693</v>
      </c>
      <c r="D868" s="28" t="s">
        <v>6526</v>
      </c>
      <c r="E868" s="36" t="s">
        <v>7181</v>
      </c>
      <c r="F868" s="28" t="s">
        <v>5173</v>
      </c>
      <c r="G868" s="36" t="s">
        <v>6546</v>
      </c>
      <c r="H868" s="36" t="s">
        <v>3482</v>
      </c>
    </row>
    <row r="869" spans="1:8" ht="30.5">
      <c r="A869" s="28" t="s">
        <v>1220</v>
      </c>
      <c r="B869" s="37" t="s">
        <v>7732</v>
      </c>
      <c r="C869" s="37" t="s">
        <v>7693</v>
      </c>
      <c r="D869" s="28" t="s">
        <v>6526</v>
      </c>
      <c r="E869" s="36" t="s">
        <v>7182</v>
      </c>
      <c r="F869" s="28" t="s">
        <v>5173</v>
      </c>
      <c r="G869" s="36" t="s">
        <v>7183</v>
      </c>
      <c r="H869" s="36" t="s">
        <v>3482</v>
      </c>
    </row>
    <row r="870" spans="1:8" ht="30.5">
      <c r="A870" s="28" t="s">
        <v>287</v>
      </c>
      <c r="B870" s="8" t="s">
        <v>7700</v>
      </c>
      <c r="C870" s="37" t="s">
        <v>7693</v>
      </c>
      <c r="D870" s="28" t="s">
        <v>3497</v>
      </c>
      <c r="E870" s="36" t="s">
        <v>7184</v>
      </c>
      <c r="F870" s="28" t="s">
        <v>5173</v>
      </c>
      <c r="G870" s="36" t="s">
        <v>6546</v>
      </c>
      <c r="H870" s="36" t="s">
        <v>3482</v>
      </c>
    </row>
    <row r="871" spans="1:8" ht="20.5">
      <c r="A871" s="28" t="s">
        <v>1220</v>
      </c>
      <c r="B871" s="37" t="s">
        <v>7732</v>
      </c>
      <c r="C871" s="37" t="s">
        <v>7693</v>
      </c>
      <c r="D871" s="28" t="s">
        <v>6526</v>
      </c>
      <c r="E871" s="36" t="s">
        <v>7185</v>
      </c>
      <c r="F871" s="28" t="s">
        <v>5173</v>
      </c>
      <c r="G871" s="36" t="s">
        <v>7186</v>
      </c>
      <c r="H871" s="36" t="s">
        <v>3482</v>
      </c>
    </row>
    <row r="872" spans="1:8" ht="50.5">
      <c r="A872" s="28" t="s">
        <v>1220</v>
      </c>
      <c r="B872" s="37" t="s">
        <v>7732</v>
      </c>
      <c r="C872" s="37" t="s">
        <v>7693</v>
      </c>
      <c r="D872" s="28" t="s">
        <v>6526</v>
      </c>
      <c r="E872" s="36" t="s">
        <v>7187</v>
      </c>
      <c r="F872" s="28" t="s">
        <v>5173</v>
      </c>
      <c r="G872" s="36" t="s">
        <v>7188</v>
      </c>
      <c r="H872" s="36" t="s">
        <v>3482</v>
      </c>
    </row>
    <row r="873" spans="1:8" ht="12.5">
      <c r="A873" s="28" t="s">
        <v>1220</v>
      </c>
      <c r="B873" s="37" t="s">
        <v>7732</v>
      </c>
      <c r="C873" s="37" t="s">
        <v>7693</v>
      </c>
      <c r="D873" s="28" t="s">
        <v>6526</v>
      </c>
      <c r="E873" s="36" t="s">
        <v>7189</v>
      </c>
      <c r="F873" s="28" t="s">
        <v>5173</v>
      </c>
      <c r="G873" s="36" t="s">
        <v>7190</v>
      </c>
      <c r="H873" s="36" t="s">
        <v>3482</v>
      </c>
    </row>
    <row r="874" spans="1:8" ht="20.5">
      <c r="A874" s="28" t="s">
        <v>1220</v>
      </c>
      <c r="B874" s="37" t="s">
        <v>7732</v>
      </c>
      <c r="C874" s="37" t="s">
        <v>7693</v>
      </c>
      <c r="D874" s="28" t="s">
        <v>6526</v>
      </c>
      <c r="E874" s="36" t="s">
        <v>7191</v>
      </c>
      <c r="F874" s="28" t="s">
        <v>5173</v>
      </c>
      <c r="G874" s="36" t="s">
        <v>6546</v>
      </c>
      <c r="H874" s="36" t="s">
        <v>3482</v>
      </c>
    </row>
    <row r="875" spans="1:8" ht="50.5">
      <c r="A875" s="28" t="s">
        <v>1597</v>
      </c>
      <c r="B875" s="8" t="s">
        <v>7704</v>
      </c>
      <c r="C875" s="37" t="s">
        <v>7693</v>
      </c>
      <c r="D875" s="28" t="s">
        <v>1662</v>
      </c>
      <c r="E875" s="36" t="s">
        <v>7192</v>
      </c>
      <c r="F875" s="28" t="s">
        <v>5173</v>
      </c>
      <c r="G875" s="36" t="s">
        <v>7193</v>
      </c>
      <c r="H875" s="36" t="s">
        <v>3482</v>
      </c>
    </row>
    <row r="876" spans="1:8" ht="20.5">
      <c r="A876" s="28" t="s">
        <v>1220</v>
      </c>
      <c r="B876" s="37" t="s">
        <v>7732</v>
      </c>
      <c r="C876" s="37" t="s">
        <v>7693</v>
      </c>
      <c r="D876" s="28" t="s">
        <v>6526</v>
      </c>
      <c r="E876" s="36" t="s">
        <v>7194</v>
      </c>
      <c r="F876" s="28" t="s">
        <v>5173</v>
      </c>
      <c r="G876" s="36" t="s">
        <v>6546</v>
      </c>
      <c r="H876" s="36" t="s">
        <v>3482</v>
      </c>
    </row>
    <row r="877" spans="1:8" ht="12.5">
      <c r="A877" s="28" t="s">
        <v>1220</v>
      </c>
      <c r="B877" s="37" t="s">
        <v>7732</v>
      </c>
      <c r="C877" s="37" t="s">
        <v>7693</v>
      </c>
      <c r="D877" s="28" t="s">
        <v>6526</v>
      </c>
      <c r="E877" s="36" t="s">
        <v>7195</v>
      </c>
      <c r="F877" s="28" t="s">
        <v>5173</v>
      </c>
      <c r="G877" s="36" t="s">
        <v>6546</v>
      </c>
      <c r="H877" s="36" t="s">
        <v>3482</v>
      </c>
    </row>
    <row r="878" spans="1:8" ht="50.5">
      <c r="A878" s="28" t="s">
        <v>1220</v>
      </c>
      <c r="B878" s="37" t="s">
        <v>7732</v>
      </c>
      <c r="C878" s="37" t="s">
        <v>7693</v>
      </c>
      <c r="D878" s="28" t="s">
        <v>6526</v>
      </c>
      <c r="E878" s="36" t="s">
        <v>7196</v>
      </c>
      <c r="F878" s="28" t="s">
        <v>5173</v>
      </c>
      <c r="G878" s="36" t="s">
        <v>7197</v>
      </c>
      <c r="H878" s="36" t="s">
        <v>3482</v>
      </c>
    </row>
    <row r="879" spans="1:8" ht="12.5">
      <c r="A879" s="28" t="s">
        <v>1220</v>
      </c>
      <c r="B879" s="37" t="s">
        <v>7732</v>
      </c>
      <c r="C879" s="37" t="s">
        <v>7693</v>
      </c>
      <c r="D879" s="28" t="s">
        <v>6526</v>
      </c>
      <c r="E879" s="36" t="s">
        <v>7198</v>
      </c>
      <c r="F879" s="28" t="s">
        <v>5173</v>
      </c>
      <c r="G879" s="36" t="s">
        <v>6546</v>
      </c>
      <c r="H879" s="36" t="s">
        <v>3482</v>
      </c>
    </row>
    <row r="880" spans="1:8" ht="30.5">
      <c r="A880" s="28" t="s">
        <v>1220</v>
      </c>
      <c r="B880" s="37" t="s">
        <v>7732</v>
      </c>
      <c r="C880" s="37" t="s">
        <v>7693</v>
      </c>
      <c r="D880" s="28" t="s">
        <v>6526</v>
      </c>
      <c r="E880" s="36" t="s">
        <v>7199</v>
      </c>
      <c r="F880" s="28" t="s">
        <v>5173</v>
      </c>
      <c r="G880" s="36" t="s">
        <v>7200</v>
      </c>
      <c r="H880" s="36" t="s">
        <v>3482</v>
      </c>
    </row>
    <row r="881" spans="1:8" ht="30.5">
      <c r="A881" s="28" t="s">
        <v>1220</v>
      </c>
      <c r="B881" s="37" t="s">
        <v>7732</v>
      </c>
      <c r="C881" s="37" t="s">
        <v>7693</v>
      </c>
      <c r="D881" s="28" t="s">
        <v>6526</v>
      </c>
      <c r="E881" s="36" t="s">
        <v>7201</v>
      </c>
      <c r="F881" s="28" t="s">
        <v>5173</v>
      </c>
      <c r="G881" s="36" t="s">
        <v>7202</v>
      </c>
      <c r="H881" s="36" t="s">
        <v>3482</v>
      </c>
    </row>
    <row r="882" spans="1:8" ht="30.5">
      <c r="A882" s="28" t="s">
        <v>1220</v>
      </c>
      <c r="B882" s="37" t="s">
        <v>7732</v>
      </c>
      <c r="C882" s="37" t="s">
        <v>7693</v>
      </c>
      <c r="D882" s="28" t="s">
        <v>6526</v>
      </c>
      <c r="E882" s="36" t="s">
        <v>7203</v>
      </c>
      <c r="F882" s="28" t="s">
        <v>5173</v>
      </c>
      <c r="G882" s="36" t="s">
        <v>7204</v>
      </c>
      <c r="H882" s="36" t="s">
        <v>3482</v>
      </c>
    </row>
    <row r="883" spans="1:8" ht="50.5">
      <c r="A883" s="28" t="s">
        <v>1220</v>
      </c>
      <c r="B883" s="37" t="s">
        <v>7732</v>
      </c>
      <c r="C883" s="37" t="s">
        <v>7693</v>
      </c>
      <c r="D883" s="28" t="s">
        <v>6526</v>
      </c>
      <c r="E883" s="36" t="s">
        <v>7205</v>
      </c>
      <c r="F883" s="28" t="s">
        <v>5173</v>
      </c>
      <c r="G883" s="36" t="s">
        <v>7206</v>
      </c>
      <c r="H883" s="36" t="s">
        <v>3482</v>
      </c>
    </row>
    <row r="884" spans="1:8" ht="20.5">
      <c r="A884" s="28" t="s">
        <v>1220</v>
      </c>
      <c r="B884" s="37" t="s">
        <v>7732</v>
      </c>
      <c r="C884" s="37" t="s">
        <v>7693</v>
      </c>
      <c r="D884" s="28" t="s">
        <v>6526</v>
      </c>
      <c r="E884" s="36" t="s">
        <v>7207</v>
      </c>
      <c r="F884" s="28" t="s">
        <v>5173</v>
      </c>
      <c r="G884" s="36" t="s">
        <v>6546</v>
      </c>
      <c r="H884" s="36" t="s">
        <v>3482</v>
      </c>
    </row>
    <row r="885" spans="1:8" ht="90.5">
      <c r="A885" s="28" t="s">
        <v>1220</v>
      </c>
      <c r="B885" s="37" t="s">
        <v>7732</v>
      </c>
      <c r="C885" s="37" t="s">
        <v>7693</v>
      </c>
      <c r="D885" s="28" t="s">
        <v>6526</v>
      </c>
      <c r="E885" s="36" t="s">
        <v>7208</v>
      </c>
      <c r="F885" s="28" t="s">
        <v>5173</v>
      </c>
      <c r="G885" s="36" t="s">
        <v>7209</v>
      </c>
      <c r="H885" s="36" t="s">
        <v>3482</v>
      </c>
    </row>
    <row r="886" spans="1:8" ht="30.5">
      <c r="A886" s="28" t="s">
        <v>1220</v>
      </c>
      <c r="B886" s="37" t="s">
        <v>7732</v>
      </c>
      <c r="C886" s="37" t="s">
        <v>7693</v>
      </c>
      <c r="D886" s="28" t="s">
        <v>6526</v>
      </c>
      <c r="E886" s="36" t="s">
        <v>7210</v>
      </c>
      <c r="F886" s="28" t="s">
        <v>5173</v>
      </c>
      <c r="G886" s="36" t="s">
        <v>7211</v>
      </c>
      <c r="H886" s="36" t="s">
        <v>3482</v>
      </c>
    </row>
    <row r="887" spans="1:8" ht="30.5">
      <c r="A887" s="28" t="s">
        <v>1220</v>
      </c>
      <c r="B887" s="37" t="s">
        <v>7732</v>
      </c>
      <c r="C887" s="37" t="s">
        <v>7693</v>
      </c>
      <c r="D887" s="28" t="s">
        <v>6526</v>
      </c>
      <c r="E887" s="36" t="s">
        <v>7212</v>
      </c>
      <c r="F887" s="28" t="s">
        <v>5173</v>
      </c>
      <c r="G887" s="36" t="s">
        <v>7213</v>
      </c>
      <c r="H887" s="36" t="s">
        <v>3482</v>
      </c>
    </row>
    <row r="888" spans="1:8" ht="20.5">
      <c r="A888" s="28" t="s">
        <v>1900</v>
      </c>
      <c r="B888" s="8" t="s">
        <v>7781</v>
      </c>
      <c r="C888" s="37" t="s">
        <v>7693</v>
      </c>
      <c r="D888" s="28" t="s">
        <v>2055</v>
      </c>
      <c r="E888" s="36" t="s">
        <v>7214</v>
      </c>
      <c r="F888" s="28" t="s">
        <v>5173</v>
      </c>
      <c r="G888" s="36" t="s">
        <v>6546</v>
      </c>
      <c r="H888" s="36" t="s">
        <v>3482</v>
      </c>
    </row>
    <row r="889" spans="1:8" ht="20.5">
      <c r="A889" s="28" t="s">
        <v>1220</v>
      </c>
      <c r="B889" s="37" t="s">
        <v>7732</v>
      </c>
      <c r="C889" s="37" t="s">
        <v>7693</v>
      </c>
      <c r="D889" s="28" t="s">
        <v>6526</v>
      </c>
      <c r="E889" s="36" t="s">
        <v>7215</v>
      </c>
      <c r="F889" s="28" t="s">
        <v>5173</v>
      </c>
      <c r="G889" s="36" t="s">
        <v>6546</v>
      </c>
      <c r="H889" s="36" t="s">
        <v>3482</v>
      </c>
    </row>
    <row r="890" spans="1:8" ht="60.5">
      <c r="A890" s="28" t="s">
        <v>1220</v>
      </c>
      <c r="B890" s="37" t="s">
        <v>7732</v>
      </c>
      <c r="C890" s="37" t="s">
        <v>7693</v>
      </c>
      <c r="D890" s="28" t="s">
        <v>6526</v>
      </c>
      <c r="E890" s="36" t="s">
        <v>7216</v>
      </c>
      <c r="F890" s="28" t="s">
        <v>5173</v>
      </c>
      <c r="G890" s="36" t="s">
        <v>7217</v>
      </c>
      <c r="H890" s="36" t="s">
        <v>3482</v>
      </c>
    </row>
    <row r="891" spans="1:8" ht="30.5">
      <c r="A891" s="28" t="s">
        <v>1220</v>
      </c>
      <c r="B891" s="37" t="s">
        <v>7732</v>
      </c>
      <c r="C891" s="37" t="s">
        <v>7693</v>
      </c>
      <c r="D891" s="28" t="s">
        <v>6526</v>
      </c>
      <c r="E891" s="36" t="s">
        <v>7218</v>
      </c>
      <c r="F891" s="28" t="s">
        <v>5173</v>
      </c>
      <c r="G891" s="36" t="s">
        <v>7219</v>
      </c>
      <c r="H891" s="36" t="s">
        <v>3482</v>
      </c>
    </row>
    <row r="892" spans="1:8" ht="30.5">
      <c r="A892" s="28" t="s">
        <v>1220</v>
      </c>
      <c r="B892" s="37" t="s">
        <v>7732</v>
      </c>
      <c r="C892" s="37" t="s">
        <v>7693</v>
      </c>
      <c r="D892" s="28" t="s">
        <v>6526</v>
      </c>
      <c r="E892" s="36" t="s">
        <v>7220</v>
      </c>
      <c r="F892" s="28" t="s">
        <v>5173</v>
      </c>
      <c r="G892" s="36" t="s">
        <v>7221</v>
      </c>
      <c r="H892" s="36" t="s">
        <v>3482</v>
      </c>
    </row>
    <row r="893" spans="1:8" ht="30.5">
      <c r="A893" s="28" t="s">
        <v>1220</v>
      </c>
      <c r="B893" s="37" t="s">
        <v>7732</v>
      </c>
      <c r="C893" s="37" t="s">
        <v>7693</v>
      </c>
      <c r="D893" s="28" t="s">
        <v>6526</v>
      </c>
      <c r="E893" s="36" t="s">
        <v>7222</v>
      </c>
      <c r="F893" s="28" t="s">
        <v>5173</v>
      </c>
      <c r="G893" s="36" t="s">
        <v>7223</v>
      </c>
      <c r="H893" s="36" t="s">
        <v>3482</v>
      </c>
    </row>
    <row r="894" spans="1:8" ht="20.5">
      <c r="A894" s="28" t="s">
        <v>1220</v>
      </c>
      <c r="B894" s="37" t="s">
        <v>7732</v>
      </c>
      <c r="C894" s="37" t="s">
        <v>7693</v>
      </c>
      <c r="D894" s="28" t="s">
        <v>6526</v>
      </c>
      <c r="E894" s="36" t="s">
        <v>7224</v>
      </c>
      <c r="F894" s="28" t="s">
        <v>5173</v>
      </c>
      <c r="G894" s="36" t="s">
        <v>7225</v>
      </c>
      <c r="H894" s="36" t="s">
        <v>3482</v>
      </c>
    </row>
    <row r="895" spans="1:8" ht="50.5">
      <c r="A895" s="28" t="s">
        <v>1220</v>
      </c>
      <c r="B895" s="37" t="s">
        <v>7732</v>
      </c>
      <c r="C895" s="37" t="s">
        <v>7693</v>
      </c>
      <c r="D895" s="28" t="s">
        <v>6526</v>
      </c>
      <c r="E895" s="36" t="s">
        <v>7226</v>
      </c>
      <c r="F895" s="28" t="s">
        <v>5173</v>
      </c>
      <c r="G895" s="36" t="s">
        <v>7227</v>
      </c>
      <c r="H895" s="36" t="s">
        <v>3482</v>
      </c>
    </row>
    <row r="896" spans="1:8" ht="50.5">
      <c r="A896" s="28" t="s">
        <v>1220</v>
      </c>
      <c r="B896" s="37" t="s">
        <v>7732</v>
      </c>
      <c r="C896" s="37" t="s">
        <v>7693</v>
      </c>
      <c r="D896" s="28" t="s">
        <v>6526</v>
      </c>
      <c r="E896" s="36" t="s">
        <v>7228</v>
      </c>
      <c r="F896" s="28" t="s">
        <v>5173</v>
      </c>
      <c r="G896" s="36" t="s">
        <v>7229</v>
      </c>
      <c r="H896" s="36" t="s">
        <v>3482</v>
      </c>
    </row>
    <row r="897" spans="1:8" ht="30.5">
      <c r="A897" s="28" t="s">
        <v>287</v>
      </c>
      <c r="B897" s="8" t="s">
        <v>7700</v>
      </c>
      <c r="C897" s="37" t="s">
        <v>7693</v>
      </c>
      <c r="D897" s="28" t="s">
        <v>3497</v>
      </c>
      <c r="E897" s="36" t="s">
        <v>7230</v>
      </c>
      <c r="F897" s="28" t="s">
        <v>5173</v>
      </c>
      <c r="G897" s="36" t="s">
        <v>7231</v>
      </c>
      <c r="H897" s="36" t="s">
        <v>3482</v>
      </c>
    </row>
    <row r="898" spans="1:8" ht="20.5">
      <c r="A898" s="28" t="s">
        <v>1220</v>
      </c>
      <c r="B898" s="37" t="s">
        <v>7732</v>
      </c>
      <c r="C898" s="37" t="s">
        <v>7693</v>
      </c>
      <c r="D898" s="28" t="s">
        <v>6526</v>
      </c>
      <c r="E898" s="36" t="s">
        <v>7232</v>
      </c>
      <c r="F898" s="28" t="s">
        <v>5173</v>
      </c>
      <c r="G898" s="36" t="s">
        <v>6546</v>
      </c>
      <c r="H898" s="36" t="s">
        <v>3482</v>
      </c>
    </row>
    <row r="899" spans="1:8" ht="20.5">
      <c r="A899" s="28" t="s">
        <v>1220</v>
      </c>
      <c r="B899" s="37" t="s">
        <v>7732</v>
      </c>
      <c r="C899" s="37" t="s">
        <v>7693</v>
      </c>
      <c r="D899" s="28" t="s">
        <v>6526</v>
      </c>
      <c r="E899" s="36" t="s">
        <v>7233</v>
      </c>
      <c r="F899" s="28" t="s">
        <v>5173</v>
      </c>
      <c r="G899" s="36" t="s">
        <v>7234</v>
      </c>
      <c r="H899" s="36" t="s">
        <v>3482</v>
      </c>
    </row>
    <row r="900" spans="1:8" ht="60.5">
      <c r="A900" s="28" t="s">
        <v>1220</v>
      </c>
      <c r="B900" s="37" t="s">
        <v>7732</v>
      </c>
      <c r="C900" s="37" t="s">
        <v>7693</v>
      </c>
      <c r="D900" s="28" t="s">
        <v>6526</v>
      </c>
      <c r="E900" s="36" t="s">
        <v>7235</v>
      </c>
      <c r="F900" s="28" t="s">
        <v>5173</v>
      </c>
      <c r="G900" s="36" t="s">
        <v>7236</v>
      </c>
      <c r="H900" s="36" t="s">
        <v>3482</v>
      </c>
    </row>
    <row r="901" spans="1:8" ht="40.5">
      <c r="A901" s="28" t="s">
        <v>1220</v>
      </c>
      <c r="B901" s="37" t="s">
        <v>7732</v>
      </c>
      <c r="C901" s="37" t="s">
        <v>7693</v>
      </c>
      <c r="D901" s="28" t="s">
        <v>6526</v>
      </c>
      <c r="E901" s="36" t="s">
        <v>7237</v>
      </c>
      <c r="F901" s="28" t="s">
        <v>5173</v>
      </c>
      <c r="G901" s="36" t="s">
        <v>6546</v>
      </c>
      <c r="H901" s="36" t="s">
        <v>3482</v>
      </c>
    </row>
    <row r="902" spans="1:8" ht="12.5">
      <c r="A902" s="28" t="s">
        <v>287</v>
      </c>
      <c r="B902" s="8" t="s">
        <v>7700</v>
      </c>
      <c r="C902" s="37" t="s">
        <v>7693</v>
      </c>
      <c r="D902" s="28" t="s">
        <v>3497</v>
      </c>
      <c r="E902" s="36" t="s">
        <v>7238</v>
      </c>
      <c r="F902" s="28" t="s">
        <v>5173</v>
      </c>
      <c r="G902" s="36" t="s">
        <v>6546</v>
      </c>
      <c r="H902" s="36" t="s">
        <v>3482</v>
      </c>
    </row>
    <row r="903" spans="1:8" ht="70.5">
      <c r="A903" s="28" t="s">
        <v>1220</v>
      </c>
      <c r="B903" s="37" t="s">
        <v>7732</v>
      </c>
      <c r="C903" s="37" t="s">
        <v>7693</v>
      </c>
      <c r="D903" s="28" t="s">
        <v>6526</v>
      </c>
      <c r="E903" s="36" t="s">
        <v>7239</v>
      </c>
      <c r="F903" s="28" t="s">
        <v>5173</v>
      </c>
      <c r="G903" s="36" t="s">
        <v>7240</v>
      </c>
      <c r="H903" s="36" t="s">
        <v>6152</v>
      </c>
    </row>
    <row r="904" spans="1:8" ht="12.5">
      <c r="A904" s="28" t="s">
        <v>2793</v>
      </c>
      <c r="B904" s="8" t="s">
        <v>7737</v>
      </c>
      <c r="C904" s="37" t="s">
        <v>7693</v>
      </c>
      <c r="D904" s="28" t="s">
        <v>2902</v>
      </c>
      <c r="E904" s="36" t="s">
        <v>7241</v>
      </c>
      <c r="F904" s="28" t="s">
        <v>5173</v>
      </c>
      <c r="G904" s="36" t="s">
        <v>6546</v>
      </c>
      <c r="H904" s="36" t="s">
        <v>3482</v>
      </c>
    </row>
    <row r="905" spans="1:8" ht="20.5">
      <c r="A905" s="28" t="s">
        <v>1220</v>
      </c>
      <c r="B905" s="37" t="s">
        <v>7732</v>
      </c>
      <c r="C905" s="37" t="s">
        <v>7693</v>
      </c>
      <c r="D905" s="28" t="s">
        <v>6526</v>
      </c>
      <c r="E905" s="38" t="s">
        <v>7242</v>
      </c>
      <c r="F905" s="28" t="s">
        <v>5173</v>
      </c>
      <c r="G905" s="36" t="s">
        <v>6546</v>
      </c>
      <c r="H905" s="36" t="s">
        <v>3482</v>
      </c>
    </row>
    <row r="906" spans="1:8" ht="20.5">
      <c r="A906" s="28" t="s">
        <v>1220</v>
      </c>
      <c r="B906" s="37" t="s">
        <v>7732</v>
      </c>
      <c r="C906" s="37" t="s">
        <v>7693</v>
      </c>
      <c r="D906" s="28" t="s">
        <v>6526</v>
      </c>
      <c r="E906" s="36" t="s">
        <v>7243</v>
      </c>
      <c r="F906" s="28" t="s">
        <v>5173</v>
      </c>
      <c r="G906" s="36" t="s">
        <v>7244</v>
      </c>
      <c r="H906" s="36" t="s">
        <v>3482</v>
      </c>
    </row>
    <row r="907" spans="1:8" ht="30.5">
      <c r="A907" s="28" t="s">
        <v>2648</v>
      </c>
      <c r="B907" s="8" t="s">
        <v>7601</v>
      </c>
      <c r="C907" s="37" t="s">
        <v>7693</v>
      </c>
      <c r="D907" s="28" t="s">
        <v>2768</v>
      </c>
      <c r="E907" s="36" t="s">
        <v>7245</v>
      </c>
      <c r="F907" s="28" t="s">
        <v>5173</v>
      </c>
      <c r="G907" s="36" t="s">
        <v>7246</v>
      </c>
      <c r="H907" s="36" t="s">
        <v>7247</v>
      </c>
    </row>
    <row r="908" spans="1:8" ht="12.5">
      <c r="A908" s="28" t="s">
        <v>2648</v>
      </c>
      <c r="B908" s="8" t="s">
        <v>7601</v>
      </c>
      <c r="C908" s="37" t="s">
        <v>7693</v>
      </c>
      <c r="D908" s="28" t="s">
        <v>2768</v>
      </c>
      <c r="E908" s="36" t="s">
        <v>6162</v>
      </c>
      <c r="F908" s="28" t="s">
        <v>5180</v>
      </c>
      <c r="G908" s="36" t="s">
        <v>6546</v>
      </c>
      <c r="H908" s="36" t="s">
        <v>6164</v>
      </c>
    </row>
    <row r="909" spans="1:8" ht="30.5">
      <c r="A909" s="28" t="s">
        <v>2648</v>
      </c>
      <c r="B909" s="8" t="s">
        <v>7601</v>
      </c>
      <c r="C909" s="37" t="s">
        <v>7693</v>
      </c>
      <c r="D909" s="28" t="s">
        <v>2768</v>
      </c>
      <c r="E909" s="36" t="s">
        <v>7248</v>
      </c>
      <c r="F909" s="28" t="s">
        <v>5173</v>
      </c>
      <c r="G909" s="36" t="s">
        <v>7249</v>
      </c>
      <c r="H909" s="36" t="s">
        <v>3482</v>
      </c>
    </row>
    <row r="910" spans="1:8" ht="20.5">
      <c r="A910" s="28" t="s">
        <v>2793</v>
      </c>
      <c r="B910" s="8" t="s">
        <v>7737</v>
      </c>
      <c r="C910" s="37" t="s">
        <v>7693</v>
      </c>
      <c r="D910" s="28" t="s">
        <v>2902</v>
      </c>
      <c r="E910" s="36" t="s">
        <v>6339</v>
      </c>
      <c r="F910" s="28" t="s">
        <v>5180</v>
      </c>
      <c r="G910" s="36" t="s">
        <v>7250</v>
      </c>
      <c r="H910" s="36" t="s">
        <v>6341</v>
      </c>
    </row>
    <row r="911" spans="1:8" ht="30.5">
      <c r="A911" s="28" t="s">
        <v>2909</v>
      </c>
      <c r="B911" s="8" t="s">
        <v>7717</v>
      </c>
      <c r="C911" s="37" t="s">
        <v>7693</v>
      </c>
      <c r="D911" s="28" t="s">
        <v>2996</v>
      </c>
      <c r="E911" s="36" t="s">
        <v>7251</v>
      </c>
      <c r="F911" s="28" t="s">
        <v>5180</v>
      </c>
      <c r="G911" s="36" t="s">
        <v>7252</v>
      </c>
      <c r="H911" s="36" t="s">
        <v>3482</v>
      </c>
    </row>
    <row r="912" spans="1:8" ht="12.5">
      <c r="A912" s="28" t="s">
        <v>3046</v>
      </c>
      <c r="B912" s="8" t="s">
        <v>7708</v>
      </c>
      <c r="C912" s="37" t="s">
        <v>7693</v>
      </c>
      <c r="D912" s="28" t="s">
        <v>3190</v>
      </c>
      <c r="E912" s="36" t="s">
        <v>5573</v>
      </c>
      <c r="F912" s="28" t="s">
        <v>5180</v>
      </c>
      <c r="G912" s="36" t="s">
        <v>6546</v>
      </c>
      <c r="H912" s="36" t="s">
        <v>5575</v>
      </c>
    </row>
    <row r="913" spans="1:8" ht="20.5">
      <c r="A913" s="28" t="s">
        <v>3194</v>
      </c>
      <c r="B913" s="8" t="s">
        <v>7707</v>
      </c>
      <c r="C913" s="37" t="s">
        <v>7693</v>
      </c>
      <c r="D913" s="28" t="s">
        <v>3309</v>
      </c>
      <c r="E913" s="36" t="s">
        <v>5223</v>
      </c>
      <c r="F913" s="28" t="s">
        <v>5180</v>
      </c>
      <c r="G913" s="36" t="s">
        <v>7253</v>
      </c>
      <c r="H913" s="36" t="s">
        <v>5225</v>
      </c>
    </row>
    <row r="914" spans="1:8" ht="12.5">
      <c r="A914" s="28" t="s">
        <v>3315</v>
      </c>
      <c r="B914" s="8" t="s">
        <v>7705</v>
      </c>
      <c r="C914" s="37" t="s">
        <v>7693</v>
      </c>
      <c r="D914" s="28" t="s">
        <v>3435</v>
      </c>
      <c r="E914" s="36" t="s">
        <v>7254</v>
      </c>
      <c r="F914" s="28" t="s">
        <v>5180</v>
      </c>
      <c r="G914" s="36" t="s">
        <v>6546</v>
      </c>
      <c r="H914" s="36" t="s">
        <v>5249</v>
      </c>
    </row>
    <row r="915" spans="1:8" ht="20.5">
      <c r="A915" s="28" t="s">
        <v>3315</v>
      </c>
      <c r="B915" s="8" t="s">
        <v>7705</v>
      </c>
      <c r="C915" s="37" t="s">
        <v>7693</v>
      </c>
      <c r="D915" s="28" t="s">
        <v>3435</v>
      </c>
      <c r="E915" s="36" t="s">
        <v>7255</v>
      </c>
      <c r="F915" s="28" t="s">
        <v>5173</v>
      </c>
      <c r="G915" s="36" t="s">
        <v>7256</v>
      </c>
      <c r="H915" s="36" t="s">
        <v>3482</v>
      </c>
    </row>
    <row r="916" spans="1:8" ht="40.5">
      <c r="A916" s="28" t="s">
        <v>1220</v>
      </c>
      <c r="B916" s="37" t="s">
        <v>7732</v>
      </c>
      <c r="C916" s="37" t="s">
        <v>7693</v>
      </c>
      <c r="D916" s="28" t="s">
        <v>6526</v>
      </c>
      <c r="E916" s="36" t="s">
        <v>7257</v>
      </c>
      <c r="F916" s="28" t="s">
        <v>7258</v>
      </c>
      <c r="G916" s="36" t="s">
        <v>7259</v>
      </c>
      <c r="H916" s="36" t="s">
        <v>7260</v>
      </c>
    </row>
    <row r="917" spans="1:8" ht="50.5">
      <c r="A917" s="28" t="s">
        <v>1788</v>
      </c>
      <c r="B917" s="8" t="s">
        <v>7706</v>
      </c>
      <c r="C917" s="37" t="s">
        <v>7693</v>
      </c>
      <c r="D917" s="28" t="s">
        <v>1735</v>
      </c>
      <c r="E917" s="36" t="s">
        <v>7261</v>
      </c>
      <c r="F917" s="28" t="s">
        <v>7258</v>
      </c>
      <c r="G917" s="36" t="s">
        <v>7262</v>
      </c>
      <c r="H917" s="36" t="s">
        <v>7263</v>
      </c>
    </row>
    <row r="918" spans="1:8" ht="20.5">
      <c r="A918" s="28" t="s">
        <v>3046</v>
      </c>
      <c r="B918" s="37" t="s">
        <v>7708</v>
      </c>
      <c r="C918" s="37" t="s">
        <v>7693</v>
      </c>
      <c r="D918" s="28" t="s">
        <v>3190</v>
      </c>
      <c r="E918" s="36" t="s">
        <v>6539</v>
      </c>
      <c r="F918" s="28" t="s">
        <v>7258</v>
      </c>
      <c r="G918" s="36" t="s">
        <v>7264</v>
      </c>
      <c r="H918" s="36" t="s">
        <v>7265</v>
      </c>
    </row>
    <row r="919" spans="1:8" ht="40.5">
      <c r="A919" s="28" t="s">
        <v>1900</v>
      </c>
      <c r="B919" s="37" t="s">
        <v>7781</v>
      </c>
      <c r="C919" s="37" t="s">
        <v>7693</v>
      </c>
      <c r="D919" s="28" t="s">
        <v>2055</v>
      </c>
      <c r="E919" s="36" t="s">
        <v>7266</v>
      </c>
      <c r="F919" s="28" t="s">
        <v>7258</v>
      </c>
      <c r="G919" s="36" t="s">
        <v>7267</v>
      </c>
      <c r="H919" s="36" t="s">
        <v>7268</v>
      </c>
    </row>
    <row r="920" spans="1:8" ht="30.5">
      <c r="A920" s="28" t="s">
        <v>2124</v>
      </c>
      <c r="B920" s="37" t="s">
        <v>7703</v>
      </c>
      <c r="C920" s="37" t="s">
        <v>7693</v>
      </c>
      <c r="D920" s="28" t="s">
        <v>2251</v>
      </c>
      <c r="E920" s="36" t="s">
        <v>7269</v>
      </c>
      <c r="F920" s="28" t="s">
        <v>7258</v>
      </c>
      <c r="G920" s="36" t="s">
        <v>7270</v>
      </c>
      <c r="H920" s="36" t="s">
        <v>7271</v>
      </c>
    </row>
    <row r="921" spans="1:8" ht="30.5">
      <c r="A921" s="28" t="s">
        <v>733</v>
      </c>
      <c r="B921" s="37" t="s">
        <v>7807</v>
      </c>
      <c r="C921" s="37" t="s">
        <v>7693</v>
      </c>
      <c r="D921" s="28" t="s">
        <v>872</v>
      </c>
      <c r="E921" s="36" t="s">
        <v>7272</v>
      </c>
      <c r="F921" s="28" t="s">
        <v>7258</v>
      </c>
      <c r="G921" s="36" t="s">
        <v>7270</v>
      </c>
      <c r="H921" s="36" t="s">
        <v>7273</v>
      </c>
    </row>
    <row r="922" spans="1:8" ht="30.5">
      <c r="A922" s="28" t="s">
        <v>1220</v>
      </c>
      <c r="B922" s="37" t="s">
        <v>7732</v>
      </c>
      <c r="C922" s="37" t="s">
        <v>7693</v>
      </c>
      <c r="D922" s="28" t="s">
        <v>3538</v>
      </c>
      <c r="E922" s="36" t="s">
        <v>7274</v>
      </c>
      <c r="F922" s="28" t="s">
        <v>7258</v>
      </c>
      <c r="G922" s="36" t="s">
        <v>7275</v>
      </c>
      <c r="H922" s="36" t="s">
        <v>7276</v>
      </c>
    </row>
    <row r="923" spans="1:8" ht="40.5">
      <c r="A923" s="28" t="s">
        <v>2527</v>
      </c>
      <c r="B923" s="37" t="s">
        <v>7727</v>
      </c>
      <c r="C923" s="37" t="s">
        <v>7693</v>
      </c>
      <c r="D923" s="28" t="s">
        <v>3504</v>
      </c>
      <c r="E923" s="36" t="s">
        <v>7277</v>
      </c>
      <c r="F923" s="28" t="s">
        <v>7258</v>
      </c>
      <c r="G923" s="36" t="s">
        <v>7278</v>
      </c>
      <c r="H923" s="36" t="s">
        <v>7279</v>
      </c>
    </row>
    <row r="924" spans="1:8" ht="40.5">
      <c r="A924" s="28" t="s">
        <v>287</v>
      </c>
      <c r="B924" s="37" t="s">
        <v>7700</v>
      </c>
      <c r="C924" s="37" t="s">
        <v>7693</v>
      </c>
      <c r="D924" s="28" t="s">
        <v>6408</v>
      </c>
      <c r="E924" s="36" t="s">
        <v>7280</v>
      </c>
      <c r="F924" s="28" t="s">
        <v>7258</v>
      </c>
      <c r="G924" s="36" t="s">
        <v>7278</v>
      </c>
      <c r="H924" s="36" t="s">
        <v>7281</v>
      </c>
    </row>
    <row r="925" spans="1:8" ht="40.5">
      <c r="A925" s="28" t="s">
        <v>2124</v>
      </c>
      <c r="B925" s="37" t="s">
        <v>7703</v>
      </c>
      <c r="C925" s="37" t="s">
        <v>7693</v>
      </c>
      <c r="D925" s="28" t="s">
        <v>2140</v>
      </c>
      <c r="E925" s="36" t="s">
        <v>7282</v>
      </c>
      <c r="F925" s="28" t="s">
        <v>7258</v>
      </c>
      <c r="G925" s="36" t="s">
        <v>7278</v>
      </c>
      <c r="H925" s="36" t="s">
        <v>7283</v>
      </c>
    </row>
    <row r="926" spans="1:8" ht="40.5">
      <c r="A926" s="28" t="s">
        <v>17</v>
      </c>
      <c r="B926" s="37" t="s">
        <v>7699</v>
      </c>
      <c r="C926" s="37" t="s">
        <v>7693</v>
      </c>
      <c r="D926" s="28" t="s">
        <v>3705</v>
      </c>
      <c r="E926" s="36" t="s">
        <v>7284</v>
      </c>
      <c r="F926" s="28" t="s">
        <v>5166</v>
      </c>
      <c r="G926" s="36" t="s">
        <v>7285</v>
      </c>
      <c r="H926" s="36" t="s">
        <v>7286</v>
      </c>
    </row>
    <row r="927" spans="1:8" ht="60.5">
      <c r="A927" s="28" t="s">
        <v>915</v>
      </c>
      <c r="B927" s="37" t="s">
        <v>7701</v>
      </c>
      <c r="C927" s="37" t="s">
        <v>7693</v>
      </c>
      <c r="D927" s="28" t="s">
        <v>972</v>
      </c>
      <c r="E927" s="36" t="s">
        <v>7287</v>
      </c>
      <c r="F927" s="28" t="s">
        <v>5166</v>
      </c>
      <c r="G927" s="36" t="s">
        <v>7288</v>
      </c>
      <c r="H927" s="36" t="s">
        <v>7289</v>
      </c>
    </row>
    <row r="928" spans="1:8" ht="60.5">
      <c r="A928" s="28" t="s">
        <v>1220</v>
      </c>
      <c r="B928" s="37" t="s">
        <v>7732</v>
      </c>
      <c r="C928" s="37" t="s">
        <v>7693</v>
      </c>
      <c r="D928" s="28" t="s">
        <v>6526</v>
      </c>
      <c r="E928" s="36" t="s">
        <v>7290</v>
      </c>
      <c r="F928" s="28" t="s">
        <v>5166</v>
      </c>
      <c r="G928" s="36" t="s">
        <v>7291</v>
      </c>
      <c r="H928" s="36" t="s">
        <v>7292</v>
      </c>
    </row>
    <row r="929" spans="1:8" ht="20.5">
      <c r="A929" s="28" t="s">
        <v>1409</v>
      </c>
      <c r="B929" s="37" t="s">
        <v>7761</v>
      </c>
      <c r="C929" s="37" t="s">
        <v>7693</v>
      </c>
      <c r="D929" s="28" t="s">
        <v>1463</v>
      </c>
      <c r="E929" s="36" t="s">
        <v>7293</v>
      </c>
      <c r="F929" s="28" t="s">
        <v>5166</v>
      </c>
      <c r="G929" s="36" t="s">
        <v>7294</v>
      </c>
      <c r="H929" s="36" t="s">
        <v>7295</v>
      </c>
    </row>
    <row r="930" spans="1:8" ht="60.5">
      <c r="A930" s="28" t="s">
        <v>1900</v>
      </c>
      <c r="B930" s="37" t="s">
        <v>7781</v>
      </c>
      <c r="C930" s="37" t="s">
        <v>7693</v>
      </c>
      <c r="D930" s="28" t="s">
        <v>2055</v>
      </c>
      <c r="E930" s="36" t="s">
        <v>7296</v>
      </c>
      <c r="F930" s="28" t="s">
        <v>5166</v>
      </c>
      <c r="G930" s="36" t="s">
        <v>7297</v>
      </c>
      <c r="H930" s="36" t="s">
        <v>7298</v>
      </c>
    </row>
    <row r="931" spans="1:8" ht="20.5">
      <c r="A931" s="28" t="s">
        <v>2793</v>
      </c>
      <c r="B931" s="37" t="s">
        <v>7737</v>
      </c>
      <c r="C931" s="37" t="s">
        <v>7693</v>
      </c>
      <c r="D931" s="28" t="s">
        <v>2902</v>
      </c>
      <c r="E931" s="36" t="s">
        <v>7299</v>
      </c>
      <c r="F931" s="28" t="s">
        <v>5166</v>
      </c>
      <c r="G931" s="36"/>
      <c r="H931" s="36" t="s">
        <v>7300</v>
      </c>
    </row>
    <row r="932" spans="1:8" ht="20.5">
      <c r="A932" s="28" t="s">
        <v>2909</v>
      </c>
      <c r="B932" s="37" t="s">
        <v>7717</v>
      </c>
      <c r="C932" s="37" t="s">
        <v>7693</v>
      </c>
      <c r="D932" s="28" t="s">
        <v>2996</v>
      </c>
      <c r="E932" s="36" t="s">
        <v>7301</v>
      </c>
      <c r="F932" s="28" t="s">
        <v>5166</v>
      </c>
      <c r="G932" s="36" t="s">
        <v>7302</v>
      </c>
      <c r="H932" s="36" t="s">
        <v>7303</v>
      </c>
    </row>
    <row r="933" spans="1:8" ht="30.5">
      <c r="A933" s="28" t="s">
        <v>3315</v>
      </c>
      <c r="B933" s="37" t="s">
        <v>7705</v>
      </c>
      <c r="C933" s="37" t="s">
        <v>7693</v>
      </c>
      <c r="D933" s="28" t="s">
        <v>3435</v>
      </c>
      <c r="E933" s="36" t="s">
        <v>5242</v>
      </c>
      <c r="F933" s="28" t="s">
        <v>5166</v>
      </c>
      <c r="G933" s="36" t="s">
        <v>7304</v>
      </c>
      <c r="H933" s="36" t="s">
        <v>7305</v>
      </c>
    </row>
    <row r="934" spans="1:8" ht="20.5">
      <c r="A934" s="28" t="s">
        <v>2527</v>
      </c>
      <c r="B934" s="37" t="s">
        <v>7727</v>
      </c>
      <c r="C934" s="37" t="s">
        <v>7693</v>
      </c>
      <c r="D934" s="28" t="s">
        <v>3504</v>
      </c>
      <c r="E934" s="36" t="s">
        <v>7306</v>
      </c>
      <c r="F934" s="28" t="s">
        <v>5166</v>
      </c>
      <c r="G934" s="36" t="s">
        <v>7307</v>
      </c>
      <c r="H934" s="36" t="s">
        <v>7308</v>
      </c>
    </row>
    <row r="935" spans="1:8" ht="30.5">
      <c r="A935" s="28" t="s">
        <v>1220</v>
      </c>
      <c r="B935" s="37" t="s">
        <v>7732</v>
      </c>
      <c r="C935" s="37" t="s">
        <v>7693</v>
      </c>
      <c r="D935" s="28" t="s">
        <v>6526</v>
      </c>
      <c r="E935" s="36" t="s">
        <v>7164</v>
      </c>
      <c r="F935" s="28" t="s">
        <v>5180</v>
      </c>
      <c r="G935" s="36" t="s">
        <v>7309</v>
      </c>
      <c r="H935" s="36" t="s">
        <v>7310</v>
      </c>
    </row>
    <row r="936" spans="1:8" ht="30.5">
      <c r="A936" s="28" t="s">
        <v>17</v>
      </c>
      <c r="B936" s="37" t="s">
        <v>7699</v>
      </c>
      <c r="C936" s="37" t="s">
        <v>7693</v>
      </c>
      <c r="D936" s="28" t="s">
        <v>3705</v>
      </c>
      <c r="E936" s="36" t="s">
        <v>6738</v>
      </c>
      <c r="F936" s="28" t="s">
        <v>5180</v>
      </c>
      <c r="G936" s="36" t="s">
        <v>7311</v>
      </c>
      <c r="H936" s="36" t="s">
        <v>7312</v>
      </c>
    </row>
    <row r="937" spans="1:8" ht="80.5">
      <c r="A937" s="28" t="s">
        <v>733</v>
      </c>
      <c r="B937" s="37" t="s">
        <v>7807</v>
      </c>
      <c r="C937" s="37" t="s">
        <v>7693</v>
      </c>
      <c r="D937" s="28" t="s">
        <v>872</v>
      </c>
      <c r="E937" s="36" t="s">
        <v>7049</v>
      </c>
      <c r="F937" s="28" t="s">
        <v>5180</v>
      </c>
      <c r="G937" s="36" t="s">
        <v>7313</v>
      </c>
      <c r="H937" s="36" t="s">
        <v>7314</v>
      </c>
    </row>
    <row r="938" spans="1:8" ht="20.5">
      <c r="A938" s="28" t="s">
        <v>1065</v>
      </c>
      <c r="B938" s="37" t="s">
        <v>7702</v>
      </c>
      <c r="C938" s="37" t="s">
        <v>7693</v>
      </c>
      <c r="D938" s="28" t="s">
        <v>1070</v>
      </c>
      <c r="E938" s="36" t="s">
        <v>7056</v>
      </c>
      <c r="F938" s="28" t="s">
        <v>5180</v>
      </c>
      <c r="G938" s="36" t="s">
        <v>7315</v>
      </c>
      <c r="H938" s="36" t="s">
        <v>7316</v>
      </c>
    </row>
    <row r="939" spans="1:8" ht="60.5">
      <c r="A939" s="28" t="s">
        <v>1220</v>
      </c>
      <c r="B939" s="37" t="s">
        <v>7732</v>
      </c>
      <c r="C939" s="37" t="s">
        <v>7693</v>
      </c>
      <c r="D939" s="28" t="s">
        <v>6526</v>
      </c>
      <c r="E939" s="36" t="s">
        <v>7065</v>
      </c>
      <c r="F939" s="28" t="s">
        <v>5180</v>
      </c>
      <c r="G939" s="36" t="s">
        <v>7317</v>
      </c>
      <c r="H939" s="36" t="s">
        <v>7318</v>
      </c>
    </row>
    <row r="940" spans="1:8" ht="30.5">
      <c r="A940" s="28" t="s">
        <v>1597</v>
      </c>
      <c r="B940" s="37" t="s">
        <v>7704</v>
      </c>
      <c r="C940" s="37" t="s">
        <v>7693</v>
      </c>
      <c r="D940" s="28" t="s">
        <v>1662</v>
      </c>
      <c r="E940" s="36" t="s">
        <v>7091</v>
      </c>
      <c r="F940" s="28" t="s">
        <v>5180</v>
      </c>
      <c r="G940" s="36" t="s">
        <v>7319</v>
      </c>
      <c r="H940" s="36" t="s">
        <v>7320</v>
      </c>
    </row>
    <row r="941" spans="1:8" ht="70.5">
      <c r="A941" s="28" t="s">
        <v>1900</v>
      </c>
      <c r="B941" s="37" t="s">
        <v>7781</v>
      </c>
      <c r="C941" s="37" t="s">
        <v>7693</v>
      </c>
      <c r="D941" s="28" t="s">
        <v>2055</v>
      </c>
      <c r="E941" s="36" t="s">
        <v>7130</v>
      </c>
      <c r="F941" s="28" t="s">
        <v>5180</v>
      </c>
      <c r="G941" s="36" t="s">
        <v>7321</v>
      </c>
      <c r="H941" s="36" t="s">
        <v>7322</v>
      </c>
    </row>
    <row r="942" spans="1:8" ht="30.5">
      <c r="A942" s="28" t="s">
        <v>2124</v>
      </c>
      <c r="B942" s="37" t="s">
        <v>7703</v>
      </c>
      <c r="C942" s="37" t="s">
        <v>7693</v>
      </c>
      <c r="D942" s="28" t="s">
        <v>2251</v>
      </c>
      <c r="E942" s="36" t="s">
        <v>6501</v>
      </c>
      <c r="F942" s="28" t="s">
        <v>5180</v>
      </c>
      <c r="G942" s="36" t="s">
        <v>7323</v>
      </c>
      <c r="H942" s="36" t="s">
        <v>7324</v>
      </c>
    </row>
    <row r="943" spans="1:8" ht="40.5">
      <c r="A943" s="28" t="s">
        <v>2264</v>
      </c>
      <c r="B943" s="37" t="s">
        <v>3603</v>
      </c>
      <c r="C943" s="37" t="s">
        <v>7693</v>
      </c>
      <c r="D943" s="28" t="s">
        <v>1504</v>
      </c>
      <c r="E943" s="36" t="s">
        <v>7143</v>
      </c>
      <c r="F943" s="28" t="s">
        <v>5180</v>
      </c>
      <c r="G943" s="36" t="s">
        <v>7325</v>
      </c>
      <c r="H943" s="36" t="s">
        <v>7326</v>
      </c>
    </row>
    <row r="944" spans="1:8" ht="90.5">
      <c r="A944" s="28" t="s">
        <v>2412</v>
      </c>
      <c r="B944" s="37" t="s">
        <v>7709</v>
      </c>
      <c r="C944" s="37" t="s">
        <v>7693</v>
      </c>
      <c r="D944" s="28" t="s">
        <v>2495</v>
      </c>
      <c r="E944" s="36" t="s">
        <v>7158</v>
      </c>
      <c r="F944" s="28" t="s">
        <v>5180</v>
      </c>
      <c r="G944" s="36" t="s">
        <v>7327</v>
      </c>
      <c r="H944" s="36" t="s">
        <v>7328</v>
      </c>
    </row>
    <row r="945" spans="1:8" ht="60.5">
      <c r="A945" s="28" t="s">
        <v>2527</v>
      </c>
      <c r="B945" s="37" t="s">
        <v>7727</v>
      </c>
      <c r="C945" s="37" t="s">
        <v>7693</v>
      </c>
      <c r="D945" s="28" t="s">
        <v>3504</v>
      </c>
      <c r="E945" s="36" t="s">
        <v>6480</v>
      </c>
      <c r="F945" s="28" t="s">
        <v>5180</v>
      </c>
      <c r="G945" s="36" t="s">
        <v>7329</v>
      </c>
      <c r="H945" s="36" t="s">
        <v>7330</v>
      </c>
    </row>
    <row r="946" spans="1:8" ht="60.5">
      <c r="A946" s="28" t="s">
        <v>2648</v>
      </c>
      <c r="B946" s="37" t="s">
        <v>7601</v>
      </c>
      <c r="C946" s="37" t="s">
        <v>7693</v>
      </c>
      <c r="D946" s="28" t="s">
        <v>2768</v>
      </c>
      <c r="E946" s="36" t="s">
        <v>6162</v>
      </c>
      <c r="F946" s="28" t="s">
        <v>5180</v>
      </c>
      <c r="G946" s="36" t="s">
        <v>7331</v>
      </c>
      <c r="H946" s="36" t="s">
        <v>7332</v>
      </c>
    </row>
    <row r="947" spans="1:8" ht="70.5">
      <c r="A947" s="28" t="s">
        <v>2793</v>
      </c>
      <c r="B947" s="37" t="s">
        <v>7737</v>
      </c>
      <c r="C947" s="37" t="s">
        <v>7693</v>
      </c>
      <c r="D947" s="28" t="s">
        <v>2902</v>
      </c>
      <c r="E947" s="36" t="s">
        <v>6339</v>
      </c>
      <c r="F947" s="28" t="s">
        <v>5180</v>
      </c>
      <c r="G947" s="36" t="s">
        <v>7333</v>
      </c>
      <c r="H947" s="36" t="s">
        <v>7334</v>
      </c>
    </row>
    <row r="948" spans="1:8" ht="80.5">
      <c r="A948" s="28" t="s">
        <v>2909</v>
      </c>
      <c r="B948" s="37" t="s">
        <v>7717</v>
      </c>
      <c r="C948" s="37" t="s">
        <v>7693</v>
      </c>
      <c r="D948" s="28" t="s">
        <v>2996</v>
      </c>
      <c r="E948" s="36" t="s">
        <v>7251</v>
      </c>
      <c r="F948" s="28" t="s">
        <v>5180</v>
      </c>
      <c r="G948" s="36" t="s">
        <v>7335</v>
      </c>
      <c r="H948" s="36" t="s">
        <v>7336</v>
      </c>
    </row>
    <row r="949" spans="1:8" ht="40.5">
      <c r="A949" s="28" t="s">
        <v>3046</v>
      </c>
      <c r="B949" s="37" t="s">
        <v>7708</v>
      </c>
      <c r="C949" s="37" t="s">
        <v>7693</v>
      </c>
      <c r="D949" s="28" t="s">
        <v>3190</v>
      </c>
      <c r="E949" s="36" t="s">
        <v>5573</v>
      </c>
      <c r="F949" s="28" t="s">
        <v>5180</v>
      </c>
      <c r="G949" s="36" t="s">
        <v>7337</v>
      </c>
      <c r="H949" s="36" t="s">
        <v>7338</v>
      </c>
    </row>
    <row r="950" spans="1:8" ht="60.5">
      <c r="A950" s="28" t="s">
        <v>3315</v>
      </c>
      <c r="B950" s="37" t="s">
        <v>7705</v>
      </c>
      <c r="C950" s="37" t="s">
        <v>7693</v>
      </c>
      <c r="D950" s="28" t="s">
        <v>3435</v>
      </c>
      <c r="E950" s="36" t="s">
        <v>7254</v>
      </c>
      <c r="F950" s="28" t="s">
        <v>5180</v>
      </c>
      <c r="G950" s="36" t="s">
        <v>7339</v>
      </c>
      <c r="H950" s="36" t="s">
        <v>7340</v>
      </c>
    </row>
    <row r="951" spans="1:8" ht="50.5">
      <c r="A951" s="28" t="s">
        <v>1065</v>
      </c>
      <c r="B951" s="37" t="s">
        <v>7702</v>
      </c>
      <c r="C951" s="37" t="s">
        <v>7693</v>
      </c>
      <c r="D951" s="28" t="s">
        <v>1070</v>
      </c>
      <c r="E951" s="36" t="s">
        <v>7341</v>
      </c>
      <c r="F951" s="28" t="s">
        <v>5220</v>
      </c>
      <c r="G951" s="36" t="s">
        <v>7342</v>
      </c>
      <c r="H951" s="36"/>
    </row>
    <row r="952" spans="1:8" ht="50.5">
      <c r="A952" s="28" t="s">
        <v>3315</v>
      </c>
      <c r="B952" s="37" t="s">
        <v>7705</v>
      </c>
      <c r="C952" s="37" t="s">
        <v>7693</v>
      </c>
      <c r="D952" s="28" t="s">
        <v>3435</v>
      </c>
      <c r="E952" s="36" t="s">
        <v>7343</v>
      </c>
      <c r="F952" s="28" t="s">
        <v>5220</v>
      </c>
      <c r="G952" s="36" t="s">
        <v>7342</v>
      </c>
      <c r="H952" s="36"/>
    </row>
    <row r="953" spans="1:8" ht="50.5">
      <c r="A953" s="28" t="s">
        <v>17</v>
      </c>
      <c r="B953" s="37" t="s">
        <v>7699</v>
      </c>
      <c r="C953" s="37" t="s">
        <v>7693</v>
      </c>
      <c r="D953" s="28" t="s">
        <v>3705</v>
      </c>
      <c r="E953" s="36" t="s">
        <v>7344</v>
      </c>
      <c r="F953" s="28" t="s">
        <v>5220</v>
      </c>
      <c r="G953" s="36" t="s">
        <v>7342</v>
      </c>
      <c r="H953" s="36"/>
    </row>
    <row r="954" spans="1:8" ht="50.5">
      <c r="A954" s="28" t="s">
        <v>287</v>
      </c>
      <c r="B954" s="37" t="s">
        <v>7700</v>
      </c>
      <c r="C954" s="37" t="s">
        <v>7693</v>
      </c>
      <c r="D954" s="28" t="s">
        <v>3497</v>
      </c>
      <c r="E954" s="36" t="s">
        <v>7345</v>
      </c>
      <c r="F954" s="28" t="s">
        <v>5220</v>
      </c>
      <c r="G954" s="36" t="s">
        <v>7342</v>
      </c>
      <c r="H954" s="36"/>
    </row>
    <row r="955" spans="1:8" ht="50.5">
      <c r="A955" s="28" t="s">
        <v>2648</v>
      </c>
      <c r="B955" s="37" t="s">
        <v>7601</v>
      </c>
      <c r="C955" s="37" t="s">
        <v>7693</v>
      </c>
      <c r="D955" s="28" t="s">
        <v>2768</v>
      </c>
      <c r="E955" s="36" t="s">
        <v>7346</v>
      </c>
      <c r="F955" s="28" t="s">
        <v>5220</v>
      </c>
      <c r="G955" s="36" t="s">
        <v>7342</v>
      </c>
      <c r="H955" s="36"/>
    </row>
    <row r="956" spans="1:8" ht="50.5">
      <c r="A956" s="28" t="s">
        <v>1788</v>
      </c>
      <c r="B956" s="37" t="s">
        <v>7706</v>
      </c>
      <c r="C956" s="37" t="s">
        <v>7693</v>
      </c>
      <c r="D956" s="28" t="s">
        <v>1735</v>
      </c>
      <c r="E956" s="36" t="s">
        <v>7347</v>
      </c>
      <c r="F956" s="28" t="s">
        <v>5220</v>
      </c>
      <c r="G956" s="36" t="s">
        <v>7342</v>
      </c>
      <c r="H956" s="36"/>
    </row>
    <row r="957" spans="1:8" ht="50.5">
      <c r="A957" s="28" t="s">
        <v>1597</v>
      </c>
      <c r="B957" s="37" t="s">
        <v>7704</v>
      </c>
      <c r="C957" s="37" t="s">
        <v>7693</v>
      </c>
      <c r="D957" s="28" t="s">
        <v>1662</v>
      </c>
      <c r="E957" s="36" t="s">
        <v>7348</v>
      </c>
      <c r="F957" s="28" t="s">
        <v>5220</v>
      </c>
      <c r="G957" s="36" t="s">
        <v>7342</v>
      </c>
      <c r="H957" s="36"/>
    </row>
    <row r="958" spans="1:8" ht="30.5">
      <c r="A958" s="28" t="s">
        <v>915</v>
      </c>
      <c r="B958" s="37" t="s">
        <v>7701</v>
      </c>
      <c r="C958" s="37" t="s">
        <v>7693</v>
      </c>
      <c r="D958" s="28" t="s">
        <v>1061</v>
      </c>
      <c r="E958" s="36" t="s">
        <v>7349</v>
      </c>
      <c r="F958" s="28" t="s">
        <v>5213</v>
      </c>
      <c r="G958" s="36"/>
      <c r="H958" s="36" t="s">
        <v>5411</v>
      </c>
    </row>
    <row r="959" spans="1:8" ht="50.5">
      <c r="A959" s="28" t="s">
        <v>464</v>
      </c>
      <c r="B959" s="37" t="s">
        <v>7710</v>
      </c>
      <c r="C959" s="37" t="s">
        <v>7693</v>
      </c>
      <c r="D959" s="28" t="s">
        <v>1931</v>
      </c>
      <c r="E959" s="36" t="s">
        <v>7350</v>
      </c>
      <c r="F959" s="28" t="s">
        <v>5173</v>
      </c>
      <c r="G959" s="36" t="s">
        <v>7351</v>
      </c>
      <c r="H959" s="36" t="s">
        <v>7352</v>
      </c>
    </row>
    <row r="960" spans="1:8" ht="25">
      <c r="A960" s="28" t="s">
        <v>3315</v>
      </c>
      <c r="B960" s="37" t="s">
        <v>7705</v>
      </c>
      <c r="C960" s="37" t="s">
        <v>8065</v>
      </c>
      <c r="D960" s="28" t="s">
        <v>5904</v>
      </c>
      <c r="E960" s="36" t="s">
        <v>7353</v>
      </c>
      <c r="F960" s="28" t="s">
        <v>5173</v>
      </c>
      <c r="G960" s="36" t="s">
        <v>5912</v>
      </c>
      <c r="H960" s="36" t="s">
        <v>7354</v>
      </c>
    </row>
    <row r="961" spans="1:8" ht="20.5">
      <c r="A961" s="28" t="s">
        <v>915</v>
      </c>
      <c r="B961" s="37" t="s">
        <v>7701</v>
      </c>
      <c r="C961" s="37" t="s">
        <v>7693</v>
      </c>
      <c r="D961" s="28" t="s">
        <v>972</v>
      </c>
      <c r="E961" s="36" t="s">
        <v>7355</v>
      </c>
      <c r="F961" s="28" t="s">
        <v>5220</v>
      </c>
      <c r="G961" s="36"/>
      <c r="H961" s="36"/>
    </row>
    <row r="962" spans="1:8" ht="40.5">
      <c r="A962" s="28" t="s">
        <v>915</v>
      </c>
      <c r="B962" s="37" t="s">
        <v>7701</v>
      </c>
      <c r="C962" s="37" t="s">
        <v>7693</v>
      </c>
      <c r="D962" s="28" t="s">
        <v>1007</v>
      </c>
      <c r="E962" s="36" t="s">
        <v>7356</v>
      </c>
      <c r="F962" s="28" t="s">
        <v>5220</v>
      </c>
      <c r="G962" s="36" t="s">
        <v>7357</v>
      </c>
      <c r="H962" s="36" t="s">
        <v>5981</v>
      </c>
    </row>
    <row r="963" spans="1:8" ht="30.5">
      <c r="A963" s="28" t="s">
        <v>2124</v>
      </c>
      <c r="B963" s="37" t="s">
        <v>7703</v>
      </c>
      <c r="C963" s="37" t="s">
        <v>7693</v>
      </c>
      <c r="D963" s="28" t="s">
        <v>2155</v>
      </c>
      <c r="E963" s="36" t="s">
        <v>7358</v>
      </c>
      <c r="F963" s="28" t="s">
        <v>5173</v>
      </c>
      <c r="G963" s="36" t="s">
        <v>7359</v>
      </c>
      <c r="H963" s="36" t="s">
        <v>6033</v>
      </c>
    </row>
    <row r="964" spans="1:8" ht="20.5">
      <c r="A964" s="28" t="s">
        <v>1788</v>
      </c>
      <c r="B964" s="37" t="s">
        <v>7706</v>
      </c>
      <c r="C964" s="37" t="s">
        <v>7693</v>
      </c>
      <c r="D964" s="28" t="s">
        <v>7694</v>
      </c>
      <c r="E964" s="36" t="s">
        <v>7360</v>
      </c>
      <c r="F964" s="28" t="s">
        <v>5173</v>
      </c>
      <c r="G964" s="36" t="s">
        <v>7361</v>
      </c>
      <c r="H964" s="36" t="s">
        <v>7362</v>
      </c>
    </row>
    <row r="965" spans="1:8" ht="40.5">
      <c r="A965" s="28" t="s">
        <v>1788</v>
      </c>
      <c r="B965" s="37" t="s">
        <v>7706</v>
      </c>
      <c r="C965" s="37" t="s">
        <v>7693</v>
      </c>
      <c r="D965" s="28" t="s">
        <v>1735</v>
      </c>
      <c r="E965" s="36" t="s">
        <v>7363</v>
      </c>
      <c r="F965" s="28" t="s">
        <v>5162</v>
      </c>
      <c r="G965" s="36" t="s">
        <v>7364</v>
      </c>
      <c r="H965" s="36" t="s">
        <v>5671</v>
      </c>
    </row>
    <row r="966" spans="1:8" ht="40.5">
      <c r="A966" s="28" t="s">
        <v>1220</v>
      </c>
      <c r="B966" s="37" t="s">
        <v>7732</v>
      </c>
      <c r="C966" s="37" t="s">
        <v>7693</v>
      </c>
      <c r="D966" s="28" t="s">
        <v>6526</v>
      </c>
      <c r="E966" s="36" t="s">
        <v>7365</v>
      </c>
      <c r="F966" s="28" t="s">
        <v>5173</v>
      </c>
      <c r="G966" s="36" t="s">
        <v>7366</v>
      </c>
      <c r="H966" s="36" t="s">
        <v>7367</v>
      </c>
    </row>
    <row r="967" spans="1:8" ht="12.5">
      <c r="A967" s="28" t="s">
        <v>1220</v>
      </c>
      <c r="B967" s="37" t="s">
        <v>7732</v>
      </c>
      <c r="C967" s="37" t="s">
        <v>7693</v>
      </c>
      <c r="D967" s="28" t="s">
        <v>6526</v>
      </c>
      <c r="E967" s="36" t="s">
        <v>7368</v>
      </c>
      <c r="F967" s="28" t="s">
        <v>5173</v>
      </c>
      <c r="G967" s="36"/>
      <c r="H967" s="36" t="s">
        <v>7369</v>
      </c>
    </row>
    <row r="968" spans="1:8" ht="20.5">
      <c r="A968" s="28" t="s">
        <v>1220</v>
      </c>
      <c r="B968" s="37" t="s">
        <v>7732</v>
      </c>
      <c r="C968" s="37" t="s">
        <v>7693</v>
      </c>
      <c r="D968" s="28" t="s">
        <v>6526</v>
      </c>
      <c r="E968" s="36" t="s">
        <v>7370</v>
      </c>
      <c r="F968" s="28" t="s">
        <v>5173</v>
      </c>
      <c r="G968" s="36" t="s">
        <v>7371</v>
      </c>
      <c r="H968" s="36" t="s">
        <v>7372</v>
      </c>
    </row>
    <row r="969" spans="1:8" ht="50.5">
      <c r="A969" s="28" t="s">
        <v>1220</v>
      </c>
      <c r="B969" s="37" t="s">
        <v>7732</v>
      </c>
      <c r="C969" s="37" t="s">
        <v>7693</v>
      </c>
      <c r="D969" s="28" t="s">
        <v>6526</v>
      </c>
      <c r="E969" s="36" t="s">
        <v>7373</v>
      </c>
      <c r="F969" s="28" t="s">
        <v>5173</v>
      </c>
      <c r="G969" s="36" t="s">
        <v>7374</v>
      </c>
      <c r="H969" s="36" t="s">
        <v>7375</v>
      </c>
    </row>
    <row r="970" spans="1:8" ht="30.5">
      <c r="A970" s="28" t="s">
        <v>1220</v>
      </c>
      <c r="B970" s="37" t="s">
        <v>7732</v>
      </c>
      <c r="C970" s="37" t="s">
        <v>7693</v>
      </c>
      <c r="D970" s="28" t="s">
        <v>6526</v>
      </c>
      <c r="E970" s="36" t="s">
        <v>7376</v>
      </c>
      <c r="F970" s="28" t="s">
        <v>5173</v>
      </c>
      <c r="G970" s="36" t="s">
        <v>7377</v>
      </c>
      <c r="H970" s="36" t="s">
        <v>7378</v>
      </c>
    </row>
    <row r="971" spans="1:8" ht="50.5">
      <c r="A971" s="28" t="s">
        <v>1220</v>
      </c>
      <c r="B971" s="37" t="s">
        <v>7732</v>
      </c>
      <c r="C971" s="37" t="s">
        <v>7693</v>
      </c>
      <c r="D971" s="28" t="s">
        <v>6526</v>
      </c>
      <c r="E971" s="36" t="s">
        <v>7379</v>
      </c>
      <c r="F971" s="28" t="s">
        <v>5173</v>
      </c>
      <c r="G971" s="36" t="s">
        <v>7380</v>
      </c>
      <c r="H971" s="36" t="s">
        <v>7381</v>
      </c>
    </row>
    <row r="972" spans="1:8" ht="40.5">
      <c r="A972" s="28" t="s">
        <v>1220</v>
      </c>
      <c r="B972" s="37" t="s">
        <v>7732</v>
      </c>
      <c r="C972" s="37" t="s">
        <v>7693</v>
      </c>
      <c r="D972" s="28" t="s">
        <v>6526</v>
      </c>
      <c r="E972" s="36" t="s">
        <v>7382</v>
      </c>
      <c r="F972" s="28" t="s">
        <v>5213</v>
      </c>
      <c r="G972" s="36" t="s">
        <v>7383</v>
      </c>
      <c r="H972" s="36" t="s">
        <v>7384</v>
      </c>
    </row>
    <row r="973" spans="1:8" ht="60.5">
      <c r="A973" s="28" t="s">
        <v>1220</v>
      </c>
      <c r="B973" s="37" t="s">
        <v>7732</v>
      </c>
      <c r="C973" s="37" t="s">
        <v>7693</v>
      </c>
      <c r="D973" s="28" t="s">
        <v>6526</v>
      </c>
      <c r="E973" s="36" t="s">
        <v>7385</v>
      </c>
      <c r="F973" s="28" t="s">
        <v>5173</v>
      </c>
      <c r="G973" s="36" t="s">
        <v>7386</v>
      </c>
      <c r="H973" s="36" t="s">
        <v>7387</v>
      </c>
    </row>
    <row r="974" spans="1:8" ht="20.5">
      <c r="A974" s="28" t="s">
        <v>2412</v>
      </c>
      <c r="B974" s="37" t="s">
        <v>7709</v>
      </c>
      <c r="C974" s="37" t="s">
        <v>7693</v>
      </c>
      <c r="D974" s="28" t="s">
        <v>2495</v>
      </c>
      <c r="E974" s="36" t="s">
        <v>7388</v>
      </c>
      <c r="F974" s="28" t="s">
        <v>5173</v>
      </c>
      <c r="G974" s="36"/>
      <c r="H974" s="36" t="s">
        <v>7389</v>
      </c>
    </row>
    <row r="975" spans="1:8" ht="40.5">
      <c r="A975" s="28" t="s">
        <v>1220</v>
      </c>
      <c r="B975" s="37" t="s">
        <v>7732</v>
      </c>
      <c r="C975" s="37" t="s">
        <v>7693</v>
      </c>
      <c r="D975" s="28" t="s">
        <v>6526</v>
      </c>
      <c r="E975" s="36" t="s">
        <v>7390</v>
      </c>
      <c r="F975" s="28" t="s">
        <v>5173</v>
      </c>
      <c r="G975" s="36" t="s">
        <v>7391</v>
      </c>
      <c r="H975" s="36"/>
    </row>
    <row r="976" spans="1:8" ht="50.5">
      <c r="A976" s="28" t="s">
        <v>1220</v>
      </c>
      <c r="B976" s="37" t="s">
        <v>7732</v>
      </c>
      <c r="C976" s="37" t="s">
        <v>7693</v>
      </c>
      <c r="D976" s="28" t="s">
        <v>6526</v>
      </c>
      <c r="E976" s="36" t="s">
        <v>7392</v>
      </c>
      <c r="F976" s="28" t="s">
        <v>5173</v>
      </c>
      <c r="G976" s="36" t="s">
        <v>7393</v>
      </c>
      <c r="H976" s="36" t="s">
        <v>7394</v>
      </c>
    </row>
    <row r="977" spans="1:8" ht="30.5">
      <c r="A977" s="28" t="s">
        <v>1597</v>
      </c>
      <c r="B977" s="37" t="s">
        <v>7704</v>
      </c>
      <c r="C977" s="37" t="s">
        <v>7693</v>
      </c>
      <c r="D977" s="28" t="s">
        <v>1662</v>
      </c>
      <c r="E977" s="36" t="s">
        <v>7395</v>
      </c>
      <c r="F977" s="28" t="s">
        <v>5190</v>
      </c>
      <c r="G977" s="36" t="s">
        <v>7396</v>
      </c>
      <c r="H977" s="36" t="s">
        <v>7397</v>
      </c>
    </row>
    <row r="978" spans="1:8" ht="20.5">
      <c r="A978" s="28" t="s">
        <v>1220</v>
      </c>
      <c r="B978" s="37" t="s">
        <v>7732</v>
      </c>
      <c r="C978" s="37" t="s">
        <v>7693</v>
      </c>
      <c r="D978" s="28" t="s">
        <v>6526</v>
      </c>
      <c r="E978" s="36" t="s">
        <v>7398</v>
      </c>
      <c r="F978" s="28" t="s">
        <v>5190</v>
      </c>
      <c r="G978" s="36"/>
      <c r="H978" s="36" t="s">
        <v>7399</v>
      </c>
    </row>
    <row r="979" spans="1:8" ht="40.5">
      <c r="A979" s="28" t="s">
        <v>1597</v>
      </c>
      <c r="B979" s="37" t="s">
        <v>7704</v>
      </c>
      <c r="C979" s="37" t="s">
        <v>7693</v>
      </c>
      <c r="D979" s="28" t="s">
        <v>1662</v>
      </c>
      <c r="E979" s="36" t="s">
        <v>7400</v>
      </c>
      <c r="F979" s="28" t="s">
        <v>5190</v>
      </c>
      <c r="G979" s="36" t="s">
        <v>7401</v>
      </c>
      <c r="H979" s="36" t="s">
        <v>7402</v>
      </c>
    </row>
    <row r="980" spans="1:8" ht="12.5">
      <c r="A980" s="28"/>
      <c r="B980" s="37"/>
      <c r="C980" s="37" t="s">
        <v>7693</v>
      </c>
      <c r="D980" s="28"/>
      <c r="E980" s="36" t="s">
        <v>7403</v>
      </c>
      <c r="F980" s="28" t="s">
        <v>5190</v>
      </c>
      <c r="G980" s="36"/>
      <c r="H980" s="36"/>
    </row>
    <row r="981" spans="1:8" ht="60.5">
      <c r="A981" s="28" t="s">
        <v>1065</v>
      </c>
      <c r="B981" s="37" t="s">
        <v>7702</v>
      </c>
      <c r="C981" s="37" t="s">
        <v>7693</v>
      </c>
      <c r="D981" s="28" t="s">
        <v>1070</v>
      </c>
      <c r="E981" s="36" t="s">
        <v>7404</v>
      </c>
      <c r="F981" s="28" t="s">
        <v>5190</v>
      </c>
      <c r="G981" s="36" t="s">
        <v>7405</v>
      </c>
      <c r="H981" s="36"/>
    </row>
    <row r="982" spans="1:8" ht="60.5">
      <c r="A982" s="28" t="s">
        <v>7707</v>
      </c>
      <c r="B982" s="37" t="s">
        <v>7707</v>
      </c>
      <c r="C982" s="37" t="s">
        <v>7693</v>
      </c>
      <c r="D982" s="28" t="s">
        <v>3309</v>
      </c>
      <c r="E982" s="36" t="s">
        <v>7406</v>
      </c>
      <c r="F982" s="28" t="s">
        <v>5190</v>
      </c>
      <c r="G982" s="36" t="s">
        <v>7407</v>
      </c>
      <c r="H982" s="36" t="s">
        <v>7408</v>
      </c>
    </row>
    <row r="983" spans="1:8" ht="20.5">
      <c r="A983" s="28" t="s">
        <v>1788</v>
      </c>
      <c r="B983" s="37" t="s">
        <v>7706</v>
      </c>
      <c r="C983" s="37" t="s">
        <v>7693</v>
      </c>
      <c r="D983" s="28" t="s">
        <v>1735</v>
      </c>
      <c r="E983" s="36" t="s">
        <v>7409</v>
      </c>
      <c r="F983" s="28"/>
      <c r="G983" s="36" t="s">
        <v>7410</v>
      </c>
      <c r="H983" s="36"/>
    </row>
    <row r="984" spans="1:8" ht="30.5">
      <c r="A984" s="28" t="s">
        <v>2648</v>
      </c>
      <c r="B984" s="37" t="s">
        <v>7601</v>
      </c>
      <c r="C984" s="37" t="s">
        <v>7693</v>
      </c>
      <c r="D984" s="28" t="s">
        <v>2768</v>
      </c>
      <c r="E984" s="36" t="s">
        <v>7411</v>
      </c>
      <c r="F984" s="28"/>
      <c r="G984" s="36" t="s">
        <v>7412</v>
      </c>
      <c r="H984" s="36"/>
    </row>
    <row r="985" spans="1:8" ht="12.5">
      <c r="A985" s="28" t="s">
        <v>2124</v>
      </c>
      <c r="B985" s="37" t="s">
        <v>7703</v>
      </c>
      <c r="C985" s="37" t="s">
        <v>7693</v>
      </c>
      <c r="D985" s="28" t="s">
        <v>2196</v>
      </c>
      <c r="E985" s="36" t="s">
        <v>7413</v>
      </c>
      <c r="F985" s="28" t="s">
        <v>5190</v>
      </c>
      <c r="G985" s="36"/>
      <c r="H985" s="36"/>
    </row>
    <row r="986" spans="1:8" ht="50.5">
      <c r="A986" s="28" t="s">
        <v>1220</v>
      </c>
      <c r="B986" s="37" t="s">
        <v>7732</v>
      </c>
      <c r="C986" s="37" t="s">
        <v>7693</v>
      </c>
      <c r="D986" s="28" t="s">
        <v>6526</v>
      </c>
      <c r="E986" s="36" t="s">
        <v>7414</v>
      </c>
      <c r="F986" s="28" t="s">
        <v>5190</v>
      </c>
      <c r="G986" s="36" t="s">
        <v>7415</v>
      </c>
      <c r="H986" s="36" t="s">
        <v>7416</v>
      </c>
    </row>
    <row r="987" spans="1:8" ht="20.5">
      <c r="A987" s="28" t="s">
        <v>2264</v>
      </c>
      <c r="B987" s="37" t="s">
        <v>3603</v>
      </c>
      <c r="C987" s="37" t="s">
        <v>7693</v>
      </c>
      <c r="D987" s="28" t="s">
        <v>1504</v>
      </c>
      <c r="E987" s="36" t="s">
        <v>7417</v>
      </c>
      <c r="F987" s="28" t="s">
        <v>5190</v>
      </c>
      <c r="G987" s="36"/>
      <c r="H987" s="36"/>
    </row>
    <row r="988" spans="1:8" ht="20.5">
      <c r="A988" s="28" t="s">
        <v>1597</v>
      </c>
      <c r="B988" s="37" t="s">
        <v>7704</v>
      </c>
      <c r="C988" s="37" t="s">
        <v>7693</v>
      </c>
      <c r="D988" s="28" t="s">
        <v>1662</v>
      </c>
      <c r="E988" s="36" t="s">
        <v>7418</v>
      </c>
      <c r="F988" s="28" t="s">
        <v>5190</v>
      </c>
      <c r="G988" s="36"/>
      <c r="H988" s="36"/>
    </row>
    <row r="989" spans="1:8" ht="30.5">
      <c r="A989" s="28" t="s">
        <v>1597</v>
      </c>
      <c r="B989" s="37" t="s">
        <v>7704</v>
      </c>
      <c r="C989" s="37" t="s">
        <v>7693</v>
      </c>
      <c r="D989" s="28" t="s">
        <v>1662</v>
      </c>
      <c r="E989" s="36" t="s">
        <v>7419</v>
      </c>
      <c r="F989" s="28" t="s">
        <v>5190</v>
      </c>
      <c r="G989" s="36"/>
      <c r="H989" s="36"/>
    </row>
    <row r="990" spans="1:8" ht="20.5">
      <c r="A990" s="28" t="s">
        <v>2648</v>
      </c>
      <c r="B990" s="37" t="s">
        <v>7601</v>
      </c>
      <c r="C990" s="37" t="s">
        <v>7693</v>
      </c>
      <c r="D990" s="28" t="s">
        <v>2768</v>
      </c>
      <c r="E990" s="36" t="s">
        <v>7420</v>
      </c>
      <c r="F990" s="28" t="s">
        <v>5190</v>
      </c>
      <c r="G990" s="36" t="s">
        <v>7421</v>
      </c>
      <c r="H990" s="36" t="s">
        <v>7422</v>
      </c>
    </row>
    <row r="991" spans="1:8" ht="40.5">
      <c r="A991" s="28" t="s">
        <v>915</v>
      </c>
      <c r="B991" s="37" t="s">
        <v>7701</v>
      </c>
      <c r="C991" s="37" t="s">
        <v>7693</v>
      </c>
      <c r="D991" s="28" t="s">
        <v>972</v>
      </c>
      <c r="E991" s="36" t="s">
        <v>7423</v>
      </c>
      <c r="F991" s="28" t="s">
        <v>5190</v>
      </c>
      <c r="G991" s="36" t="s">
        <v>7424</v>
      </c>
      <c r="H991" s="36" t="s">
        <v>7425</v>
      </c>
    </row>
    <row r="992" spans="1:8" ht="12.5">
      <c r="A992" s="28" t="s">
        <v>733</v>
      </c>
      <c r="B992" s="37" t="s">
        <v>7807</v>
      </c>
      <c r="C992" s="37" t="s">
        <v>7693</v>
      </c>
      <c r="D992" s="28" t="s">
        <v>872</v>
      </c>
      <c r="E992" s="36" t="s">
        <v>7426</v>
      </c>
      <c r="F992" s="28" t="s">
        <v>5190</v>
      </c>
      <c r="G992" s="36"/>
      <c r="H992" s="36"/>
    </row>
    <row r="993" spans="1:8" ht="20.5">
      <c r="A993" s="28" t="s">
        <v>171</v>
      </c>
      <c r="B993" s="37" t="s">
        <v>7714</v>
      </c>
      <c r="C993" s="37" t="s">
        <v>7693</v>
      </c>
      <c r="D993" s="28" t="s">
        <v>3442</v>
      </c>
      <c r="E993" s="36" t="s">
        <v>7427</v>
      </c>
      <c r="F993" s="28" t="s">
        <v>5162</v>
      </c>
      <c r="G993" s="36" t="s">
        <v>7428</v>
      </c>
      <c r="H993" s="36" t="s">
        <v>7429</v>
      </c>
    </row>
    <row r="994" spans="1:8" ht="40.5">
      <c r="A994" s="28" t="s">
        <v>2909</v>
      </c>
      <c r="B994" s="37" t="s">
        <v>7717</v>
      </c>
      <c r="C994" s="37" t="s">
        <v>7693</v>
      </c>
      <c r="D994" s="28" t="s">
        <v>2996</v>
      </c>
      <c r="E994" s="36" t="s">
        <v>7430</v>
      </c>
      <c r="F994" s="28" t="s">
        <v>5166</v>
      </c>
      <c r="G994" s="36" t="s">
        <v>7431</v>
      </c>
      <c r="H994" s="36" t="s">
        <v>7432</v>
      </c>
    </row>
    <row r="995" spans="1:8" ht="40.5">
      <c r="A995" s="28" t="s">
        <v>915</v>
      </c>
      <c r="B995" s="37" t="s">
        <v>7701</v>
      </c>
      <c r="C995" s="37" t="s">
        <v>7693</v>
      </c>
      <c r="D995" s="28" t="s">
        <v>972</v>
      </c>
      <c r="E995" s="36" t="s">
        <v>7433</v>
      </c>
      <c r="F995" s="28" t="s">
        <v>5194</v>
      </c>
      <c r="G995" s="36" t="s">
        <v>7434</v>
      </c>
      <c r="H995" s="36" t="s">
        <v>7435</v>
      </c>
    </row>
    <row r="996" spans="1:8" ht="80.5">
      <c r="A996" s="28" t="s">
        <v>915</v>
      </c>
      <c r="B996" s="37" t="s">
        <v>7701</v>
      </c>
      <c r="C996" s="37" t="s">
        <v>7693</v>
      </c>
      <c r="D996" s="28" t="s">
        <v>972</v>
      </c>
      <c r="E996" s="36" t="s">
        <v>7436</v>
      </c>
      <c r="F996" s="28" t="s">
        <v>5162</v>
      </c>
      <c r="G996" s="36" t="s">
        <v>7437</v>
      </c>
      <c r="H996" s="36" t="s">
        <v>5943</v>
      </c>
    </row>
    <row r="997" spans="1:8" ht="40.5">
      <c r="A997" s="28" t="s">
        <v>1788</v>
      </c>
      <c r="B997" s="37" t="s">
        <v>7706</v>
      </c>
      <c r="C997" s="37" t="s">
        <v>7693</v>
      </c>
      <c r="D997" s="28" t="s">
        <v>1735</v>
      </c>
      <c r="E997" s="36" t="s">
        <v>7438</v>
      </c>
      <c r="F997" s="28" t="s">
        <v>5162</v>
      </c>
      <c r="G997" s="36" t="s">
        <v>7439</v>
      </c>
      <c r="H997" s="36" t="s">
        <v>7440</v>
      </c>
    </row>
    <row r="998" spans="1:8" ht="50.5">
      <c r="A998" s="28" t="s">
        <v>915</v>
      </c>
      <c r="B998" s="37" t="s">
        <v>7701</v>
      </c>
      <c r="C998" s="37" t="s">
        <v>7693</v>
      </c>
      <c r="D998" s="28" t="s">
        <v>972</v>
      </c>
      <c r="E998" s="36" t="s">
        <v>7441</v>
      </c>
      <c r="F998" s="28" t="s">
        <v>5213</v>
      </c>
      <c r="G998" s="36" t="s">
        <v>7442</v>
      </c>
      <c r="H998" s="36" t="s">
        <v>7443</v>
      </c>
    </row>
    <row r="999" spans="1:8" ht="40.5">
      <c r="A999" s="28" t="s">
        <v>1220</v>
      </c>
      <c r="B999" s="37" t="s">
        <v>7732</v>
      </c>
      <c r="C999" s="37" t="s">
        <v>7693</v>
      </c>
      <c r="D999" s="28" t="s">
        <v>6526</v>
      </c>
      <c r="E999" s="36" t="s">
        <v>7444</v>
      </c>
      <c r="F999" s="28" t="s">
        <v>5162</v>
      </c>
      <c r="G999" s="36" t="s">
        <v>7445</v>
      </c>
      <c r="H999" s="36" t="s">
        <v>7446</v>
      </c>
    </row>
    <row r="1000" spans="1:8" ht="70.5">
      <c r="A1000" s="28" t="s">
        <v>2648</v>
      </c>
      <c r="B1000" s="37" t="s">
        <v>7601</v>
      </c>
      <c r="C1000" s="37" t="s">
        <v>7693</v>
      </c>
      <c r="D1000" s="28" t="s">
        <v>2768</v>
      </c>
      <c r="E1000" s="36" t="s">
        <v>7447</v>
      </c>
      <c r="F1000" s="28" t="s">
        <v>5194</v>
      </c>
      <c r="G1000" s="36" t="s">
        <v>7448</v>
      </c>
      <c r="H1000" s="36" t="s">
        <v>7449</v>
      </c>
    </row>
    <row r="1001" spans="1:8" ht="20.5">
      <c r="A1001" s="28" t="s">
        <v>1788</v>
      </c>
      <c r="B1001" s="37" t="s">
        <v>7706</v>
      </c>
      <c r="C1001" s="37" t="s">
        <v>7693</v>
      </c>
      <c r="D1001" s="28" t="s">
        <v>1735</v>
      </c>
      <c r="E1001" s="36" t="s">
        <v>7450</v>
      </c>
      <c r="F1001" s="28" t="s">
        <v>5213</v>
      </c>
      <c r="G1001" s="36" t="s">
        <v>7451</v>
      </c>
      <c r="H1001" s="36" t="s">
        <v>7061</v>
      </c>
    </row>
    <row r="1002" spans="1:8" ht="30.5">
      <c r="A1002" s="28" t="s">
        <v>1788</v>
      </c>
      <c r="B1002" s="37" t="s">
        <v>7706</v>
      </c>
      <c r="C1002" s="37" t="s">
        <v>7693</v>
      </c>
      <c r="D1002" s="28" t="s">
        <v>1735</v>
      </c>
      <c r="E1002" s="36" t="s">
        <v>7452</v>
      </c>
      <c r="F1002" s="28" t="s">
        <v>5194</v>
      </c>
      <c r="G1002" s="36" t="s">
        <v>7453</v>
      </c>
      <c r="H1002" s="36" t="s">
        <v>7454</v>
      </c>
    </row>
    <row r="1003" spans="1:8" ht="50.5">
      <c r="A1003" s="28" t="s">
        <v>915</v>
      </c>
      <c r="B1003" s="37" t="s">
        <v>7701</v>
      </c>
      <c r="C1003" s="37" t="s">
        <v>7693</v>
      </c>
      <c r="D1003" s="28" t="s">
        <v>972</v>
      </c>
      <c r="E1003" s="36" t="s">
        <v>7455</v>
      </c>
      <c r="F1003" s="28" t="s">
        <v>5173</v>
      </c>
      <c r="G1003" s="36" t="s">
        <v>7456</v>
      </c>
      <c r="H1003" s="36" t="s">
        <v>7457</v>
      </c>
    </row>
    <row r="1004" spans="1:8" ht="50.5">
      <c r="A1004" s="28" t="s">
        <v>1788</v>
      </c>
      <c r="B1004" s="37" t="s">
        <v>7706</v>
      </c>
      <c r="C1004" s="37" t="s">
        <v>7693</v>
      </c>
      <c r="D1004" s="28" t="s">
        <v>1735</v>
      </c>
      <c r="E1004" s="36" t="s">
        <v>7458</v>
      </c>
      <c r="F1004" s="28" t="s">
        <v>5173</v>
      </c>
      <c r="G1004" s="36" t="s">
        <v>7459</v>
      </c>
      <c r="H1004" s="36" t="s">
        <v>7460</v>
      </c>
    </row>
    <row r="1005" spans="1:8" ht="30.5">
      <c r="A1005" s="28" t="s">
        <v>915</v>
      </c>
      <c r="B1005" s="37" t="s">
        <v>7701</v>
      </c>
      <c r="C1005" s="37" t="s">
        <v>7693</v>
      </c>
      <c r="D1005" s="28" t="s">
        <v>972</v>
      </c>
      <c r="E1005" s="36" t="s">
        <v>7461</v>
      </c>
      <c r="F1005" s="28" t="s">
        <v>5173</v>
      </c>
      <c r="G1005" s="36" t="s">
        <v>7462</v>
      </c>
      <c r="H1005" s="36" t="s">
        <v>5943</v>
      </c>
    </row>
    <row r="1006" spans="1:8" ht="20.5">
      <c r="A1006" s="28" t="s">
        <v>1220</v>
      </c>
      <c r="B1006" s="37" t="s">
        <v>7732</v>
      </c>
      <c r="C1006" s="37" t="s">
        <v>7693</v>
      </c>
      <c r="D1006" s="28" t="s">
        <v>6526</v>
      </c>
      <c r="E1006" s="36" t="s">
        <v>7463</v>
      </c>
      <c r="F1006" s="28" t="s">
        <v>5173</v>
      </c>
      <c r="G1006" s="36" t="s">
        <v>7464</v>
      </c>
      <c r="H1006" s="36" t="s">
        <v>7465</v>
      </c>
    </row>
    <row r="1007" spans="1:8" ht="50.5">
      <c r="A1007" s="28" t="s">
        <v>2264</v>
      </c>
      <c r="B1007" s="37" t="s">
        <v>3603</v>
      </c>
      <c r="C1007" s="37" t="s">
        <v>7693</v>
      </c>
      <c r="D1007" s="28" t="s">
        <v>1504</v>
      </c>
      <c r="E1007" s="36" t="s">
        <v>7466</v>
      </c>
      <c r="F1007" s="28" t="s">
        <v>5162</v>
      </c>
      <c r="G1007" s="36" t="s">
        <v>7467</v>
      </c>
      <c r="H1007" s="36" t="s">
        <v>7468</v>
      </c>
    </row>
    <row r="1008" spans="1:8" ht="50.5">
      <c r="A1008" s="28" t="s">
        <v>2648</v>
      </c>
      <c r="B1008" s="37" t="s">
        <v>7601</v>
      </c>
      <c r="C1008" s="37" t="s">
        <v>7693</v>
      </c>
      <c r="D1008" s="28" t="s">
        <v>2768</v>
      </c>
      <c r="E1008" s="36" t="s">
        <v>7469</v>
      </c>
      <c r="F1008" s="28" t="s">
        <v>5173</v>
      </c>
      <c r="G1008" s="36" t="s">
        <v>7470</v>
      </c>
      <c r="H1008" s="36" t="s">
        <v>7247</v>
      </c>
    </row>
    <row r="1009" spans="1:8" ht="12.5">
      <c r="A1009" s="2"/>
      <c r="B1009" s="37"/>
      <c r="C1009" s="37" t="s">
        <v>7693</v>
      </c>
      <c r="D1009" s="2"/>
      <c r="E1009" s="2"/>
      <c r="F1009" s="39"/>
      <c r="G1009" s="2"/>
      <c r="H1009" s="2"/>
    </row>
    <row r="1010" spans="1:8" ht="12.5">
      <c r="A1010" s="2"/>
      <c r="B1010" s="37"/>
      <c r="C1010" s="37"/>
      <c r="D1010" s="2"/>
      <c r="E1010" s="2"/>
      <c r="F1010" s="39"/>
      <c r="G1010" s="2"/>
      <c r="H1010" s="2"/>
    </row>
    <row r="1011" spans="1:8" ht="12.5">
      <c r="A1011" s="2"/>
      <c r="B1011" s="37"/>
      <c r="C1011" s="37"/>
      <c r="D1011" s="2"/>
      <c r="E1011" s="2"/>
      <c r="F1011" s="39"/>
      <c r="G1011" s="2"/>
      <c r="H1011" s="2"/>
    </row>
    <row r="1012" spans="1:8" ht="12.5">
      <c r="A1012" s="2"/>
      <c r="B1012" s="37"/>
      <c r="C1012" s="37"/>
      <c r="D1012" s="2"/>
      <c r="E1012" s="2"/>
      <c r="F1012" s="39"/>
      <c r="G1012" s="2"/>
      <c r="H1012" s="2"/>
    </row>
    <row r="1013" spans="1:8" ht="12.5">
      <c r="A1013" s="2"/>
      <c r="B1013" s="37"/>
      <c r="C1013" s="37"/>
      <c r="D1013" s="2"/>
      <c r="E1013" s="2"/>
      <c r="F1013" s="39"/>
      <c r="G1013" s="2"/>
      <c r="H1013" s="2"/>
    </row>
    <row r="1014" spans="1:8" ht="12.5">
      <c r="A1014" s="2"/>
      <c r="B1014" s="37"/>
      <c r="C1014" s="37"/>
      <c r="D1014" s="2"/>
      <c r="E1014" s="2"/>
      <c r="F1014" s="39"/>
      <c r="G1014" s="2"/>
      <c r="H1014" s="2"/>
    </row>
    <row r="1015" spans="1:8" ht="12.5">
      <c r="A1015" s="2"/>
      <c r="B1015" s="37"/>
      <c r="C1015" s="37"/>
      <c r="D1015" s="2"/>
      <c r="E1015" s="2"/>
      <c r="F1015" s="39"/>
      <c r="G1015" s="2"/>
      <c r="H1015" s="2"/>
    </row>
    <row r="1016" spans="1:8" ht="12.5">
      <c r="A1016" s="2"/>
      <c r="B1016" s="37"/>
      <c r="C1016" s="37"/>
      <c r="D1016" s="2"/>
      <c r="E1016" s="2"/>
      <c r="F1016" s="39"/>
      <c r="G1016" s="2"/>
      <c r="H1016" s="2"/>
    </row>
    <row r="1017" spans="1:8" ht="12.5">
      <c r="A1017" s="2"/>
      <c r="B1017" s="37"/>
      <c r="C1017" s="37"/>
      <c r="D1017" s="2"/>
      <c r="E1017" s="2"/>
      <c r="F1017" s="39"/>
      <c r="G1017" s="2"/>
      <c r="H1017" s="2"/>
    </row>
    <row r="1018" spans="1:8" ht="12.5">
      <c r="A1018" s="2"/>
      <c r="B1018" s="37"/>
      <c r="C1018" s="37"/>
      <c r="D1018" s="2"/>
      <c r="E1018" s="2"/>
      <c r="F1018" s="39"/>
      <c r="G1018" s="2"/>
      <c r="H1018" s="2"/>
    </row>
    <row r="1019" spans="1:8" ht="12.5">
      <c r="A1019" s="2"/>
      <c r="B1019" s="37"/>
      <c r="C1019" s="37"/>
      <c r="D1019" s="2"/>
      <c r="E1019" s="2"/>
      <c r="F1019" s="39"/>
      <c r="G1019" s="2"/>
      <c r="H1019" s="2"/>
    </row>
    <row r="1020" spans="1:8" ht="12.5">
      <c r="A1020" s="2"/>
      <c r="B1020" s="37"/>
      <c r="C1020" s="37"/>
      <c r="D1020" s="2"/>
      <c r="E1020" s="2"/>
      <c r="F1020" s="39"/>
      <c r="G1020" s="2"/>
      <c r="H1020" s="2"/>
    </row>
    <row r="1021" spans="1:8" ht="12.5">
      <c r="A1021" s="2"/>
      <c r="B1021" s="37"/>
      <c r="C1021" s="37"/>
      <c r="D1021" s="2"/>
      <c r="E1021" s="2"/>
      <c r="F1021" s="39"/>
      <c r="G1021" s="2"/>
      <c r="H1021" s="2"/>
    </row>
    <row r="1022" spans="1:8" ht="12.5">
      <c r="A1022" s="2"/>
      <c r="B1022" s="37"/>
      <c r="C1022" s="37"/>
      <c r="D1022" s="2"/>
      <c r="E1022" s="2"/>
      <c r="F1022" s="39"/>
      <c r="G1022" s="2"/>
      <c r="H1022" s="2"/>
    </row>
    <row r="1023" spans="1:8" ht="12.5">
      <c r="A1023" s="2"/>
      <c r="B1023" s="37"/>
      <c r="C1023" s="37"/>
      <c r="D1023" s="2"/>
      <c r="E1023" s="2"/>
      <c r="F1023" s="39"/>
      <c r="G1023" s="2"/>
      <c r="H1023" s="2"/>
    </row>
    <row r="1024" spans="1:8" ht="12.5">
      <c r="A1024" s="2"/>
      <c r="B1024" s="37"/>
      <c r="C1024" s="37"/>
      <c r="D1024" s="2"/>
      <c r="E1024" s="2"/>
      <c r="F1024" s="39"/>
      <c r="G1024" s="2"/>
      <c r="H1024" s="2"/>
    </row>
    <row r="1025" spans="1:8" ht="12.5">
      <c r="A1025" s="2"/>
      <c r="B1025" s="37"/>
      <c r="C1025" s="37"/>
      <c r="D1025" s="2"/>
      <c r="E1025" s="2"/>
      <c r="F1025" s="39"/>
      <c r="G1025" s="2"/>
      <c r="H1025" s="2"/>
    </row>
    <row r="1026" spans="1:8" ht="12.5">
      <c r="A1026" s="2"/>
      <c r="B1026" s="37"/>
      <c r="C1026" s="37"/>
      <c r="D1026" s="2"/>
      <c r="E1026" s="2"/>
      <c r="F1026" s="39"/>
      <c r="G1026" s="2"/>
      <c r="H1026" s="2"/>
    </row>
    <row r="1027" spans="1:8" ht="12.5">
      <c r="A1027" s="2"/>
      <c r="B1027" s="37"/>
      <c r="C1027" s="37"/>
      <c r="D1027" s="2"/>
      <c r="E1027" s="2"/>
      <c r="F1027" s="39"/>
      <c r="G1027" s="2"/>
      <c r="H1027" s="2"/>
    </row>
    <row r="1028" spans="1:8" ht="12.5">
      <c r="A1028" s="2"/>
      <c r="B1028" s="37"/>
      <c r="C1028" s="37"/>
      <c r="D1028" s="2"/>
      <c r="E1028" s="2"/>
      <c r="F1028" s="39"/>
      <c r="G1028" s="2"/>
      <c r="H1028" s="2"/>
    </row>
    <row r="1029" spans="1:8" ht="12.5">
      <c r="A1029" s="2"/>
      <c r="B1029" s="37"/>
      <c r="C1029" s="37"/>
      <c r="D1029" s="2"/>
      <c r="E1029" s="2"/>
      <c r="F1029" s="39"/>
      <c r="G1029" s="2"/>
      <c r="H1029" s="2"/>
    </row>
    <row r="1030" spans="1:8" ht="12.5">
      <c r="A1030" s="2"/>
      <c r="B1030" s="37"/>
      <c r="C1030" s="37"/>
      <c r="D1030" s="2"/>
      <c r="E1030" s="2"/>
      <c r="F1030" s="39"/>
      <c r="G1030" s="2"/>
      <c r="H1030" s="2"/>
    </row>
    <row r="1031" spans="1:8" ht="12.5">
      <c r="A1031" s="2"/>
      <c r="B1031" s="37"/>
      <c r="C1031" s="37"/>
      <c r="D1031" s="2"/>
      <c r="E1031" s="2"/>
      <c r="F1031" s="39"/>
      <c r="G1031" s="2"/>
      <c r="H1031" s="2"/>
    </row>
    <row r="1032" spans="1:8" ht="12.5">
      <c r="A1032" s="2"/>
      <c r="B1032" s="37"/>
      <c r="C1032" s="37"/>
      <c r="D1032" s="2"/>
      <c r="E1032" s="2"/>
      <c r="F1032" s="39"/>
      <c r="G1032" s="2"/>
      <c r="H1032" s="2"/>
    </row>
    <row r="1033" spans="1:8" ht="12.5">
      <c r="A1033" s="2"/>
      <c r="B1033" s="37"/>
      <c r="C1033" s="37"/>
      <c r="D1033" s="2"/>
      <c r="E1033" s="2"/>
      <c r="F1033" s="39"/>
      <c r="G1033" s="2"/>
      <c r="H1033" s="2"/>
    </row>
    <row r="1034" spans="1:8" ht="12.5">
      <c r="A1034" s="2"/>
      <c r="B1034" s="37"/>
      <c r="C1034" s="37"/>
      <c r="D1034" s="2"/>
      <c r="E1034" s="2"/>
      <c r="F1034" s="39"/>
      <c r="G1034" s="2"/>
      <c r="H1034" s="2"/>
    </row>
    <row r="1035" spans="1:8" ht="12.5">
      <c r="A1035" s="2"/>
      <c r="B1035" s="37"/>
      <c r="C1035" s="37"/>
      <c r="D1035" s="2"/>
      <c r="E1035" s="2"/>
      <c r="F1035" s="39"/>
      <c r="G1035" s="2"/>
      <c r="H1035" s="2"/>
    </row>
    <row r="1036" spans="1:8" ht="12.5">
      <c r="A1036" s="2"/>
      <c r="B1036" s="37"/>
      <c r="C1036" s="37"/>
      <c r="D1036" s="2"/>
      <c r="E1036" s="2"/>
      <c r="F1036" s="39"/>
      <c r="G1036" s="2"/>
      <c r="H1036" s="2"/>
    </row>
    <row r="1037" spans="1:8" ht="12.5">
      <c r="A1037" s="2"/>
      <c r="B1037" s="37"/>
      <c r="C1037" s="37"/>
      <c r="D1037" s="2"/>
      <c r="E1037" s="2"/>
      <c r="F1037" s="39"/>
      <c r="G1037" s="2"/>
      <c r="H1037" s="2"/>
    </row>
    <row r="1038" spans="1:8" ht="12.5">
      <c r="A1038" s="2"/>
      <c r="B1038" s="37"/>
      <c r="C1038" s="37"/>
      <c r="D1038" s="2"/>
      <c r="E1038" s="2"/>
      <c r="F1038" s="39"/>
      <c r="G1038" s="2"/>
      <c r="H1038" s="2"/>
    </row>
    <row r="1039" spans="1:8" ht="12.5">
      <c r="A1039" s="2"/>
      <c r="B1039" s="37"/>
      <c r="C1039" s="37"/>
      <c r="D1039" s="2"/>
      <c r="E1039" s="2"/>
      <c r="F1039" s="39"/>
      <c r="G1039" s="2"/>
      <c r="H1039" s="2"/>
    </row>
    <row r="1040" spans="1:8" ht="12.5">
      <c r="A1040" s="2"/>
      <c r="B1040" s="37"/>
      <c r="C1040" s="37"/>
      <c r="D1040" s="2"/>
      <c r="E1040" s="2"/>
      <c r="F1040" s="39"/>
      <c r="G1040" s="2"/>
      <c r="H1040" s="2"/>
    </row>
    <row r="1041" spans="1:8" ht="12.5">
      <c r="A1041" s="2"/>
      <c r="B1041" s="37"/>
      <c r="C1041" s="37"/>
      <c r="D1041" s="2"/>
      <c r="E1041" s="2"/>
      <c r="F1041" s="39"/>
      <c r="G1041" s="2"/>
      <c r="H1041" s="2"/>
    </row>
    <row r="1042" spans="1:8" ht="12.5">
      <c r="A1042" s="2"/>
      <c r="B1042" s="37"/>
      <c r="C1042" s="37"/>
      <c r="D1042" s="2"/>
      <c r="E1042" s="2"/>
      <c r="F1042" s="39"/>
      <c r="G1042" s="2"/>
      <c r="H1042" s="2"/>
    </row>
    <row r="1043" spans="1:8" ht="12.5">
      <c r="A1043" s="2"/>
      <c r="B1043" s="37"/>
      <c r="C1043" s="37"/>
      <c r="D1043" s="2"/>
      <c r="E1043" s="2"/>
      <c r="F1043" s="39"/>
      <c r="G1043" s="2"/>
      <c r="H1043" s="2"/>
    </row>
    <row r="1044" spans="1:8" ht="12.5">
      <c r="A1044" s="2"/>
      <c r="B1044" s="37"/>
      <c r="C1044" s="37"/>
      <c r="D1044" s="2"/>
      <c r="E1044" s="2"/>
      <c r="F1044" s="39"/>
      <c r="G1044" s="2"/>
      <c r="H1044" s="2"/>
    </row>
    <row r="1045" spans="1:8" ht="12.5">
      <c r="A1045" s="2"/>
      <c r="B1045" s="37"/>
      <c r="C1045" s="37"/>
      <c r="D1045" s="2"/>
      <c r="E1045" s="2"/>
      <c r="F1045" s="39"/>
      <c r="G1045" s="2"/>
      <c r="H1045" s="2"/>
    </row>
    <row r="1046" spans="1:8" ht="12.5">
      <c r="A1046" s="2"/>
      <c r="B1046" s="37"/>
      <c r="C1046" s="37"/>
      <c r="D1046" s="2"/>
      <c r="E1046" s="2"/>
      <c r="F1046" s="39"/>
      <c r="G1046" s="2"/>
      <c r="H1046" s="2"/>
    </row>
    <row r="1047" spans="1:8" ht="12.5">
      <c r="A1047" s="2"/>
      <c r="B1047" s="37"/>
      <c r="C1047" s="37"/>
      <c r="D1047" s="2"/>
      <c r="E1047" s="2"/>
      <c r="F1047" s="39"/>
      <c r="G1047" s="2"/>
      <c r="H1047" s="2"/>
    </row>
    <row r="1048" spans="1:8" ht="12.5">
      <c r="A1048" s="2"/>
      <c r="B1048" s="37"/>
      <c r="C1048" s="37"/>
      <c r="D1048" s="2"/>
      <c r="E1048" s="2"/>
      <c r="F1048" s="39"/>
      <c r="G1048" s="2"/>
      <c r="H1048" s="2"/>
    </row>
    <row r="1049" spans="1:8" ht="12.5">
      <c r="A1049" s="2"/>
      <c r="B1049" s="37"/>
      <c r="C1049" s="37"/>
      <c r="D1049" s="2"/>
      <c r="E1049" s="2"/>
      <c r="F1049" s="39"/>
      <c r="G1049" s="2"/>
      <c r="H1049" s="2"/>
    </row>
    <row r="1050" spans="1:8" ht="12.5">
      <c r="A1050" s="2"/>
      <c r="B1050" s="37"/>
      <c r="C1050" s="37"/>
      <c r="D1050" s="2"/>
      <c r="E1050" s="2"/>
      <c r="F1050" s="39"/>
      <c r="G1050" s="2"/>
      <c r="H1050" s="2"/>
    </row>
    <row r="1051" spans="1:8" ht="12.5">
      <c r="A1051" s="2"/>
      <c r="B1051" s="37"/>
      <c r="C1051" s="37"/>
      <c r="D1051" s="2"/>
      <c r="E1051" s="2"/>
      <c r="F1051" s="39"/>
      <c r="G1051" s="2"/>
      <c r="H1051" s="2"/>
    </row>
    <row r="1052" spans="1:8" ht="12.5">
      <c r="A1052" s="2"/>
      <c r="B1052" s="37"/>
      <c r="C1052" s="37"/>
      <c r="D1052" s="2"/>
      <c r="E1052" s="2"/>
      <c r="F1052" s="39"/>
      <c r="G1052" s="2"/>
      <c r="H1052" s="2"/>
    </row>
    <row r="1053" spans="1:8" ht="12.5">
      <c r="A1053" s="2"/>
      <c r="B1053" s="37"/>
      <c r="C1053" s="37"/>
      <c r="D1053" s="2"/>
      <c r="E1053" s="2"/>
      <c r="F1053" s="39"/>
      <c r="G1053" s="2"/>
      <c r="H1053" s="2"/>
    </row>
    <row r="1054" spans="1:8" ht="12.5">
      <c r="A1054" s="2"/>
      <c r="B1054" s="37"/>
      <c r="C1054" s="37"/>
      <c r="D1054" s="2"/>
      <c r="E1054" s="2"/>
      <c r="F1054" s="39"/>
      <c r="G1054" s="2"/>
      <c r="H1054" s="2"/>
    </row>
    <row r="1055" spans="1:8" ht="12.5">
      <c r="A1055" s="2"/>
      <c r="B1055" s="37"/>
      <c r="C1055" s="37"/>
      <c r="D1055" s="2"/>
      <c r="E1055" s="2"/>
      <c r="F1055" s="39"/>
      <c r="G1055" s="2"/>
      <c r="H1055" s="2"/>
    </row>
    <row r="1056" spans="1:8" ht="12.5">
      <c r="A1056" s="2"/>
      <c r="B1056" s="37"/>
      <c r="C1056" s="37"/>
      <c r="D1056" s="2"/>
      <c r="E1056" s="2"/>
      <c r="F1056" s="39"/>
      <c r="G1056" s="2"/>
      <c r="H1056" s="2"/>
    </row>
    <row r="1057" spans="1:8" ht="12.5">
      <c r="A1057" s="2"/>
      <c r="B1057" s="37"/>
      <c r="C1057" s="37"/>
      <c r="D1057" s="2"/>
      <c r="E1057" s="2"/>
      <c r="F1057" s="39"/>
      <c r="G1057" s="2"/>
      <c r="H1057" s="2"/>
    </row>
    <row r="1058" spans="1:8" ht="12.5">
      <c r="A1058" s="2"/>
      <c r="B1058" s="37"/>
      <c r="C1058" s="37"/>
      <c r="D1058" s="2"/>
      <c r="E1058" s="2"/>
      <c r="F1058" s="39"/>
      <c r="G1058" s="2"/>
      <c r="H1058" s="2"/>
    </row>
    <row r="1059" spans="1:8" ht="12.5">
      <c r="A1059" s="2"/>
      <c r="B1059" s="37"/>
      <c r="C1059" s="37"/>
      <c r="D1059" s="2"/>
      <c r="E1059" s="2"/>
      <c r="F1059" s="39"/>
      <c r="G1059" s="2"/>
      <c r="H1059" s="2"/>
    </row>
    <row r="1060" spans="1:8" ht="12.5">
      <c r="A1060" s="2"/>
      <c r="B1060" s="37"/>
      <c r="C1060" s="37"/>
      <c r="D1060" s="2"/>
      <c r="E1060" s="2"/>
      <c r="F1060" s="39"/>
      <c r="G1060" s="2"/>
      <c r="H1060" s="2"/>
    </row>
    <row r="1061" spans="1:8" ht="12.5">
      <c r="A1061" s="2"/>
      <c r="B1061" s="37"/>
      <c r="C1061" s="37"/>
      <c r="D1061" s="2"/>
      <c r="E1061" s="2"/>
      <c r="F1061" s="39"/>
      <c r="G1061" s="2"/>
      <c r="H1061" s="2"/>
    </row>
    <row r="1062" spans="1:8" ht="12.5">
      <c r="A1062" s="2"/>
      <c r="B1062" s="37"/>
      <c r="C1062" s="37"/>
      <c r="D1062" s="2"/>
      <c r="E1062" s="2"/>
      <c r="F1062" s="39"/>
      <c r="G1062" s="2"/>
      <c r="H1062" s="2"/>
    </row>
    <row r="1063" spans="1:8" ht="12.5">
      <c r="A1063" s="2"/>
      <c r="B1063" s="37"/>
      <c r="C1063" s="37"/>
      <c r="D1063" s="2"/>
      <c r="E1063" s="2"/>
      <c r="F1063" s="39"/>
      <c r="G1063" s="2"/>
      <c r="H1063" s="2"/>
    </row>
    <row r="1064" spans="1:8" ht="12.5">
      <c r="A1064" s="2"/>
      <c r="B1064" s="37"/>
      <c r="C1064" s="37"/>
      <c r="D1064" s="2"/>
      <c r="E1064" s="2"/>
      <c r="F1064" s="39"/>
      <c r="G1064" s="2"/>
      <c r="H1064" s="2"/>
    </row>
    <row r="1065" spans="1:8" ht="12.5">
      <c r="A1065" s="2"/>
      <c r="B1065" s="37"/>
      <c r="C1065" s="37"/>
      <c r="D1065" s="2"/>
      <c r="E1065" s="2"/>
      <c r="F1065" s="39"/>
      <c r="G1065" s="2"/>
      <c r="H1065" s="2"/>
    </row>
    <row r="1066" spans="1:8" ht="12.5">
      <c r="A1066" s="2"/>
      <c r="B1066" s="37"/>
      <c r="C1066" s="37"/>
      <c r="D1066" s="2"/>
      <c r="E1066" s="2"/>
      <c r="F1066" s="39"/>
      <c r="G1066" s="2"/>
      <c r="H1066" s="2"/>
    </row>
    <row r="1067" spans="1:8" ht="12.5">
      <c r="A1067" s="2"/>
      <c r="B1067" s="37"/>
      <c r="C1067" s="37"/>
      <c r="D1067" s="2"/>
      <c r="E1067" s="2"/>
      <c r="F1067" s="39"/>
      <c r="G1067" s="2"/>
      <c r="H1067" s="2"/>
    </row>
    <row r="1068" spans="1:8" ht="12.5">
      <c r="A1068" s="2"/>
      <c r="B1068" s="37"/>
      <c r="C1068" s="37"/>
      <c r="D1068" s="2"/>
      <c r="E1068" s="2"/>
      <c r="F1068" s="39"/>
      <c r="G1068" s="2"/>
      <c r="H1068" s="2"/>
    </row>
    <row r="1069" spans="1:8" ht="12.5">
      <c r="A1069" s="2"/>
      <c r="B1069" s="37"/>
      <c r="C1069" s="37"/>
      <c r="D1069" s="2"/>
      <c r="E1069" s="2"/>
      <c r="F1069" s="39"/>
      <c r="G1069" s="2"/>
      <c r="H1069" s="2"/>
    </row>
    <row r="1070" spans="1:8" ht="12.5">
      <c r="A1070" s="2"/>
      <c r="B1070" s="37"/>
      <c r="C1070" s="37"/>
      <c r="D1070" s="2"/>
      <c r="E1070" s="2"/>
      <c r="F1070" s="39"/>
      <c r="G1070" s="2"/>
      <c r="H1070" s="2"/>
    </row>
    <row r="1071" spans="1:8" ht="12.5">
      <c r="A1071" s="2"/>
      <c r="B1071" s="37"/>
      <c r="C1071" s="37"/>
      <c r="D1071" s="2"/>
      <c r="E1071" s="2"/>
      <c r="F1071" s="39"/>
      <c r="G1071" s="2"/>
      <c r="H1071" s="2"/>
    </row>
    <row r="1072" spans="1:8" ht="12.5">
      <c r="A1072" s="2"/>
      <c r="B1072" s="37"/>
      <c r="C1072" s="37"/>
      <c r="D1072" s="2"/>
      <c r="E1072" s="2"/>
      <c r="F1072" s="39"/>
      <c r="G1072" s="2"/>
      <c r="H1072" s="2"/>
    </row>
    <row r="1073" spans="1:8" ht="12.5">
      <c r="A1073" s="2"/>
      <c r="B1073" s="37"/>
      <c r="C1073" s="37"/>
      <c r="D1073" s="2"/>
      <c r="E1073" s="2"/>
      <c r="F1073" s="39"/>
      <c r="G1073" s="2"/>
      <c r="H1073" s="2"/>
    </row>
    <row r="1074" spans="1:8" ht="12.5">
      <c r="A1074" s="2"/>
      <c r="B1074" s="37"/>
      <c r="C1074" s="37"/>
      <c r="D1074" s="2"/>
      <c r="E1074" s="2"/>
      <c r="F1074" s="39"/>
      <c r="G1074" s="2"/>
      <c r="H1074" s="2"/>
    </row>
    <row r="1075" spans="1:8" ht="12.5">
      <c r="A1075" s="2"/>
      <c r="B1075" s="37"/>
      <c r="C1075" s="37"/>
      <c r="D1075" s="2"/>
      <c r="E1075" s="2"/>
      <c r="F1075" s="39"/>
      <c r="G1075" s="2"/>
      <c r="H1075" s="2"/>
    </row>
    <row r="1076" spans="1:8" ht="12.5">
      <c r="A1076" s="2"/>
      <c r="B1076" s="37"/>
      <c r="C1076" s="37"/>
      <c r="D1076" s="2"/>
      <c r="E1076" s="2"/>
      <c r="F1076" s="39"/>
      <c r="G1076" s="2"/>
      <c r="H1076" s="2"/>
    </row>
    <row r="1077" spans="1:8" ht="12.5">
      <c r="A1077" s="2"/>
      <c r="B1077" s="37"/>
      <c r="C1077" s="37"/>
      <c r="D1077" s="2"/>
      <c r="E1077" s="2"/>
      <c r="F1077" s="39"/>
      <c r="G1077" s="2"/>
      <c r="H1077" s="2"/>
    </row>
    <row r="1078" spans="1:8" ht="12.5">
      <c r="A1078" s="2"/>
      <c r="B1078" s="37"/>
      <c r="C1078" s="37"/>
      <c r="D1078" s="2"/>
      <c r="E1078" s="2"/>
      <c r="F1078" s="39"/>
      <c r="G1078" s="2"/>
      <c r="H1078" s="2"/>
    </row>
    <row r="1079" spans="1:8" ht="12.5">
      <c r="A1079" s="2"/>
      <c r="B1079" s="37"/>
      <c r="C1079" s="37"/>
      <c r="D1079" s="2"/>
      <c r="E1079" s="2"/>
      <c r="F1079" s="39"/>
      <c r="G1079" s="2"/>
      <c r="H1079" s="2"/>
    </row>
    <row r="1080" spans="1:8" ht="12.5">
      <c r="A1080" s="2"/>
      <c r="B1080" s="37"/>
      <c r="C1080" s="37"/>
      <c r="D1080" s="2"/>
      <c r="E1080" s="2"/>
      <c r="F1080" s="39"/>
      <c r="G1080" s="2"/>
      <c r="H1080" s="2"/>
    </row>
    <row r="1081" spans="1:8" ht="12.5">
      <c r="A1081" s="2"/>
      <c r="B1081" s="37"/>
      <c r="C1081" s="37"/>
      <c r="D1081" s="2"/>
      <c r="E1081" s="2"/>
      <c r="F1081" s="39"/>
      <c r="G1081" s="2"/>
      <c r="H1081" s="2"/>
    </row>
    <row r="1082" spans="1:8" ht="12.5">
      <c r="A1082" s="2"/>
      <c r="B1082" s="37"/>
      <c r="C1082" s="37"/>
      <c r="D1082" s="2"/>
      <c r="E1082" s="2"/>
      <c r="F1082" s="39"/>
      <c r="G1082" s="2"/>
      <c r="H1082" s="2"/>
    </row>
    <row r="1083" spans="1:8" ht="12.5">
      <c r="A1083" s="2"/>
      <c r="B1083" s="37"/>
      <c r="C1083" s="37"/>
      <c r="D1083" s="2"/>
      <c r="E1083" s="2"/>
      <c r="F1083" s="39"/>
      <c r="G1083" s="2"/>
      <c r="H1083" s="2"/>
    </row>
    <row r="1084" spans="1:8" ht="12.5">
      <c r="A1084" s="2"/>
      <c r="B1084" s="37"/>
      <c r="C1084" s="37"/>
      <c r="D1084" s="2"/>
      <c r="E1084" s="2"/>
      <c r="F1084" s="39"/>
      <c r="G1084" s="2"/>
      <c r="H1084" s="2"/>
    </row>
    <row r="1085" spans="1:8" ht="12.5">
      <c r="A1085" s="2"/>
      <c r="B1085" s="37"/>
      <c r="C1085" s="37"/>
      <c r="D1085" s="2"/>
      <c r="E1085" s="2"/>
      <c r="F1085" s="39"/>
      <c r="G1085" s="2"/>
      <c r="H1085" s="2"/>
    </row>
    <row r="1086" spans="1:8" ht="12.5">
      <c r="A1086" s="2"/>
      <c r="B1086" s="37"/>
      <c r="C1086" s="37"/>
      <c r="D1086" s="2"/>
      <c r="E1086" s="2"/>
      <c r="F1086" s="39"/>
      <c r="G1086" s="2"/>
      <c r="H1086" s="2"/>
    </row>
    <row r="1087" spans="1:8" ht="12.5">
      <c r="A1087" s="2"/>
      <c r="B1087" s="37"/>
      <c r="C1087" s="37"/>
      <c r="D1087" s="2"/>
      <c r="E1087" s="2"/>
      <c r="F1087" s="39"/>
      <c r="G1087" s="2"/>
      <c r="H1087" s="2"/>
    </row>
    <row r="1088" spans="1:8" ht="12.5">
      <c r="A1088" s="2"/>
      <c r="B1088" s="37"/>
      <c r="C1088" s="37"/>
      <c r="D1088" s="2"/>
      <c r="E1088" s="2"/>
      <c r="F1088" s="39"/>
      <c r="G1088" s="2"/>
      <c r="H1088" s="2"/>
    </row>
    <row r="1089" spans="1:8" ht="12.5">
      <c r="A1089" s="2"/>
      <c r="B1089" s="37"/>
      <c r="C1089" s="37"/>
      <c r="D1089" s="2"/>
      <c r="E1089" s="2"/>
      <c r="F1089" s="39"/>
      <c r="G1089" s="2"/>
      <c r="H1089" s="2"/>
    </row>
    <row r="1090" spans="1:8" ht="12.5">
      <c r="A1090" s="2"/>
      <c r="B1090" s="37"/>
      <c r="C1090" s="37"/>
      <c r="D1090" s="2"/>
      <c r="E1090" s="2"/>
      <c r="F1090" s="39"/>
      <c r="G1090" s="2"/>
      <c r="H1090" s="2"/>
    </row>
    <row r="1091" spans="1:8" ht="12.5">
      <c r="A1091" s="2"/>
      <c r="B1091" s="37"/>
      <c r="C1091" s="37"/>
      <c r="D1091" s="2"/>
      <c r="E1091" s="2"/>
      <c r="F1091" s="39"/>
      <c r="G1091" s="2"/>
      <c r="H1091" s="2"/>
    </row>
    <row r="1092" spans="1:8" ht="12.5">
      <c r="A1092" s="2"/>
      <c r="B1092" s="37"/>
      <c r="C1092" s="37"/>
      <c r="D1092" s="2"/>
      <c r="E1092" s="2"/>
      <c r="F1092" s="39"/>
      <c r="G1092" s="2"/>
      <c r="H1092" s="2"/>
    </row>
    <row r="1093" spans="1:8" ht="12.5">
      <c r="A1093" s="2"/>
      <c r="B1093" s="37"/>
      <c r="C1093" s="37"/>
      <c r="D1093" s="2"/>
      <c r="E1093" s="2"/>
      <c r="F1093" s="39"/>
      <c r="G1093" s="2"/>
      <c r="H1093" s="2"/>
    </row>
    <row r="1094" spans="1:8" ht="12.5">
      <c r="A1094" s="2"/>
      <c r="B1094" s="37"/>
      <c r="C1094" s="37"/>
      <c r="D1094" s="2"/>
      <c r="E1094" s="2"/>
      <c r="F1094" s="39"/>
      <c r="G1094" s="2"/>
      <c r="H1094" s="2"/>
    </row>
    <row r="1095" spans="1:8" ht="12.5">
      <c r="A1095" s="2"/>
      <c r="B1095" s="37"/>
      <c r="C1095" s="37"/>
      <c r="D1095" s="2"/>
      <c r="E1095" s="2"/>
      <c r="F1095" s="39"/>
      <c r="G1095" s="2"/>
      <c r="H1095" s="2"/>
    </row>
    <row r="1096" spans="1:8" ht="12.5">
      <c r="A1096" s="2"/>
      <c r="B1096" s="37"/>
      <c r="C1096" s="37"/>
      <c r="D1096" s="2"/>
      <c r="E1096" s="2"/>
      <c r="F1096" s="39"/>
      <c r="G1096" s="2"/>
      <c r="H1096" s="2"/>
    </row>
    <row r="1097" spans="1:8" ht="12.5">
      <c r="A1097" s="2"/>
      <c r="B1097" s="37"/>
      <c r="C1097" s="37"/>
      <c r="D1097" s="2"/>
      <c r="E1097" s="2"/>
      <c r="F1097" s="39"/>
      <c r="G1097" s="2"/>
      <c r="H1097" s="2"/>
    </row>
    <row r="1098" spans="1:8" ht="12.5">
      <c r="A1098" s="2"/>
      <c r="B1098" s="37"/>
      <c r="C1098" s="37"/>
      <c r="D1098" s="2"/>
      <c r="E1098" s="2"/>
      <c r="F1098" s="39"/>
      <c r="G1098" s="2"/>
      <c r="H1098" s="2"/>
    </row>
    <row r="1099" spans="1:8" ht="12.5">
      <c r="A1099" s="2"/>
      <c r="B1099" s="37"/>
      <c r="C1099" s="37"/>
      <c r="D1099" s="2"/>
      <c r="E1099" s="2"/>
      <c r="F1099" s="39"/>
      <c r="G1099" s="2"/>
      <c r="H1099" s="2"/>
    </row>
    <row r="1100" spans="1:8" ht="12.5">
      <c r="A1100" s="2"/>
      <c r="B1100" s="37"/>
      <c r="C1100" s="37"/>
      <c r="D1100" s="2"/>
      <c r="E1100" s="2"/>
      <c r="F1100" s="39"/>
      <c r="G1100" s="2"/>
      <c r="H1100" s="2"/>
    </row>
    <row r="1101" spans="1:8" ht="12.5">
      <c r="A1101" s="2"/>
      <c r="B1101" s="37"/>
      <c r="C1101" s="37"/>
      <c r="D1101" s="2"/>
      <c r="E1101" s="2"/>
      <c r="F1101" s="39"/>
      <c r="G1101" s="2"/>
      <c r="H1101" s="2"/>
    </row>
    <row r="1102" spans="1:8" ht="12.5">
      <c r="A1102" s="2"/>
      <c r="B1102" s="37"/>
      <c r="C1102" s="37"/>
      <c r="D1102" s="2"/>
      <c r="E1102" s="2"/>
      <c r="F1102" s="39"/>
      <c r="G1102" s="2"/>
      <c r="H1102" s="2"/>
    </row>
    <row r="1103" spans="1:8" ht="12.5">
      <c r="A1103" s="2"/>
      <c r="B1103" s="37"/>
      <c r="C1103" s="37"/>
      <c r="D1103" s="2"/>
      <c r="E1103" s="2"/>
      <c r="F1103" s="39"/>
      <c r="G1103" s="2"/>
      <c r="H1103" s="2"/>
    </row>
    <row r="1104" spans="1:8" ht="12.5">
      <c r="A1104" s="2"/>
      <c r="B1104" s="37"/>
      <c r="C1104" s="37"/>
      <c r="D1104" s="2"/>
      <c r="E1104" s="2"/>
      <c r="F1104" s="39"/>
      <c r="G1104" s="2"/>
      <c r="H1104" s="2"/>
    </row>
    <row r="1105" spans="1:8" ht="12.5">
      <c r="A1105" s="2"/>
      <c r="B1105" s="37"/>
      <c r="C1105" s="37"/>
      <c r="D1105" s="2"/>
      <c r="E1105" s="2"/>
      <c r="F1105" s="39"/>
      <c r="G1105" s="2"/>
      <c r="H1105" s="2"/>
    </row>
    <row r="1106" spans="1:8" ht="12.5">
      <c r="A1106" s="2"/>
      <c r="B1106" s="37"/>
      <c r="C1106" s="37"/>
      <c r="D1106" s="2"/>
      <c r="E1106" s="2"/>
      <c r="F1106" s="39"/>
      <c r="G1106" s="2"/>
      <c r="H1106" s="2"/>
    </row>
    <row r="1107" spans="1:8" ht="12.5">
      <c r="A1107" s="2"/>
      <c r="B1107" s="37"/>
      <c r="C1107" s="37"/>
      <c r="D1107" s="2"/>
      <c r="E1107" s="2"/>
      <c r="F1107" s="39"/>
      <c r="G1107" s="2"/>
      <c r="H1107" s="2"/>
    </row>
    <row r="1108" spans="1:8" ht="12.5">
      <c r="A1108" s="2"/>
      <c r="B1108" s="37"/>
      <c r="C1108" s="37"/>
      <c r="D1108" s="2"/>
      <c r="E1108" s="2"/>
      <c r="F1108" s="39"/>
      <c r="G1108" s="2"/>
      <c r="H1108" s="2"/>
    </row>
    <row r="1109" spans="1:8" ht="12.5">
      <c r="A1109" s="2"/>
      <c r="B1109" s="37"/>
      <c r="C1109" s="37"/>
      <c r="D1109" s="2"/>
      <c r="E1109" s="2"/>
      <c r="F1109" s="39"/>
      <c r="G1109" s="2"/>
      <c r="H1109" s="2"/>
    </row>
    <row r="1110" spans="1:8" ht="12.5">
      <c r="A1110" s="2"/>
      <c r="B1110" s="37"/>
      <c r="C1110" s="37"/>
      <c r="D1110" s="2"/>
      <c r="E1110" s="2"/>
      <c r="F1110" s="39"/>
      <c r="G1110" s="2"/>
      <c r="H1110" s="2"/>
    </row>
    <row r="1111" spans="1:8" ht="12.5">
      <c r="A1111" s="2"/>
      <c r="B1111" s="37"/>
      <c r="C1111" s="37"/>
      <c r="D1111" s="2"/>
      <c r="E1111" s="2"/>
      <c r="F1111" s="39"/>
      <c r="G1111" s="2"/>
      <c r="H1111" s="2"/>
    </row>
    <row r="1112" spans="1:8" ht="12.5">
      <c r="A1112" s="2"/>
      <c r="B1112" s="37"/>
      <c r="C1112" s="37"/>
      <c r="D1112" s="2"/>
      <c r="E1112" s="2"/>
      <c r="F1112" s="39"/>
      <c r="G1112" s="2"/>
      <c r="H1112" s="2"/>
    </row>
    <row r="1113" spans="1:8" ht="12.5">
      <c r="A1113" s="2"/>
      <c r="B1113" s="37"/>
      <c r="C1113" s="37"/>
      <c r="D1113" s="2"/>
      <c r="E1113" s="2"/>
      <c r="F1113" s="39"/>
      <c r="G1113" s="2"/>
      <c r="H1113" s="2"/>
    </row>
    <row r="1114" spans="1:8" ht="12.5">
      <c r="A1114" s="2"/>
      <c r="B1114" s="37"/>
      <c r="C1114" s="37"/>
      <c r="D1114" s="2"/>
      <c r="E1114" s="2"/>
      <c r="F1114" s="39"/>
      <c r="G1114" s="2"/>
      <c r="H1114" s="2"/>
    </row>
    <row r="1115" spans="1:8" ht="12.5">
      <c r="A1115" s="2"/>
      <c r="B1115" s="37"/>
      <c r="C1115" s="37"/>
      <c r="D1115" s="2"/>
      <c r="E1115" s="2"/>
      <c r="F1115" s="39"/>
      <c r="G1115" s="2"/>
      <c r="H1115" s="2"/>
    </row>
    <row r="1116" spans="1:8" ht="12.5">
      <c r="A1116" s="2"/>
      <c r="B1116" s="37"/>
      <c r="C1116" s="37"/>
      <c r="D1116" s="2"/>
      <c r="E1116" s="2"/>
      <c r="F1116" s="39"/>
      <c r="G1116" s="2"/>
      <c r="H1116" s="2"/>
    </row>
    <row r="1117" spans="1:8" ht="12.5">
      <c r="A1117" s="2"/>
      <c r="B1117" s="37"/>
      <c r="C1117" s="37"/>
      <c r="D1117" s="2"/>
      <c r="E1117" s="2"/>
      <c r="F1117" s="39"/>
      <c r="G1117" s="2"/>
      <c r="H1117" s="2"/>
    </row>
    <row r="1118" spans="1:8" ht="12.5">
      <c r="A1118" s="2"/>
      <c r="B1118" s="37"/>
      <c r="C1118" s="37"/>
      <c r="D1118" s="2"/>
      <c r="E1118" s="2"/>
      <c r="F1118" s="39"/>
      <c r="G1118" s="2"/>
      <c r="H1118" s="2"/>
    </row>
    <row r="1119" spans="1:8" ht="12.5">
      <c r="A1119" s="2"/>
      <c r="B1119" s="37"/>
      <c r="C1119" s="37"/>
      <c r="D1119" s="2"/>
      <c r="E1119" s="2"/>
      <c r="F1119" s="39"/>
      <c r="G1119" s="2"/>
      <c r="H1119" s="2"/>
    </row>
    <row r="1120" spans="1:8" ht="12.5">
      <c r="A1120" s="2"/>
      <c r="B1120" s="37"/>
      <c r="C1120" s="37"/>
      <c r="D1120" s="2"/>
      <c r="E1120" s="2"/>
      <c r="F1120" s="39"/>
      <c r="G1120" s="2"/>
      <c r="H1120" s="2"/>
    </row>
    <row r="1121" spans="1:8" ht="12.5">
      <c r="A1121" s="2"/>
      <c r="B1121" s="37"/>
      <c r="C1121" s="37"/>
      <c r="D1121" s="2"/>
      <c r="E1121" s="2"/>
      <c r="F1121" s="39"/>
      <c r="G1121" s="2"/>
      <c r="H1121" s="2"/>
    </row>
    <row r="1122" spans="1:8" ht="12.5">
      <c r="A1122" s="2"/>
      <c r="B1122" s="37"/>
      <c r="C1122" s="37"/>
      <c r="D1122" s="2"/>
      <c r="E1122" s="2"/>
      <c r="F1122" s="39"/>
      <c r="G1122" s="2"/>
      <c r="H1122" s="2"/>
    </row>
    <row r="1123" spans="1:8" ht="12.5">
      <c r="A1123" s="2"/>
      <c r="B1123" s="37"/>
      <c r="C1123" s="37"/>
      <c r="D1123" s="2"/>
      <c r="E1123" s="2"/>
      <c r="F1123" s="39"/>
      <c r="G1123" s="2"/>
      <c r="H1123" s="2"/>
    </row>
    <row r="1124" spans="1:8" ht="12.5">
      <c r="A1124" s="2"/>
      <c r="B1124" s="37"/>
      <c r="C1124" s="37"/>
      <c r="D1124" s="2"/>
      <c r="E1124" s="2"/>
      <c r="F1124" s="39"/>
      <c r="G1124" s="2"/>
      <c r="H1124" s="2"/>
    </row>
    <row r="1125" spans="1:8" ht="12.5">
      <c r="A1125" s="2"/>
      <c r="B1125" s="37"/>
      <c r="C1125" s="37"/>
      <c r="D1125" s="2"/>
      <c r="E1125" s="2"/>
      <c r="F1125" s="39"/>
      <c r="G1125" s="2"/>
      <c r="H1125" s="2"/>
    </row>
    <row r="1126" spans="1:8" ht="12.5">
      <c r="A1126" s="2"/>
      <c r="B1126" s="37"/>
      <c r="C1126" s="37"/>
      <c r="D1126" s="2"/>
      <c r="E1126" s="2"/>
      <c r="F1126" s="39"/>
      <c r="G1126" s="2"/>
      <c r="H1126" s="2"/>
    </row>
    <row r="1127" spans="1:8" ht="12.5">
      <c r="A1127" s="2"/>
      <c r="B1127" s="37"/>
      <c r="C1127" s="37"/>
      <c r="D1127" s="2"/>
      <c r="E1127" s="2"/>
      <c r="F1127" s="39"/>
      <c r="G1127" s="2"/>
      <c r="H1127" s="2"/>
    </row>
    <row r="1128" spans="1:8" ht="12.5">
      <c r="A1128" s="2"/>
      <c r="B1128" s="37"/>
      <c r="C1128" s="37"/>
      <c r="D1128" s="2"/>
      <c r="E1128" s="2"/>
      <c r="F1128" s="39"/>
      <c r="G1128" s="2"/>
      <c r="H1128" s="2"/>
    </row>
    <row r="1129" spans="1:8" ht="12.5">
      <c r="A1129" s="2"/>
      <c r="B1129" s="37"/>
      <c r="C1129" s="37"/>
      <c r="D1129" s="2"/>
      <c r="E1129" s="2"/>
      <c r="F1129" s="39"/>
      <c r="G1129" s="2"/>
      <c r="H1129" s="2"/>
    </row>
    <row r="1130" spans="1:8" ht="12.5">
      <c r="A1130" s="2"/>
      <c r="B1130" s="37"/>
      <c r="C1130" s="37"/>
      <c r="D1130" s="2"/>
      <c r="E1130" s="2"/>
      <c r="F1130" s="39"/>
      <c r="G1130" s="2"/>
      <c r="H1130" s="2"/>
    </row>
    <row r="1131" spans="1:8" ht="12.5">
      <c r="A1131" s="2"/>
      <c r="B1131" s="37"/>
      <c r="C1131" s="37"/>
      <c r="D1131" s="2"/>
      <c r="E1131" s="2"/>
      <c r="F1131" s="39"/>
      <c r="G1131" s="2"/>
      <c r="H1131" s="2"/>
    </row>
    <row r="1132" spans="1:8" ht="12.5">
      <c r="A1132" s="2"/>
      <c r="B1132" s="37"/>
      <c r="C1132" s="37"/>
      <c r="D1132" s="2"/>
      <c r="E1132" s="2"/>
      <c r="F1132" s="39"/>
      <c r="G1132" s="2"/>
      <c r="H1132" s="2"/>
    </row>
    <row r="1133" spans="1:8" ht="12.5">
      <c r="A1133" s="2"/>
      <c r="B1133" s="37"/>
      <c r="C1133" s="37"/>
      <c r="D1133" s="2"/>
      <c r="E1133" s="2"/>
      <c r="F1133" s="39"/>
      <c r="G1133" s="2"/>
      <c r="H1133" s="2"/>
    </row>
    <row r="1134" spans="1:8" ht="12.5">
      <c r="A1134" s="2"/>
      <c r="B1134" s="37"/>
      <c r="C1134" s="37"/>
      <c r="D1134" s="2"/>
      <c r="E1134" s="2"/>
      <c r="F1134" s="39"/>
      <c r="G1134" s="2"/>
      <c r="H1134" s="2"/>
    </row>
    <row r="1135" spans="1:8" ht="12.5">
      <c r="A1135" s="2"/>
      <c r="B1135" s="37"/>
      <c r="C1135" s="37"/>
      <c r="D1135" s="2"/>
      <c r="E1135" s="2"/>
      <c r="F1135" s="39"/>
      <c r="G1135" s="2"/>
      <c r="H1135" s="2"/>
    </row>
    <row r="1136" spans="1:8" ht="12.5">
      <c r="A1136" s="2"/>
      <c r="B1136" s="37"/>
      <c r="C1136" s="37"/>
      <c r="D1136" s="2"/>
      <c r="E1136" s="2"/>
      <c r="F1136" s="39"/>
      <c r="G1136" s="2"/>
      <c r="H1136" s="2"/>
    </row>
    <row r="1137" spans="1:8" ht="12.5">
      <c r="A1137" s="2"/>
      <c r="B1137" s="37"/>
      <c r="C1137" s="37"/>
      <c r="D1137" s="2"/>
      <c r="E1137" s="2"/>
      <c r="F1137" s="39"/>
      <c r="G1137" s="2"/>
      <c r="H1137" s="2"/>
    </row>
    <row r="1138" spans="1:8" ht="12.5">
      <c r="A1138" s="2"/>
      <c r="B1138" s="37"/>
      <c r="C1138" s="37"/>
      <c r="D1138" s="2"/>
      <c r="E1138" s="2"/>
      <c r="F1138" s="39"/>
      <c r="G1138" s="2"/>
      <c r="H1138" s="2"/>
    </row>
    <row r="1139" spans="1:8" ht="12.5">
      <c r="A1139" s="2"/>
      <c r="B1139" s="37"/>
      <c r="C1139" s="37"/>
      <c r="D1139" s="2"/>
      <c r="E1139" s="2"/>
      <c r="F1139" s="39"/>
      <c r="G1139" s="2"/>
      <c r="H1139" s="2"/>
    </row>
    <row r="1140" spans="1:8" ht="12.5">
      <c r="A1140" s="2"/>
      <c r="B1140" s="37"/>
      <c r="C1140" s="37"/>
      <c r="D1140" s="2"/>
      <c r="E1140" s="2"/>
      <c r="F1140" s="39"/>
      <c r="G1140" s="2"/>
      <c r="H1140" s="2"/>
    </row>
    <row r="1141" spans="1:8" ht="12.5">
      <c r="A1141" s="2"/>
      <c r="B1141" s="37"/>
      <c r="C1141" s="37"/>
      <c r="D1141" s="2"/>
      <c r="E1141" s="2"/>
      <c r="F1141" s="39"/>
      <c r="G1141" s="2"/>
      <c r="H1141" s="2"/>
    </row>
    <row r="1142" spans="1:8" ht="12.5">
      <c r="A1142" s="2"/>
      <c r="B1142" s="37"/>
      <c r="C1142" s="37"/>
      <c r="D1142" s="2"/>
      <c r="E1142" s="2"/>
      <c r="F1142" s="39"/>
      <c r="G1142" s="2"/>
      <c r="H1142" s="2"/>
    </row>
    <row r="1143" spans="1:8" ht="12.5">
      <c r="A1143" s="2"/>
      <c r="B1143" s="37"/>
      <c r="C1143" s="37"/>
      <c r="D1143" s="2"/>
      <c r="E1143" s="2"/>
      <c r="F1143" s="39"/>
      <c r="G1143" s="2"/>
      <c r="H1143" s="2"/>
    </row>
    <row r="1144" spans="1:8" ht="12.5">
      <c r="A1144" s="2"/>
      <c r="B1144" s="37"/>
      <c r="C1144" s="37"/>
      <c r="D1144" s="2"/>
      <c r="E1144" s="2"/>
      <c r="F1144" s="39"/>
      <c r="G1144" s="2"/>
      <c r="H1144" s="2"/>
    </row>
    <row r="1145" spans="1:8" ht="12.5">
      <c r="A1145" s="2"/>
      <c r="B1145" s="37"/>
      <c r="C1145" s="37"/>
      <c r="D1145" s="2"/>
      <c r="E1145" s="2"/>
      <c r="F1145" s="39"/>
      <c r="G1145" s="2"/>
      <c r="H1145" s="2"/>
    </row>
    <row r="1146" spans="1:8" ht="12.5">
      <c r="A1146" s="2"/>
      <c r="B1146" s="37"/>
      <c r="C1146" s="37"/>
      <c r="D1146" s="2"/>
      <c r="E1146" s="2"/>
      <c r="F1146" s="39"/>
      <c r="G1146" s="2"/>
      <c r="H1146" s="2"/>
    </row>
    <row r="1147" spans="1:8" ht="12.5">
      <c r="A1147" s="2"/>
      <c r="B1147" s="37"/>
      <c r="C1147" s="37"/>
      <c r="D1147" s="2"/>
      <c r="E1147" s="2"/>
      <c r="F1147" s="39"/>
      <c r="G1147" s="2"/>
      <c r="H1147" s="2"/>
    </row>
    <row r="1148" spans="1:8" ht="12.5">
      <c r="A1148" s="2"/>
      <c r="B1148" s="37"/>
      <c r="C1148" s="37"/>
      <c r="D1148" s="2"/>
      <c r="E1148" s="2"/>
      <c r="F1148" s="39"/>
      <c r="G1148" s="2"/>
      <c r="H1148" s="2"/>
    </row>
    <row r="1149" spans="1:8" ht="12.5">
      <c r="A1149" s="2"/>
      <c r="B1149" s="37"/>
      <c r="C1149" s="37"/>
      <c r="D1149" s="2"/>
      <c r="E1149" s="2"/>
      <c r="F1149" s="39"/>
      <c r="G1149" s="2"/>
      <c r="H1149" s="2"/>
    </row>
    <row r="1150" spans="1:8" ht="12.5">
      <c r="A1150" s="2"/>
      <c r="B1150" s="37"/>
      <c r="C1150" s="37"/>
      <c r="D1150" s="2"/>
      <c r="E1150" s="2"/>
      <c r="F1150" s="39"/>
      <c r="G1150" s="2"/>
      <c r="H1150" s="2"/>
    </row>
    <row r="1151" spans="1:8" ht="12.5">
      <c r="A1151" s="2"/>
      <c r="B1151" s="37"/>
      <c r="C1151" s="37"/>
      <c r="D1151" s="2"/>
      <c r="E1151" s="2"/>
      <c r="F1151" s="39"/>
      <c r="G1151" s="2"/>
      <c r="H1151" s="2"/>
    </row>
    <row r="1152" spans="1:8" ht="12.5">
      <c r="A1152" s="2"/>
      <c r="B1152" s="37"/>
      <c r="C1152" s="37"/>
      <c r="D1152" s="2"/>
      <c r="E1152" s="2"/>
      <c r="F1152" s="39"/>
      <c r="G1152" s="2"/>
      <c r="H1152" s="2"/>
    </row>
    <row r="1153" spans="1:8" ht="12.5">
      <c r="A1153" s="2"/>
      <c r="B1153" s="37"/>
      <c r="C1153" s="37"/>
      <c r="D1153" s="2"/>
      <c r="E1153" s="2"/>
      <c r="F1153" s="39"/>
      <c r="G1153" s="2"/>
      <c r="H1153" s="2"/>
    </row>
    <row r="1154" spans="1:8" ht="12.5">
      <c r="A1154" s="2"/>
      <c r="B1154" s="37"/>
      <c r="C1154" s="37"/>
      <c r="D1154" s="2"/>
      <c r="E1154" s="2"/>
      <c r="F1154" s="39"/>
      <c r="G1154" s="2"/>
      <c r="H1154" s="2"/>
    </row>
    <row r="1155" spans="1:8" ht="12.5">
      <c r="A1155" s="2"/>
      <c r="B1155" s="37"/>
      <c r="C1155" s="37"/>
      <c r="D1155" s="2"/>
      <c r="E1155" s="2"/>
      <c r="F1155" s="39"/>
      <c r="G1155" s="2"/>
      <c r="H1155" s="2"/>
    </row>
    <row r="1156" spans="1:8" ht="12.5">
      <c r="A1156" s="2"/>
      <c r="B1156" s="37"/>
      <c r="C1156" s="37"/>
      <c r="D1156" s="2"/>
      <c r="E1156" s="2"/>
      <c r="F1156" s="39"/>
      <c r="G1156" s="2"/>
      <c r="H1156" s="2"/>
    </row>
    <row r="1157" spans="1:8" ht="12.5">
      <c r="A1157" s="2"/>
      <c r="B1157" s="37"/>
      <c r="C1157" s="37"/>
      <c r="D1157" s="2"/>
      <c r="E1157" s="2"/>
      <c r="F1157" s="39"/>
      <c r="G1157" s="2"/>
      <c r="H1157" s="2"/>
    </row>
    <row r="1158" spans="1:8" ht="12.5">
      <c r="A1158" s="2"/>
      <c r="B1158" s="37"/>
      <c r="C1158" s="37"/>
      <c r="D1158" s="2"/>
      <c r="E1158" s="2"/>
      <c r="F1158" s="39"/>
      <c r="G1158" s="2"/>
      <c r="H1158" s="2"/>
    </row>
    <row r="1159" spans="1:8" ht="12.5">
      <c r="A1159" s="2"/>
      <c r="B1159" s="37"/>
      <c r="C1159" s="37"/>
      <c r="D1159" s="2"/>
      <c r="E1159" s="2"/>
      <c r="F1159" s="39"/>
      <c r="G1159" s="2"/>
      <c r="H1159" s="2"/>
    </row>
    <row r="1160" spans="1:8" ht="12.5">
      <c r="A1160" s="2"/>
      <c r="B1160" s="37"/>
      <c r="C1160" s="37"/>
      <c r="D1160" s="2"/>
      <c r="E1160" s="2"/>
      <c r="F1160" s="39"/>
      <c r="G1160" s="2"/>
      <c r="H1160" s="2"/>
    </row>
    <row r="1161" spans="1:8" ht="12.5">
      <c r="A1161" s="2"/>
      <c r="B1161" s="37"/>
      <c r="C1161" s="37"/>
      <c r="D1161" s="2"/>
      <c r="E1161" s="2"/>
      <c r="F1161" s="39"/>
      <c r="G1161" s="2"/>
      <c r="H1161" s="2"/>
    </row>
    <row r="1162" spans="1:8" ht="12.5">
      <c r="A1162" s="2"/>
      <c r="B1162" s="37"/>
      <c r="C1162" s="37"/>
      <c r="D1162" s="2"/>
      <c r="E1162" s="2"/>
      <c r="F1162" s="39"/>
      <c r="G1162" s="2"/>
      <c r="H1162" s="2"/>
    </row>
    <row r="1163" spans="1:8" ht="12.5">
      <c r="A1163" s="2"/>
      <c r="B1163" s="37"/>
      <c r="C1163" s="37"/>
      <c r="D1163" s="2"/>
      <c r="E1163" s="2"/>
      <c r="F1163" s="39"/>
      <c r="G1163" s="2"/>
      <c r="H1163" s="2"/>
    </row>
    <row r="1164" spans="1:8" ht="12.5">
      <c r="A1164" s="2"/>
      <c r="B1164" s="37"/>
      <c r="C1164" s="37"/>
      <c r="D1164" s="2"/>
      <c r="E1164" s="2"/>
      <c r="F1164" s="39"/>
      <c r="G1164" s="2"/>
      <c r="H1164" s="2"/>
    </row>
    <row r="1165" spans="1:8" ht="12.5">
      <c r="A1165" s="2"/>
      <c r="B1165" s="37"/>
      <c r="C1165" s="37"/>
      <c r="D1165" s="2"/>
      <c r="E1165" s="2"/>
      <c r="F1165" s="39"/>
      <c r="G1165" s="2"/>
      <c r="H1165" s="2"/>
    </row>
    <row r="1166" spans="1:8" ht="12.5">
      <c r="A1166" s="2"/>
      <c r="B1166" s="37"/>
      <c r="C1166" s="37"/>
      <c r="D1166" s="2"/>
      <c r="E1166" s="2"/>
      <c r="F1166" s="39"/>
      <c r="G1166" s="2"/>
      <c r="H1166" s="2"/>
    </row>
    <row r="1167" spans="1:8" ht="12.5">
      <c r="A1167" s="2"/>
      <c r="B1167" s="37"/>
      <c r="C1167" s="37"/>
      <c r="D1167" s="2"/>
      <c r="E1167" s="2"/>
      <c r="F1167" s="39"/>
      <c r="G1167" s="2"/>
      <c r="H1167" s="2"/>
    </row>
    <row r="1168" spans="1:8" ht="12.5">
      <c r="A1168" s="2"/>
      <c r="B1168" s="37"/>
      <c r="C1168" s="37"/>
      <c r="D1168" s="2"/>
      <c r="E1168" s="2"/>
      <c r="F1168" s="39"/>
      <c r="G1168" s="2"/>
      <c r="H1168" s="2"/>
    </row>
    <row r="1169" spans="1:8" ht="12.5">
      <c r="A1169" s="2"/>
      <c r="B1169" s="37"/>
      <c r="C1169" s="37"/>
      <c r="D1169" s="2"/>
      <c r="E1169" s="2"/>
      <c r="F1169" s="39"/>
      <c r="G1169" s="2"/>
      <c r="H1169" s="2"/>
    </row>
    <row r="1170" spans="1:8" ht="12.5">
      <c r="A1170" s="2"/>
      <c r="B1170" s="37"/>
      <c r="C1170" s="37"/>
      <c r="D1170" s="2"/>
      <c r="E1170" s="2"/>
      <c r="F1170" s="39"/>
      <c r="G1170" s="2"/>
      <c r="H1170" s="2"/>
    </row>
    <row r="1171" spans="1:8" ht="12.5">
      <c r="A1171" s="2"/>
      <c r="B1171" s="37"/>
      <c r="C1171" s="37"/>
      <c r="D1171" s="2"/>
      <c r="E1171" s="2"/>
      <c r="F1171" s="39"/>
      <c r="G1171" s="2"/>
      <c r="H1171" s="2"/>
    </row>
    <row r="1172" spans="1:8" ht="12.5">
      <c r="A1172" s="2"/>
      <c r="B1172" s="37"/>
      <c r="C1172" s="37"/>
      <c r="D1172" s="2"/>
      <c r="E1172" s="2"/>
      <c r="F1172" s="39"/>
      <c r="G1172" s="2"/>
      <c r="H1172" s="2"/>
    </row>
    <row r="1173" spans="1:8" ht="12.5">
      <c r="A1173" s="2"/>
      <c r="B1173" s="37"/>
      <c r="C1173" s="37"/>
      <c r="D1173" s="2"/>
      <c r="E1173" s="2"/>
      <c r="F1173" s="39"/>
      <c r="G1173" s="2"/>
      <c r="H1173" s="2"/>
    </row>
    <row r="1174" spans="1:8" ht="12.5">
      <c r="A1174" s="2"/>
      <c r="B1174" s="37"/>
      <c r="C1174" s="37"/>
      <c r="D1174" s="2"/>
      <c r="E1174" s="2"/>
      <c r="F1174" s="39"/>
      <c r="G1174" s="2"/>
      <c r="H1174" s="2"/>
    </row>
    <row r="1175" spans="1:8" ht="12.5">
      <c r="A1175" s="2"/>
      <c r="B1175" s="37"/>
      <c r="C1175" s="37"/>
      <c r="D1175" s="2"/>
      <c r="E1175" s="2"/>
      <c r="F1175" s="39"/>
      <c r="G1175" s="2"/>
      <c r="H1175" s="2"/>
    </row>
    <row r="1176" spans="1:8" ht="12.5">
      <c r="A1176" s="2"/>
      <c r="B1176" s="37"/>
      <c r="C1176" s="37"/>
      <c r="D1176" s="2"/>
      <c r="E1176" s="2"/>
      <c r="F1176" s="39"/>
      <c r="G1176" s="2"/>
      <c r="H1176" s="2"/>
    </row>
    <row r="1177" spans="1:8" ht="12.5">
      <c r="A1177" s="2"/>
      <c r="B1177" s="37"/>
      <c r="C1177" s="37"/>
      <c r="D1177" s="2"/>
      <c r="E1177" s="2"/>
      <c r="F1177" s="39"/>
      <c r="G1177" s="2"/>
      <c r="H1177" s="2"/>
    </row>
    <row r="1178" spans="1:8" ht="12.5">
      <c r="A1178" s="2"/>
      <c r="B1178" s="37"/>
      <c r="C1178" s="37"/>
      <c r="D1178" s="2"/>
      <c r="E1178" s="2"/>
      <c r="F1178" s="39"/>
      <c r="G1178" s="2"/>
      <c r="H1178" s="2"/>
    </row>
    <row r="1179" spans="1:8" ht="12.5">
      <c r="A1179" s="2"/>
      <c r="B1179" s="37"/>
      <c r="C1179" s="37"/>
      <c r="D1179" s="2"/>
      <c r="E1179" s="2"/>
      <c r="F1179" s="39"/>
      <c r="G1179" s="2"/>
      <c r="H1179" s="2"/>
    </row>
    <row r="1180" spans="1:8" ht="12.5">
      <c r="A1180" s="2"/>
      <c r="B1180" s="37"/>
      <c r="C1180" s="37"/>
      <c r="D1180" s="2"/>
      <c r="E1180" s="2"/>
      <c r="F1180" s="39"/>
      <c r="G1180" s="2"/>
      <c r="H1180" s="2"/>
    </row>
    <row r="1181" spans="1:8" ht="12.5">
      <c r="A1181" s="2"/>
      <c r="B1181" s="37"/>
      <c r="C1181" s="37"/>
      <c r="D1181" s="2"/>
      <c r="E1181" s="2"/>
      <c r="F1181" s="39"/>
      <c r="G1181" s="2"/>
      <c r="H1181" s="2"/>
    </row>
    <row r="1182" spans="1:8" ht="12.5">
      <c r="A1182" s="2"/>
      <c r="B1182" s="37"/>
      <c r="C1182" s="37"/>
      <c r="D1182" s="2"/>
      <c r="E1182" s="2"/>
      <c r="F1182" s="39"/>
      <c r="G1182" s="2"/>
      <c r="H1182" s="2"/>
    </row>
    <row r="1183" spans="1:8" ht="12.5">
      <c r="A1183" s="2"/>
      <c r="B1183" s="37"/>
      <c r="C1183" s="37"/>
      <c r="D1183" s="2"/>
      <c r="E1183" s="2"/>
      <c r="F1183" s="39"/>
      <c r="G1183" s="2"/>
      <c r="H1183" s="2"/>
    </row>
    <row r="1184" spans="1:8" ht="12.5">
      <c r="A1184" s="2"/>
      <c r="B1184" s="37"/>
      <c r="C1184" s="37"/>
      <c r="D1184" s="2"/>
      <c r="E1184" s="2"/>
      <c r="F1184" s="39"/>
      <c r="G1184" s="2"/>
      <c r="H1184" s="2"/>
    </row>
    <row r="1185" spans="1:8" ht="12.5">
      <c r="A1185" s="2"/>
      <c r="B1185" s="37"/>
      <c r="C1185" s="37"/>
      <c r="D1185" s="2"/>
      <c r="E1185" s="2"/>
      <c r="F1185" s="39"/>
      <c r="G1185" s="2"/>
      <c r="H1185" s="2"/>
    </row>
    <row r="1186" spans="1:8" ht="12.5">
      <c r="A1186" s="2"/>
      <c r="B1186" s="37"/>
      <c r="C1186" s="37"/>
      <c r="D1186" s="2"/>
      <c r="E1186" s="2"/>
      <c r="F1186" s="39"/>
      <c r="G1186" s="2"/>
      <c r="H1186" s="2"/>
    </row>
    <row r="1187" spans="1:8" ht="12.5">
      <c r="A1187" s="2"/>
      <c r="B1187" s="37"/>
      <c r="C1187" s="37"/>
      <c r="D1187" s="2"/>
      <c r="E1187" s="2"/>
      <c r="F1187" s="39"/>
      <c r="G1187" s="2"/>
      <c r="H1187" s="2"/>
    </row>
    <row r="1188" spans="1:8" ht="12.5">
      <c r="A1188" s="2"/>
      <c r="B1188" s="37"/>
      <c r="C1188" s="37"/>
      <c r="D1188" s="2"/>
      <c r="E1188" s="2"/>
      <c r="F1188" s="39"/>
      <c r="G1188" s="2"/>
      <c r="H1188" s="2"/>
    </row>
    <row r="1189" spans="1:8" ht="12.5">
      <c r="A1189" s="2"/>
      <c r="B1189" s="37"/>
      <c r="C1189" s="37"/>
      <c r="D1189" s="2"/>
      <c r="E1189" s="2"/>
      <c r="F1189" s="39"/>
      <c r="G1189" s="2"/>
      <c r="H1189" s="2"/>
    </row>
    <row r="1190" spans="1:8" ht="12.5">
      <c r="A1190" s="2"/>
      <c r="B1190" s="37"/>
      <c r="C1190" s="37"/>
      <c r="D1190" s="2"/>
      <c r="E1190" s="2"/>
      <c r="F1190" s="39"/>
      <c r="G1190" s="2"/>
      <c r="H1190" s="2"/>
    </row>
    <row r="1191" spans="1:8" ht="12.5">
      <c r="A1191" s="2"/>
      <c r="B1191" s="37"/>
      <c r="C1191" s="37"/>
      <c r="D1191" s="2"/>
      <c r="E1191" s="2"/>
      <c r="F1191" s="39"/>
      <c r="G1191" s="2"/>
      <c r="H1191" s="2"/>
    </row>
    <row r="1192" spans="1:8" ht="12.5">
      <c r="A1192" s="2"/>
      <c r="B1192" s="37"/>
      <c r="C1192" s="37"/>
      <c r="D1192" s="2"/>
      <c r="E1192" s="2"/>
      <c r="F1192" s="39"/>
      <c r="G1192" s="2"/>
      <c r="H1192" s="2"/>
    </row>
    <row r="1193" spans="1:8" ht="12.5">
      <c r="A1193" s="2"/>
      <c r="B1193" s="37"/>
      <c r="C1193" s="37"/>
      <c r="D1193" s="2"/>
      <c r="E1193" s="2"/>
      <c r="F1193" s="39"/>
      <c r="G1193" s="2"/>
      <c r="H1193" s="2"/>
    </row>
    <row r="1194" spans="1:8" ht="12.5">
      <c r="A1194" s="2"/>
      <c r="B1194" s="37"/>
      <c r="C1194" s="37"/>
      <c r="D1194" s="2"/>
      <c r="E1194" s="2"/>
      <c r="F1194" s="39"/>
      <c r="G1194" s="2"/>
      <c r="H1194" s="2"/>
    </row>
    <row r="1195" spans="1:8" ht="12.5">
      <c r="A1195" s="2"/>
      <c r="B1195" s="37"/>
      <c r="C1195" s="37"/>
      <c r="D1195" s="2"/>
      <c r="E1195" s="2"/>
      <c r="F1195" s="39"/>
      <c r="G1195" s="2"/>
      <c r="H1195" s="2"/>
    </row>
    <row r="1196" spans="1:8" ht="12.5">
      <c r="A1196" s="2"/>
      <c r="B1196" s="37"/>
      <c r="C1196" s="37"/>
      <c r="D1196" s="2"/>
      <c r="E1196" s="2"/>
      <c r="F1196" s="39"/>
      <c r="G1196" s="2"/>
      <c r="H1196" s="2"/>
    </row>
    <row r="1197" spans="1:8" ht="12.5">
      <c r="A1197" s="2"/>
      <c r="B1197" s="37"/>
      <c r="C1197" s="37"/>
      <c r="D1197" s="2"/>
      <c r="E1197" s="2"/>
      <c r="F1197" s="39"/>
      <c r="G1197" s="2"/>
      <c r="H1197" s="2"/>
    </row>
    <row r="1198" spans="1:8" ht="12.5">
      <c r="A1198" s="2"/>
      <c r="B1198" s="37"/>
      <c r="C1198" s="37"/>
      <c r="D1198" s="2"/>
      <c r="E1198" s="2"/>
      <c r="F1198" s="39"/>
      <c r="G1198" s="2"/>
      <c r="H1198" s="2"/>
    </row>
    <row r="1199" spans="1:8" ht="12.5">
      <c r="A1199" s="2"/>
      <c r="B1199" s="37"/>
      <c r="C1199" s="37"/>
      <c r="D1199" s="2"/>
      <c r="E1199" s="2"/>
      <c r="F1199" s="39"/>
      <c r="G1199" s="2"/>
      <c r="H1199" s="2"/>
    </row>
    <row r="1200" spans="1:8" ht="12.5">
      <c r="A1200" s="2"/>
      <c r="B1200" s="37"/>
      <c r="C1200" s="37"/>
      <c r="D1200" s="2"/>
      <c r="E1200" s="2"/>
      <c r="F1200" s="39"/>
      <c r="G1200" s="2"/>
      <c r="H1200" s="2"/>
    </row>
    <row r="1201" spans="1:8" ht="12.5">
      <c r="A1201" s="2"/>
      <c r="B1201" s="37"/>
      <c r="C1201" s="37"/>
      <c r="D1201" s="2"/>
      <c r="E1201" s="2"/>
      <c r="F1201" s="39"/>
      <c r="G1201" s="2"/>
      <c r="H1201" s="2"/>
    </row>
    <row r="1202" spans="1:8" ht="12.5">
      <c r="A1202" s="2"/>
      <c r="B1202" s="37"/>
      <c r="C1202" s="37"/>
      <c r="D1202" s="2"/>
      <c r="E1202" s="2"/>
      <c r="F1202" s="39"/>
      <c r="G1202" s="2"/>
      <c r="H1202" s="2"/>
    </row>
    <row r="1203" spans="1:8" ht="12.5">
      <c r="A1203" s="2"/>
      <c r="B1203" s="37"/>
      <c r="C1203" s="37"/>
      <c r="D1203" s="2"/>
      <c r="E1203" s="2"/>
      <c r="F1203" s="39"/>
      <c r="G1203" s="2"/>
      <c r="H1203" s="2"/>
    </row>
    <row r="1204" spans="1:8" ht="12.5">
      <c r="A1204" s="2"/>
      <c r="B1204" s="37"/>
      <c r="C1204" s="37"/>
      <c r="D1204" s="2"/>
      <c r="E1204" s="2"/>
      <c r="F1204" s="39"/>
      <c r="G1204" s="2"/>
      <c r="H1204" s="2"/>
    </row>
    <row r="1205" spans="1:8" ht="12.5">
      <c r="A1205" s="2"/>
      <c r="B1205" s="37"/>
      <c r="C1205" s="37"/>
      <c r="D1205" s="2"/>
      <c r="E1205" s="2"/>
      <c r="F1205" s="39"/>
      <c r="G1205" s="2"/>
      <c r="H1205" s="2"/>
    </row>
    <row r="1206" spans="1:8" ht="12.5">
      <c r="A1206" s="2"/>
      <c r="B1206" s="37"/>
      <c r="C1206" s="37"/>
      <c r="D1206" s="2"/>
      <c r="E1206" s="2"/>
      <c r="F1206" s="39"/>
      <c r="G1206" s="2"/>
      <c r="H1206" s="2"/>
    </row>
    <row r="1207" spans="1:8" ht="12.5">
      <c r="A1207" s="2"/>
      <c r="B1207" s="37"/>
      <c r="C1207" s="37"/>
      <c r="D1207" s="2"/>
      <c r="E1207" s="2"/>
      <c r="F1207" s="39"/>
      <c r="G1207" s="2"/>
      <c r="H1207" s="2"/>
    </row>
    <row r="1208" spans="1:8" ht="12.5">
      <c r="A1208" s="2"/>
      <c r="B1208" s="37"/>
      <c r="C1208" s="37"/>
      <c r="D1208" s="2"/>
      <c r="E1208" s="2"/>
      <c r="F1208" s="39"/>
      <c r="G1208" s="2"/>
      <c r="H1208" s="2"/>
    </row>
    <row r="1209" spans="1:8" ht="12.5">
      <c r="A1209" s="2"/>
      <c r="B1209" s="37"/>
      <c r="C1209" s="37"/>
      <c r="D1209" s="2"/>
      <c r="E1209" s="2"/>
      <c r="F1209" s="39"/>
      <c r="G1209" s="2"/>
      <c r="H1209" s="2"/>
    </row>
    <row r="1210" spans="1:8" ht="12.5">
      <c r="A1210" s="2"/>
      <c r="B1210" s="37"/>
      <c r="C1210" s="37"/>
      <c r="D1210" s="2"/>
      <c r="E1210" s="2"/>
      <c r="F1210" s="39"/>
      <c r="G1210" s="2"/>
      <c r="H1210" s="2"/>
    </row>
    <row r="1211" spans="1:8" ht="12.5">
      <c r="A1211" s="2"/>
      <c r="B1211" s="37"/>
      <c r="C1211" s="37"/>
      <c r="D1211" s="2"/>
      <c r="E1211" s="2"/>
      <c r="F1211" s="39"/>
      <c r="G1211" s="2"/>
      <c r="H1211" s="2"/>
    </row>
    <row r="1212" spans="1:8" ht="12.5">
      <c r="A1212" s="2"/>
      <c r="B1212" s="37"/>
      <c r="C1212" s="37"/>
      <c r="D1212" s="2"/>
      <c r="E1212" s="2"/>
      <c r="F1212" s="39"/>
      <c r="G1212" s="2"/>
      <c r="H1212" s="2"/>
    </row>
    <row r="1213" spans="1:8" ht="12.5">
      <c r="A1213" s="2"/>
      <c r="B1213" s="37"/>
      <c r="C1213" s="37"/>
      <c r="D1213" s="2"/>
      <c r="E1213" s="2"/>
      <c r="F1213" s="39"/>
      <c r="G1213" s="2"/>
      <c r="H1213" s="2"/>
    </row>
    <row r="1214" spans="1:8" ht="12.5">
      <c r="A1214" s="2"/>
      <c r="B1214" s="37"/>
      <c r="C1214" s="37"/>
      <c r="D1214" s="2"/>
      <c r="E1214" s="2"/>
      <c r="F1214" s="39"/>
      <c r="G1214" s="2"/>
      <c r="H1214" s="2"/>
    </row>
    <row r="1215" spans="1:8" ht="12.5">
      <c r="A1215" s="2"/>
      <c r="B1215" s="37"/>
      <c r="C1215" s="37"/>
      <c r="D1215" s="2"/>
      <c r="E1215" s="2"/>
      <c r="F1215" s="39"/>
      <c r="G1215" s="2"/>
      <c r="H1215" s="2"/>
    </row>
    <row r="1216" spans="1:8" ht="12.5">
      <c r="A1216" s="2"/>
      <c r="B1216" s="37"/>
      <c r="C1216" s="37"/>
      <c r="D1216" s="2"/>
      <c r="E1216" s="2"/>
      <c r="F1216" s="39"/>
      <c r="G1216" s="2"/>
      <c r="H1216" s="2"/>
    </row>
    <row r="1217" spans="1:8" ht="12.5">
      <c r="A1217" s="2"/>
      <c r="B1217" s="37"/>
      <c r="C1217" s="37"/>
      <c r="D1217" s="2"/>
      <c r="E1217" s="2"/>
      <c r="F1217" s="39"/>
      <c r="G1217" s="2"/>
      <c r="H1217" s="2"/>
    </row>
    <row r="1218" spans="1:8" ht="12.5">
      <c r="A1218" s="2"/>
      <c r="B1218" s="37"/>
      <c r="C1218" s="37"/>
      <c r="D1218" s="2"/>
      <c r="E1218" s="2"/>
      <c r="F1218" s="39"/>
      <c r="G1218" s="2"/>
      <c r="H1218" s="2"/>
    </row>
    <row r="1219" spans="1:8" ht="12.5">
      <c r="A1219" s="2"/>
      <c r="B1219" s="37"/>
      <c r="C1219" s="37"/>
      <c r="D1219" s="2"/>
      <c r="E1219" s="2"/>
      <c r="F1219" s="39"/>
      <c r="G1219" s="2"/>
      <c r="H1219" s="2"/>
    </row>
    <row r="1220" spans="1:8" ht="12.5">
      <c r="A1220" s="2"/>
      <c r="B1220" s="37"/>
      <c r="C1220" s="37"/>
      <c r="D1220" s="2"/>
      <c r="E1220" s="2"/>
      <c r="F1220" s="39"/>
      <c r="G1220" s="2"/>
      <c r="H1220" s="2"/>
    </row>
    <row r="1221" spans="1:8" ht="12.5">
      <c r="A1221" s="2"/>
      <c r="B1221" s="37"/>
      <c r="C1221" s="37"/>
      <c r="D1221" s="2"/>
      <c r="E1221" s="2"/>
      <c r="F1221" s="39"/>
      <c r="G1221" s="2"/>
      <c r="H1221" s="2"/>
    </row>
    <row r="1222" spans="1:8" ht="12.5">
      <c r="A1222" s="2"/>
      <c r="B1222" s="37"/>
      <c r="C1222" s="37"/>
      <c r="D1222" s="2"/>
      <c r="E1222" s="2"/>
      <c r="F1222" s="39"/>
      <c r="G1222" s="2"/>
      <c r="H1222" s="2"/>
    </row>
    <row r="1223" spans="1:8" ht="12.5">
      <c r="A1223" s="2"/>
      <c r="B1223" s="37"/>
      <c r="C1223" s="37"/>
      <c r="D1223" s="2"/>
      <c r="E1223" s="2"/>
      <c r="F1223" s="39"/>
      <c r="G1223" s="2"/>
      <c r="H1223" s="2"/>
    </row>
    <row r="1224" spans="1:8" ht="12.5">
      <c r="A1224" s="2"/>
      <c r="B1224" s="37"/>
      <c r="C1224" s="37"/>
      <c r="D1224" s="2"/>
      <c r="E1224" s="2"/>
      <c r="F1224" s="39"/>
      <c r="G1224" s="2"/>
      <c r="H1224" s="2"/>
    </row>
    <row r="1225" spans="1:8" ht="12.5">
      <c r="A1225" s="2"/>
      <c r="B1225" s="37"/>
      <c r="C1225" s="37"/>
      <c r="D1225" s="2"/>
      <c r="E1225" s="2"/>
      <c r="F1225" s="39"/>
      <c r="G1225" s="2"/>
      <c r="H1225" s="2"/>
    </row>
    <row r="1226" spans="1:8" ht="12.5">
      <c r="A1226" s="2"/>
      <c r="B1226" s="37"/>
      <c r="C1226" s="37"/>
      <c r="D1226" s="2"/>
      <c r="E1226" s="2"/>
      <c r="F1226" s="39"/>
      <c r="G1226" s="2"/>
      <c r="H1226" s="2"/>
    </row>
    <row r="1227" spans="1:8" ht="12.5">
      <c r="A1227" s="2"/>
      <c r="B1227" s="37"/>
      <c r="C1227" s="37"/>
      <c r="D1227" s="2"/>
      <c r="E1227" s="2"/>
      <c r="F1227" s="39"/>
      <c r="G1227" s="2"/>
      <c r="H1227" s="2"/>
    </row>
    <row r="1228" spans="1:8" ht="12.5">
      <c r="A1228" s="2"/>
      <c r="B1228" s="37"/>
      <c r="C1228" s="37"/>
      <c r="D1228" s="2"/>
      <c r="E1228" s="2"/>
      <c r="F1228" s="39"/>
      <c r="G1228" s="2"/>
      <c r="H1228" s="2"/>
    </row>
    <row r="1229" spans="1:8" ht="12.5">
      <c r="A1229" s="2"/>
      <c r="B1229" s="37"/>
      <c r="C1229" s="37"/>
      <c r="D1229" s="2"/>
      <c r="E1229" s="2"/>
      <c r="F1229" s="39"/>
      <c r="G1229" s="2"/>
      <c r="H1229" s="2"/>
    </row>
    <row r="1230" spans="1:8" ht="12.5">
      <c r="A1230" s="2"/>
      <c r="B1230" s="37"/>
      <c r="C1230" s="37"/>
      <c r="D1230" s="2"/>
      <c r="E1230" s="2"/>
      <c r="F1230" s="39"/>
      <c r="G1230" s="2"/>
      <c r="H1230" s="2"/>
    </row>
    <row r="1231" spans="1:8" ht="12.5">
      <c r="A1231" s="2"/>
      <c r="B1231" s="37"/>
      <c r="C1231" s="37"/>
      <c r="D1231" s="2"/>
      <c r="E1231" s="2"/>
      <c r="F1231" s="39"/>
      <c r="G1231" s="2"/>
      <c r="H1231" s="2"/>
    </row>
    <row r="1232" spans="1:8" ht="12.5">
      <c r="A1232" s="2"/>
      <c r="B1232" s="37"/>
      <c r="C1232" s="37"/>
      <c r="D1232" s="2"/>
      <c r="E1232" s="2"/>
      <c r="F1232" s="39"/>
      <c r="G1232" s="2"/>
      <c r="H1232" s="2"/>
    </row>
    <row r="1233" spans="1:8" ht="12.5">
      <c r="A1233" s="2"/>
      <c r="B1233" s="37"/>
      <c r="C1233" s="37"/>
      <c r="D1233" s="2"/>
      <c r="E1233" s="2"/>
      <c r="F1233" s="39"/>
      <c r="G1233" s="2"/>
      <c r="H1233" s="2"/>
    </row>
    <row r="1234" spans="1:8" ht="12.5">
      <c r="A1234" s="2"/>
      <c r="B1234" s="37"/>
      <c r="C1234" s="37"/>
      <c r="D1234" s="2"/>
      <c r="E1234" s="2"/>
      <c r="F1234" s="39"/>
      <c r="G1234" s="2"/>
      <c r="H1234" s="2"/>
    </row>
    <row r="1235" spans="1:8" ht="12.5">
      <c r="A1235" s="2"/>
      <c r="B1235" s="37"/>
      <c r="C1235" s="37"/>
      <c r="D1235" s="2"/>
      <c r="E1235" s="2"/>
      <c r="F1235" s="39"/>
      <c r="G1235" s="2"/>
      <c r="H1235" s="2"/>
    </row>
    <row r="1236" spans="1:8" ht="12.5">
      <c r="A1236" s="2"/>
      <c r="B1236" s="37"/>
      <c r="C1236" s="37"/>
      <c r="D1236" s="2"/>
      <c r="E1236" s="2"/>
      <c r="F1236" s="39"/>
      <c r="G1236" s="2"/>
      <c r="H1236" s="2"/>
    </row>
    <row r="1237" spans="1:8" ht="12.5">
      <c r="A1237" s="2"/>
      <c r="B1237" s="37"/>
      <c r="C1237" s="37"/>
      <c r="D1237" s="2"/>
      <c r="E1237" s="2"/>
      <c r="F1237" s="39"/>
      <c r="G1237" s="2"/>
      <c r="H1237" s="2"/>
    </row>
    <row r="1238" spans="1:8" ht="12.5">
      <c r="A1238" s="2"/>
      <c r="B1238" s="37"/>
      <c r="C1238" s="37"/>
      <c r="D1238" s="2"/>
      <c r="E1238" s="2"/>
      <c r="F1238" s="39"/>
      <c r="G1238" s="2"/>
      <c r="H1238" s="2"/>
    </row>
    <row r="1239" spans="1:8" ht="12.5">
      <c r="A1239" s="2"/>
      <c r="B1239" s="37"/>
      <c r="C1239" s="37"/>
      <c r="D1239" s="2"/>
      <c r="E1239" s="2"/>
      <c r="F1239" s="39"/>
      <c r="G1239" s="2"/>
      <c r="H1239" s="2"/>
    </row>
    <row r="1240" spans="1:8" ht="12.5">
      <c r="A1240" s="2"/>
      <c r="B1240" s="37"/>
      <c r="C1240" s="37"/>
      <c r="D1240" s="2"/>
      <c r="E1240" s="2"/>
      <c r="F1240" s="39"/>
      <c r="G1240" s="2"/>
      <c r="H1240" s="2"/>
    </row>
    <row r="1241" spans="1:8" ht="12.5">
      <c r="A1241" s="2"/>
      <c r="B1241" s="37"/>
      <c r="C1241" s="37"/>
      <c r="D1241" s="2"/>
      <c r="E1241" s="2"/>
      <c r="F1241" s="39"/>
      <c r="G1241" s="2"/>
      <c r="H1241" s="2"/>
    </row>
    <row r="1242" spans="1:8" ht="12.5">
      <c r="A1242" s="2"/>
      <c r="B1242" s="37"/>
      <c r="C1242" s="37"/>
      <c r="D1242" s="2"/>
      <c r="E1242" s="2"/>
      <c r="F1242" s="39"/>
      <c r="G1242" s="2"/>
      <c r="H1242" s="2"/>
    </row>
    <row r="1243" spans="1:8" ht="12.5">
      <c r="A1243" s="2"/>
      <c r="B1243" s="37"/>
      <c r="C1243" s="37"/>
      <c r="D1243" s="2"/>
      <c r="E1243" s="2"/>
      <c r="F1243" s="39"/>
      <c r="G1243" s="2"/>
      <c r="H1243" s="2"/>
    </row>
    <row r="1244" spans="1:8" ht="12.5">
      <c r="A1244" s="2"/>
      <c r="B1244" s="37"/>
      <c r="C1244" s="37"/>
      <c r="D1244" s="2"/>
      <c r="E1244" s="2"/>
      <c r="F1244" s="39"/>
      <c r="G1244" s="2"/>
      <c r="H1244" s="2"/>
    </row>
    <row r="1245" spans="1:8" ht="12.5">
      <c r="A1245" s="2"/>
      <c r="B1245" s="37"/>
      <c r="C1245" s="37"/>
      <c r="D1245" s="2"/>
      <c r="E1245" s="2"/>
      <c r="F1245" s="39"/>
      <c r="G1245" s="2"/>
      <c r="H1245" s="2"/>
    </row>
    <row r="1246" spans="1:8" ht="12.5">
      <c r="A1246" s="2"/>
      <c r="B1246" s="37"/>
      <c r="C1246" s="37"/>
      <c r="D1246" s="2"/>
      <c r="E1246" s="2"/>
      <c r="F1246" s="39"/>
      <c r="G1246" s="2"/>
      <c r="H1246" s="2"/>
    </row>
    <row r="1247" spans="1:8" ht="12.5">
      <c r="A1247" s="2"/>
      <c r="B1247" s="37"/>
      <c r="C1247" s="37"/>
      <c r="D1247" s="2"/>
      <c r="E1247" s="2"/>
      <c r="F1247" s="39"/>
      <c r="G1247" s="2"/>
      <c r="H1247" s="2"/>
    </row>
    <row r="1248" spans="1:8" ht="12.5">
      <c r="A1248" s="2"/>
      <c r="B1248" s="37"/>
      <c r="C1248" s="37"/>
      <c r="D1248" s="2"/>
      <c r="E1248" s="2"/>
      <c r="F1248" s="39"/>
      <c r="G1248" s="2"/>
      <c r="H1248" s="2"/>
    </row>
    <row r="1249" spans="1:8" ht="12.5">
      <c r="A1249" s="2"/>
      <c r="B1249" s="37"/>
      <c r="C1249" s="37"/>
      <c r="D1249" s="2"/>
      <c r="E1249" s="2"/>
      <c r="F1249" s="39"/>
      <c r="G1249" s="2"/>
      <c r="H1249" s="2"/>
    </row>
    <row r="1250" spans="1:8" ht="12.5">
      <c r="A1250" s="2"/>
      <c r="B1250" s="37"/>
      <c r="C1250" s="37"/>
      <c r="D1250" s="2"/>
      <c r="E1250" s="2"/>
      <c r="F1250" s="39"/>
      <c r="G1250" s="2"/>
      <c r="H1250" s="2"/>
    </row>
    <row r="1251" spans="1:8" ht="12.5">
      <c r="A1251" s="2"/>
      <c r="B1251" s="37"/>
      <c r="C1251" s="37"/>
      <c r="D1251" s="2"/>
      <c r="E1251" s="2"/>
      <c r="F1251" s="39"/>
      <c r="G1251" s="2"/>
      <c r="H1251" s="2"/>
    </row>
    <row r="1252" spans="1:8" ht="12.5">
      <c r="A1252" s="2"/>
      <c r="B1252" s="37"/>
      <c r="C1252" s="37"/>
      <c r="D1252" s="2"/>
      <c r="E1252" s="2"/>
      <c r="F1252" s="39"/>
      <c r="G1252" s="2"/>
      <c r="H1252" s="2"/>
    </row>
    <row r="1253" spans="1:8" ht="12.5">
      <c r="A1253" s="2"/>
      <c r="B1253" s="37"/>
      <c r="C1253" s="37"/>
      <c r="D1253" s="2"/>
      <c r="E1253" s="2"/>
      <c r="F1253" s="39"/>
      <c r="G1253" s="2"/>
      <c r="H1253" s="2"/>
    </row>
    <row r="1254" spans="1:8" ht="12.5">
      <c r="A1254" s="2"/>
      <c r="B1254" s="37"/>
      <c r="C1254" s="37"/>
      <c r="D1254" s="2"/>
      <c r="E1254" s="2"/>
      <c r="F1254" s="39"/>
      <c r="G1254" s="2"/>
      <c r="H1254" s="2"/>
    </row>
    <row r="1255" spans="1:8" ht="12.5">
      <c r="A1255" s="2"/>
      <c r="B1255" s="37"/>
      <c r="C1255" s="37"/>
      <c r="D1255" s="2"/>
      <c r="E1255" s="2"/>
      <c r="F1255" s="39"/>
      <c r="G1255" s="2"/>
      <c r="H1255" s="2"/>
    </row>
    <row r="1256" spans="1:8" ht="12.5">
      <c r="A1256" s="2"/>
      <c r="B1256" s="37"/>
      <c r="C1256" s="37"/>
      <c r="D1256" s="2"/>
      <c r="E1256" s="2"/>
      <c r="F1256" s="39"/>
      <c r="G1256" s="2"/>
      <c r="H1256" s="2"/>
    </row>
    <row r="1257" spans="1:8" ht="12.5">
      <c r="A1257" s="2"/>
      <c r="B1257" s="37"/>
      <c r="C1257" s="37"/>
      <c r="D1257" s="2"/>
      <c r="E1257" s="2"/>
      <c r="F1257" s="39"/>
      <c r="G1257" s="2"/>
      <c r="H1257" s="2"/>
    </row>
    <row r="1258" spans="1:8" ht="12.5">
      <c r="A1258" s="2"/>
      <c r="B1258" s="37"/>
      <c r="C1258" s="37"/>
      <c r="D1258" s="2"/>
      <c r="E1258" s="2"/>
      <c r="F1258" s="39"/>
      <c r="G1258" s="2"/>
      <c r="H1258" s="2"/>
    </row>
    <row r="1259" spans="1:8" ht="12.5">
      <c r="A1259" s="2"/>
      <c r="B1259" s="37"/>
      <c r="C1259" s="37"/>
      <c r="D1259" s="2"/>
      <c r="E1259" s="2"/>
      <c r="F1259" s="39"/>
      <c r="G1259" s="2"/>
      <c r="H1259" s="2"/>
    </row>
    <row r="1260" spans="1:8" ht="12.5">
      <c r="A1260" s="2"/>
      <c r="B1260" s="37"/>
      <c r="C1260" s="37"/>
      <c r="D1260" s="2"/>
      <c r="E1260" s="2"/>
      <c r="F1260" s="39"/>
      <c r="G1260" s="2"/>
      <c r="H1260" s="2"/>
    </row>
    <row r="1261" spans="1:8" ht="12.5">
      <c r="A1261" s="2"/>
      <c r="B1261" s="37"/>
      <c r="C1261" s="37"/>
      <c r="D1261" s="2"/>
      <c r="E1261" s="2"/>
      <c r="F1261" s="39"/>
      <c r="G1261" s="2"/>
      <c r="H1261" s="2"/>
    </row>
    <row r="1262" spans="1:8" ht="12.5">
      <c r="A1262" s="2"/>
      <c r="B1262" s="37"/>
      <c r="C1262" s="37"/>
      <c r="D1262" s="2"/>
      <c r="E1262" s="2"/>
      <c r="F1262" s="39"/>
      <c r="G1262" s="2"/>
      <c r="H1262" s="2"/>
    </row>
    <row r="1263" spans="1:8" ht="12.5">
      <c r="A1263" s="2"/>
      <c r="B1263" s="37"/>
      <c r="C1263" s="37"/>
      <c r="D1263" s="2"/>
      <c r="E1263" s="2"/>
      <c r="F1263" s="39"/>
      <c r="G1263" s="2"/>
      <c r="H1263" s="2"/>
    </row>
    <row r="1264" spans="1:8" ht="12.5">
      <c r="A1264" s="2"/>
      <c r="B1264" s="37"/>
      <c r="C1264" s="37"/>
      <c r="D1264" s="2"/>
      <c r="E1264" s="2"/>
      <c r="F1264" s="39"/>
      <c r="G1264" s="2"/>
      <c r="H1264" s="2"/>
    </row>
    <row r="1265" spans="1:8" ht="12.5">
      <c r="A1265" s="2"/>
      <c r="B1265" s="37"/>
      <c r="C1265" s="37"/>
      <c r="D1265" s="2"/>
      <c r="E1265" s="2"/>
      <c r="F1265" s="39"/>
      <c r="G1265" s="2"/>
      <c r="H1265" s="2"/>
    </row>
    <row r="1266" spans="1:8" ht="12.5">
      <c r="A1266" s="2"/>
      <c r="B1266" s="37"/>
      <c r="C1266" s="37"/>
      <c r="D1266" s="2"/>
      <c r="E1266" s="2"/>
      <c r="F1266" s="39"/>
      <c r="G1266" s="2"/>
      <c r="H1266" s="2"/>
    </row>
    <row r="1267" spans="1:8" ht="12.5">
      <c r="A1267" s="2"/>
      <c r="B1267" s="37"/>
      <c r="C1267" s="37"/>
      <c r="D1267" s="2"/>
      <c r="E1267" s="2"/>
      <c r="F1267" s="39"/>
      <c r="G1267" s="2"/>
      <c r="H1267" s="2"/>
    </row>
    <row r="1268" spans="1:8" ht="12.5">
      <c r="A1268" s="2"/>
      <c r="B1268" s="37"/>
      <c r="C1268" s="37"/>
      <c r="D1268" s="2"/>
      <c r="E1268" s="2"/>
      <c r="F1268" s="39"/>
      <c r="G1268" s="2"/>
      <c r="H1268" s="2"/>
    </row>
    <row r="1269" spans="1:8" ht="12.5">
      <c r="A1269" s="2"/>
      <c r="B1269" s="37"/>
      <c r="C1269" s="37"/>
      <c r="D1269" s="2"/>
      <c r="E1269" s="2"/>
      <c r="F1269" s="39"/>
      <c r="G1269" s="2"/>
      <c r="H1269" s="2"/>
    </row>
    <row r="1270" spans="1:8" ht="12.5">
      <c r="A1270" s="2"/>
      <c r="B1270" s="37"/>
      <c r="C1270" s="37"/>
      <c r="D1270" s="2"/>
      <c r="E1270" s="2"/>
      <c r="F1270" s="39"/>
      <c r="G1270" s="2"/>
      <c r="H1270" s="2"/>
    </row>
    <row r="1271" spans="1:8" ht="12.5">
      <c r="A1271" s="2"/>
      <c r="B1271" s="37"/>
      <c r="C1271" s="37"/>
      <c r="D1271" s="2"/>
      <c r="E1271" s="2"/>
      <c r="F1271" s="39"/>
      <c r="G1271" s="2"/>
      <c r="H1271" s="2"/>
    </row>
    <row r="1272" spans="1:8" ht="12.5">
      <c r="A1272" s="2"/>
      <c r="B1272" s="37"/>
      <c r="C1272" s="37"/>
      <c r="D1272" s="2"/>
      <c r="E1272" s="2"/>
      <c r="F1272" s="39"/>
      <c r="G1272" s="2"/>
      <c r="H1272" s="2"/>
    </row>
    <row r="1273" spans="1:8" ht="12.5">
      <c r="A1273" s="2"/>
      <c r="B1273" s="37"/>
      <c r="C1273" s="37"/>
      <c r="D1273" s="2"/>
      <c r="E1273" s="2"/>
      <c r="F1273" s="39"/>
      <c r="G1273" s="2"/>
      <c r="H1273" s="2"/>
    </row>
    <row r="1274" spans="1:8" ht="12.5">
      <c r="A1274" s="2"/>
      <c r="B1274" s="37"/>
      <c r="C1274" s="37"/>
      <c r="D1274" s="2"/>
      <c r="E1274" s="2"/>
      <c r="F1274" s="39"/>
      <c r="G1274" s="2"/>
      <c r="H1274" s="2"/>
    </row>
    <row r="1275" spans="1:8" ht="12.5">
      <c r="A1275" s="2"/>
      <c r="B1275" s="37"/>
      <c r="C1275" s="37"/>
      <c r="D1275" s="2"/>
      <c r="E1275" s="2"/>
      <c r="F1275" s="39"/>
      <c r="G1275" s="2"/>
      <c r="H1275" s="2"/>
    </row>
    <row r="1276" spans="1:8" ht="12.5">
      <c r="A1276" s="2"/>
      <c r="B1276" s="37"/>
      <c r="C1276" s="37"/>
      <c r="D1276" s="2"/>
      <c r="E1276" s="2"/>
      <c r="F1276" s="39"/>
      <c r="G1276" s="2"/>
      <c r="H1276" s="2"/>
    </row>
    <row r="1277" spans="1:8" ht="12.5">
      <c r="A1277" s="2"/>
      <c r="B1277" s="37"/>
      <c r="C1277" s="37"/>
      <c r="D1277" s="2"/>
      <c r="E1277" s="2"/>
      <c r="F1277" s="39"/>
      <c r="G1277" s="2"/>
      <c r="H1277" s="2"/>
    </row>
    <row r="1278" spans="1:8" ht="12.5">
      <c r="A1278" s="2"/>
      <c r="B1278" s="37"/>
      <c r="C1278" s="37"/>
      <c r="D1278" s="2"/>
      <c r="E1278" s="2"/>
      <c r="F1278" s="39"/>
      <c r="G1278" s="2"/>
      <c r="H1278" s="2"/>
    </row>
    <row r="1279" spans="1:8" ht="12.5">
      <c r="A1279" s="2"/>
      <c r="B1279" s="37"/>
      <c r="C1279" s="37"/>
      <c r="D1279" s="2"/>
      <c r="E1279" s="2"/>
      <c r="F1279" s="39"/>
      <c r="G1279" s="2"/>
      <c r="H1279" s="2"/>
    </row>
    <row r="1280" spans="1:8" ht="12.5">
      <c r="A1280" s="2"/>
      <c r="B1280" s="37"/>
      <c r="C1280" s="37"/>
      <c r="D1280" s="2"/>
      <c r="E1280" s="2"/>
      <c r="F1280" s="39"/>
      <c r="G1280" s="2"/>
      <c r="H1280" s="2"/>
    </row>
    <row r="1281" spans="1:8" ht="12.5">
      <c r="A1281" s="2"/>
      <c r="B1281" s="37"/>
      <c r="C1281" s="37"/>
      <c r="D1281" s="2"/>
      <c r="E1281" s="2"/>
      <c r="F1281" s="39"/>
      <c r="G1281" s="2"/>
      <c r="H1281" s="2"/>
    </row>
    <row r="1282" spans="1:8" ht="12.5">
      <c r="A1282" s="2"/>
      <c r="B1282" s="37"/>
      <c r="C1282" s="37"/>
      <c r="D1282" s="2"/>
      <c r="E1282" s="2"/>
      <c r="F1282" s="39"/>
      <c r="G1282" s="2"/>
      <c r="H1282" s="2"/>
    </row>
    <row r="1283" spans="1:8" ht="12.5">
      <c r="A1283" s="2"/>
      <c r="B1283" s="37"/>
      <c r="C1283" s="37"/>
      <c r="D1283" s="2"/>
      <c r="E1283" s="2"/>
      <c r="F1283" s="39"/>
      <c r="G1283" s="2"/>
      <c r="H1283" s="2"/>
    </row>
    <row r="1284" spans="1:8" ht="12.5">
      <c r="A1284" s="2"/>
      <c r="B1284" s="37"/>
      <c r="C1284" s="37"/>
      <c r="D1284" s="2"/>
      <c r="E1284" s="2"/>
      <c r="F1284" s="39"/>
      <c r="G1284" s="2"/>
      <c r="H1284" s="2"/>
    </row>
    <row r="1285" spans="1:8" ht="12.5">
      <c r="A1285" s="2"/>
      <c r="B1285" s="37"/>
      <c r="C1285" s="37"/>
      <c r="D1285" s="2"/>
      <c r="E1285" s="2"/>
      <c r="F1285" s="39"/>
      <c r="G1285" s="2"/>
      <c r="H1285" s="2"/>
    </row>
    <row r="1286" spans="1:8" ht="12.5">
      <c r="A1286" s="2"/>
      <c r="B1286" s="37"/>
      <c r="C1286" s="37"/>
      <c r="D1286" s="2"/>
      <c r="E1286" s="2"/>
      <c r="F1286" s="39"/>
      <c r="G1286" s="2"/>
      <c r="H1286" s="2"/>
    </row>
    <row r="1287" spans="1:8" ht="12.5">
      <c r="A1287" s="2"/>
      <c r="B1287" s="37"/>
      <c r="C1287" s="37"/>
      <c r="D1287" s="2"/>
      <c r="E1287" s="2"/>
      <c r="F1287" s="39"/>
      <c r="G1287" s="2"/>
      <c r="H1287" s="2"/>
    </row>
    <row r="1288" spans="1:8" ht="12.5">
      <c r="A1288" s="2"/>
      <c r="B1288" s="37"/>
      <c r="C1288" s="37"/>
      <c r="D1288" s="2"/>
      <c r="E1288" s="2"/>
      <c r="F1288" s="39"/>
      <c r="G1288" s="2"/>
      <c r="H1288" s="2"/>
    </row>
    <row r="1289" spans="1:8" ht="12.5">
      <c r="A1289" s="2"/>
      <c r="B1289" s="37"/>
      <c r="C1289" s="37"/>
      <c r="D1289" s="2"/>
      <c r="E1289" s="2"/>
      <c r="F1289" s="39"/>
      <c r="G1289" s="2"/>
      <c r="H1289" s="2"/>
    </row>
    <row r="1290" spans="1:8" ht="12.5">
      <c r="A1290" s="2"/>
      <c r="B1290" s="37"/>
      <c r="C1290" s="37"/>
      <c r="D1290" s="2"/>
      <c r="E1290" s="2"/>
      <c r="F1290" s="39"/>
      <c r="G1290" s="2"/>
      <c r="H1290" s="2"/>
    </row>
    <row r="1291" spans="1:8" ht="12.5">
      <c r="A1291" s="2"/>
      <c r="B1291" s="37"/>
      <c r="C1291" s="37"/>
      <c r="D1291" s="2"/>
      <c r="E1291" s="2"/>
      <c r="F1291" s="39"/>
      <c r="G1291" s="2"/>
      <c r="H1291" s="2"/>
    </row>
    <row r="1292" spans="1:8" ht="12.5">
      <c r="A1292" s="2"/>
      <c r="B1292" s="37"/>
      <c r="C1292" s="37"/>
      <c r="D1292" s="2"/>
      <c r="E1292" s="2"/>
      <c r="F1292" s="39"/>
      <c r="G1292" s="2"/>
      <c r="H1292" s="2"/>
    </row>
    <row r="1293" spans="1:8" ht="12.5">
      <c r="A1293" s="2"/>
      <c r="B1293" s="37"/>
      <c r="C1293" s="37"/>
      <c r="D1293" s="2"/>
      <c r="E1293" s="2"/>
      <c r="F1293" s="39"/>
      <c r="G1293" s="2"/>
      <c r="H1293" s="2"/>
    </row>
    <row r="1294" spans="1:8" ht="12.5">
      <c r="A1294" s="2"/>
      <c r="B1294" s="37"/>
      <c r="C1294" s="37"/>
      <c r="D1294" s="2"/>
      <c r="E1294" s="2"/>
      <c r="F1294" s="39"/>
      <c r="G1294" s="2"/>
      <c r="H1294" s="2"/>
    </row>
    <row r="1295" spans="1:8" ht="12.5">
      <c r="A1295" s="2"/>
      <c r="B1295" s="37"/>
      <c r="C1295" s="37"/>
      <c r="D1295" s="2"/>
      <c r="E1295" s="2"/>
      <c r="F1295" s="39"/>
      <c r="G1295" s="2"/>
      <c r="H1295" s="2"/>
    </row>
    <row r="1296" spans="1:8" ht="12.5">
      <c r="A1296" s="2"/>
      <c r="B1296" s="37"/>
      <c r="C1296" s="37"/>
      <c r="D1296" s="2"/>
      <c r="E1296" s="2"/>
      <c r="F1296" s="39"/>
      <c r="G1296" s="2"/>
      <c r="H1296" s="2"/>
    </row>
    <row r="1297" spans="1:8" ht="12.5">
      <c r="A1297" s="2"/>
      <c r="B1297" s="37"/>
      <c r="C1297" s="37"/>
      <c r="D1297" s="2"/>
      <c r="E1297" s="2"/>
      <c r="F1297" s="39"/>
      <c r="G1297" s="2"/>
      <c r="H1297" s="2"/>
    </row>
    <row r="1298" spans="1:8" ht="12.5">
      <c r="A1298" s="2"/>
      <c r="B1298" s="37"/>
      <c r="C1298" s="37"/>
      <c r="D1298" s="2"/>
      <c r="E1298" s="2"/>
      <c r="F1298" s="39"/>
      <c r="G1298" s="2"/>
      <c r="H1298" s="2"/>
    </row>
    <row r="1299" spans="1:8" ht="12.5">
      <c r="A1299" s="2"/>
      <c r="B1299" s="37"/>
      <c r="C1299" s="37"/>
      <c r="D1299" s="2"/>
      <c r="E1299" s="2"/>
      <c r="F1299" s="39"/>
      <c r="G1299" s="2"/>
      <c r="H1299" s="2"/>
    </row>
    <row r="1300" spans="1:8" ht="12.5">
      <c r="A1300" s="2"/>
      <c r="B1300" s="37"/>
      <c r="C1300" s="37"/>
      <c r="D1300" s="2"/>
      <c r="E1300" s="2"/>
      <c r="F1300" s="39"/>
      <c r="G1300" s="2"/>
      <c r="H1300" s="2"/>
    </row>
    <row r="1301" spans="1:8" ht="12.5">
      <c r="A1301" s="2"/>
      <c r="B1301" s="37"/>
      <c r="C1301" s="37"/>
      <c r="D1301" s="2"/>
      <c r="E1301" s="2"/>
      <c r="F1301" s="39"/>
      <c r="G1301" s="2"/>
      <c r="H1301" s="2"/>
    </row>
    <row r="1302" spans="1:8" ht="12.5">
      <c r="A1302" s="2"/>
      <c r="B1302" s="37"/>
      <c r="C1302" s="37"/>
      <c r="D1302" s="2"/>
      <c r="E1302" s="2"/>
      <c r="F1302" s="39"/>
      <c r="G1302" s="2"/>
      <c r="H1302" s="2"/>
    </row>
    <row r="1303" spans="1:8" ht="12.5">
      <c r="A1303" s="2"/>
      <c r="B1303" s="37"/>
      <c r="C1303" s="37"/>
      <c r="D1303" s="2"/>
      <c r="E1303" s="2"/>
      <c r="F1303" s="39"/>
      <c r="G1303" s="2"/>
      <c r="H1303" s="2"/>
    </row>
    <row r="1304" spans="1:8" ht="12.5">
      <c r="A1304" s="2"/>
      <c r="B1304" s="37"/>
      <c r="C1304" s="37"/>
      <c r="D1304" s="2"/>
      <c r="E1304" s="2"/>
      <c r="F1304" s="39"/>
      <c r="G1304" s="2"/>
      <c r="H1304" s="2"/>
    </row>
    <row r="1305" spans="1:8" ht="12.5">
      <c r="A1305" s="2"/>
      <c r="B1305" s="37"/>
      <c r="C1305" s="37"/>
      <c r="D1305" s="2"/>
      <c r="E1305" s="2"/>
      <c r="F1305" s="39"/>
      <c r="G1305" s="2"/>
      <c r="H1305" s="2"/>
    </row>
    <row r="1306" spans="1:8" ht="12.5">
      <c r="A1306" s="2"/>
      <c r="B1306" s="37"/>
      <c r="C1306" s="37"/>
      <c r="D1306" s="2"/>
      <c r="E1306" s="2"/>
      <c r="F1306" s="39"/>
      <c r="G1306" s="2"/>
      <c r="H1306" s="2"/>
    </row>
    <row r="1307" spans="1:8" ht="12.5">
      <c r="A1307" s="2"/>
      <c r="B1307" s="37"/>
      <c r="C1307" s="37"/>
      <c r="D1307" s="2"/>
      <c r="E1307" s="2"/>
      <c r="F1307" s="39"/>
      <c r="G1307" s="2"/>
      <c r="H1307" s="2"/>
    </row>
    <row r="1308" spans="1:8" ht="12.5">
      <c r="A1308" s="2"/>
      <c r="B1308" s="37"/>
      <c r="C1308" s="37"/>
      <c r="D1308" s="2"/>
      <c r="E1308" s="2"/>
      <c r="F1308" s="39"/>
      <c r="G1308" s="2"/>
      <c r="H1308" s="2"/>
    </row>
    <row r="1309" spans="1:8" ht="12.5">
      <c r="A1309" s="2"/>
      <c r="B1309" s="37"/>
      <c r="C1309" s="37"/>
      <c r="D1309" s="2"/>
      <c r="E1309" s="2"/>
      <c r="F1309" s="39"/>
      <c r="G1309" s="2"/>
      <c r="H1309" s="2"/>
    </row>
    <row r="1310" spans="1:8" ht="12.5">
      <c r="A1310" s="2"/>
      <c r="B1310" s="37"/>
      <c r="C1310" s="37"/>
      <c r="D1310" s="2"/>
      <c r="E1310" s="2"/>
      <c r="F1310" s="39"/>
      <c r="G1310" s="2"/>
      <c r="H1310" s="2"/>
    </row>
    <row r="1311" spans="1:8" ht="12.5">
      <c r="A1311" s="2"/>
      <c r="B1311" s="37"/>
      <c r="C1311" s="37"/>
      <c r="D1311" s="2"/>
      <c r="E1311" s="2"/>
      <c r="F1311" s="39"/>
      <c r="G1311" s="2"/>
      <c r="H1311" s="2"/>
    </row>
    <row r="1312" spans="1:8" ht="12.5">
      <c r="A1312" s="2"/>
      <c r="B1312" s="37"/>
      <c r="C1312" s="37"/>
      <c r="D1312" s="2"/>
      <c r="E1312" s="2"/>
      <c r="F1312" s="39"/>
      <c r="G1312" s="2"/>
      <c r="H1312" s="2"/>
    </row>
    <row r="1313" spans="1:8" ht="12.5">
      <c r="A1313" s="2"/>
      <c r="B1313" s="37"/>
      <c r="C1313" s="37"/>
      <c r="D1313" s="2"/>
      <c r="E1313" s="2"/>
      <c r="F1313" s="39"/>
      <c r="G1313" s="2"/>
      <c r="H1313" s="2"/>
    </row>
    <row r="1314" spans="1:8" ht="12.5">
      <c r="A1314" s="2"/>
      <c r="B1314" s="37"/>
      <c r="C1314" s="37"/>
      <c r="D1314" s="2"/>
      <c r="E1314" s="2"/>
      <c r="F1314" s="39"/>
      <c r="G1314" s="2"/>
      <c r="H1314" s="2"/>
    </row>
    <row r="1315" spans="1:8" ht="12.5">
      <c r="A1315" s="2"/>
      <c r="B1315" s="37"/>
      <c r="C1315" s="37"/>
      <c r="D1315" s="2"/>
      <c r="E1315" s="2"/>
      <c r="F1315" s="39"/>
      <c r="G1315" s="2"/>
      <c r="H1315" s="2"/>
    </row>
    <row r="1316" spans="1:8" ht="12.5">
      <c r="A1316" s="2"/>
      <c r="B1316" s="37"/>
      <c r="C1316" s="37"/>
      <c r="D1316" s="2"/>
      <c r="E1316" s="2"/>
      <c r="F1316" s="39"/>
      <c r="G1316" s="2"/>
      <c r="H1316" s="2"/>
    </row>
    <row r="1317" spans="1:8" ht="12.5">
      <c r="A1317" s="2"/>
      <c r="B1317" s="37"/>
      <c r="C1317" s="37"/>
      <c r="D1317" s="2"/>
      <c r="E1317" s="2"/>
      <c r="F1317" s="39"/>
      <c r="G1317" s="2"/>
      <c r="H1317" s="2"/>
    </row>
    <row r="1318" spans="1:8" ht="12.5">
      <c r="A1318" s="2"/>
      <c r="B1318" s="37"/>
      <c r="C1318" s="37"/>
      <c r="D1318" s="2"/>
      <c r="E1318" s="2"/>
      <c r="F1318" s="39"/>
      <c r="G1318" s="2"/>
      <c r="H1318" s="2"/>
    </row>
    <row r="1319" spans="1:8" ht="12.5">
      <c r="A1319" s="2"/>
      <c r="B1319" s="37"/>
      <c r="C1319" s="37"/>
      <c r="D1319" s="2"/>
      <c r="E1319" s="2"/>
      <c r="F1319" s="39"/>
      <c r="G1319" s="2"/>
      <c r="H1319" s="2"/>
    </row>
    <row r="1320" spans="1:8" ht="12.5">
      <c r="A1320" s="2"/>
      <c r="B1320" s="37"/>
      <c r="C1320" s="37"/>
      <c r="D1320" s="2"/>
      <c r="E1320" s="2"/>
      <c r="F1320" s="39"/>
      <c r="G1320" s="2"/>
      <c r="H1320" s="2"/>
    </row>
    <row r="1321" spans="1:8" ht="12.5">
      <c r="A1321" s="2"/>
      <c r="B1321" s="37"/>
      <c r="C1321" s="37"/>
      <c r="D1321" s="2"/>
      <c r="E1321" s="2"/>
      <c r="F1321" s="39"/>
      <c r="G1321" s="2"/>
      <c r="H1321" s="2"/>
    </row>
    <row r="1322" spans="1:8" ht="12.5">
      <c r="A1322" s="2"/>
      <c r="B1322" s="37"/>
      <c r="C1322" s="37"/>
      <c r="D1322" s="2"/>
      <c r="E1322" s="2"/>
      <c r="F1322" s="39"/>
      <c r="G1322" s="2"/>
      <c r="H1322" s="2"/>
    </row>
    <row r="1323" spans="1:8" ht="12.5">
      <c r="A1323" s="2"/>
      <c r="B1323" s="37"/>
      <c r="C1323" s="37"/>
      <c r="D1323" s="2"/>
      <c r="E1323" s="2"/>
      <c r="F1323" s="39"/>
      <c r="G1323" s="2"/>
      <c r="H1323" s="2"/>
    </row>
    <row r="1324" spans="1:8" ht="12.5">
      <c r="A1324" s="2"/>
      <c r="B1324" s="37"/>
      <c r="C1324" s="37"/>
      <c r="D1324" s="2"/>
      <c r="E1324" s="2"/>
      <c r="F1324" s="39"/>
      <c r="G1324" s="2"/>
      <c r="H1324" s="2"/>
    </row>
    <row r="1325" spans="1:8" ht="12.5">
      <c r="A1325" s="2"/>
      <c r="B1325" s="37"/>
      <c r="C1325" s="37"/>
      <c r="D1325" s="2"/>
      <c r="E1325" s="2"/>
      <c r="F1325" s="39"/>
      <c r="G1325" s="2"/>
      <c r="H1325" s="2"/>
    </row>
    <row r="1326" spans="1:8" ht="12.5">
      <c r="A1326" s="2"/>
      <c r="B1326" s="37"/>
      <c r="C1326" s="37"/>
      <c r="D1326" s="2"/>
      <c r="E1326" s="2"/>
      <c r="F1326" s="39"/>
      <c r="G1326" s="2"/>
      <c r="H1326" s="2"/>
    </row>
    <row r="1327" spans="1:8" ht="12.5">
      <c r="A1327" s="2"/>
      <c r="B1327" s="37"/>
      <c r="C1327" s="37"/>
      <c r="D1327" s="2"/>
      <c r="E1327" s="2"/>
      <c r="F1327" s="39"/>
      <c r="G1327" s="2"/>
      <c r="H1327" s="2"/>
    </row>
    <row r="1328" spans="1:8" ht="12.5">
      <c r="A1328" s="2"/>
      <c r="B1328" s="37"/>
      <c r="C1328" s="37"/>
      <c r="D1328" s="2"/>
      <c r="E1328" s="2"/>
      <c r="F1328" s="39"/>
      <c r="G1328" s="2"/>
      <c r="H1328" s="2"/>
    </row>
    <row r="1329" spans="1:8" ht="12.5">
      <c r="A1329" s="2"/>
      <c r="B1329" s="37"/>
      <c r="C1329" s="37"/>
      <c r="D1329" s="2"/>
      <c r="E1329" s="2"/>
      <c r="F1329" s="39"/>
      <c r="G1329" s="2"/>
      <c r="H1329" s="2"/>
    </row>
    <row r="1330" spans="1:8" ht="12.5">
      <c r="A1330" s="2"/>
      <c r="B1330" s="37"/>
      <c r="C1330" s="37"/>
      <c r="D1330" s="2"/>
      <c r="E1330" s="2"/>
      <c r="F1330" s="39"/>
      <c r="G1330" s="2"/>
      <c r="H1330" s="2"/>
    </row>
    <row r="1331" spans="1:8" ht="12.5">
      <c r="A1331" s="2"/>
      <c r="B1331" s="37"/>
      <c r="C1331" s="37"/>
      <c r="D1331" s="2"/>
      <c r="E1331" s="2"/>
      <c r="F1331" s="39"/>
      <c r="G1331" s="2"/>
      <c r="H1331" s="2"/>
    </row>
    <row r="1332" spans="1:8" ht="12.5">
      <c r="A1332" s="2"/>
      <c r="B1332" s="37"/>
      <c r="C1332" s="37"/>
      <c r="D1332" s="2"/>
      <c r="E1332" s="2"/>
      <c r="F1332" s="39"/>
      <c r="G1332" s="2"/>
      <c r="H1332" s="2"/>
    </row>
    <row r="1333" spans="1:8" ht="12.5">
      <c r="A1333" s="2"/>
      <c r="B1333" s="37"/>
      <c r="C1333" s="37"/>
      <c r="D1333" s="2"/>
      <c r="E1333" s="2"/>
      <c r="F1333" s="39"/>
      <c r="G1333" s="2"/>
      <c r="H1333" s="2"/>
    </row>
    <row r="1334" spans="1:8" ht="12.5">
      <c r="A1334" s="2"/>
      <c r="B1334" s="37"/>
      <c r="C1334" s="37"/>
      <c r="D1334" s="2"/>
      <c r="E1334" s="2"/>
      <c r="F1334" s="39"/>
      <c r="G1334" s="2"/>
      <c r="H1334" s="2"/>
    </row>
    <row r="1335" spans="1:8" ht="12.5">
      <c r="A1335" s="2"/>
      <c r="B1335" s="37"/>
      <c r="C1335" s="37"/>
      <c r="D1335" s="2"/>
      <c r="E1335" s="2"/>
      <c r="F1335" s="39"/>
      <c r="G1335" s="2"/>
      <c r="H1335" s="2"/>
    </row>
    <row r="1336" spans="1:8" ht="12.5">
      <c r="A1336" s="2"/>
      <c r="B1336" s="37"/>
      <c r="C1336" s="37"/>
      <c r="D1336" s="2"/>
      <c r="E1336" s="2"/>
      <c r="F1336" s="39"/>
      <c r="G1336" s="2"/>
      <c r="H1336" s="2"/>
    </row>
    <row r="1337" spans="1:8" ht="12.5">
      <c r="A1337" s="2"/>
      <c r="B1337" s="37"/>
      <c r="C1337" s="37"/>
      <c r="D1337" s="2"/>
      <c r="E1337" s="2"/>
      <c r="F1337" s="39"/>
      <c r="G1337" s="2"/>
      <c r="H1337" s="2"/>
    </row>
    <row r="1338" spans="1:8" ht="12.5">
      <c r="A1338" s="2"/>
      <c r="B1338" s="37"/>
      <c r="C1338" s="37"/>
      <c r="D1338" s="2"/>
      <c r="E1338" s="2"/>
      <c r="F1338" s="39"/>
      <c r="G1338" s="2"/>
      <c r="H1338" s="2"/>
    </row>
    <row r="1339" spans="1:8" ht="12.5">
      <c r="A1339" s="2"/>
      <c r="B1339" s="37"/>
      <c r="C1339" s="37"/>
      <c r="D1339" s="2"/>
      <c r="E1339" s="2"/>
      <c r="F1339" s="39"/>
      <c r="G1339" s="2"/>
      <c r="H1339" s="2"/>
    </row>
    <row r="1340" spans="1:8" ht="12.5">
      <c r="A1340" s="2"/>
      <c r="B1340" s="37"/>
      <c r="C1340" s="37"/>
      <c r="D1340" s="2"/>
      <c r="E1340" s="2"/>
      <c r="F1340" s="39"/>
      <c r="G1340" s="2"/>
      <c r="H1340" s="2"/>
    </row>
    <row r="1341" spans="1:8" ht="12.5">
      <c r="A1341" s="2"/>
      <c r="B1341" s="37"/>
      <c r="C1341" s="37"/>
      <c r="D1341" s="2"/>
      <c r="E1341" s="2"/>
      <c r="F1341" s="39"/>
      <c r="G1341" s="2"/>
      <c r="H1341" s="2"/>
    </row>
    <row r="1342" spans="1:8" ht="12.5">
      <c r="A1342" s="2"/>
      <c r="B1342" s="37"/>
      <c r="C1342" s="37"/>
      <c r="D1342" s="2"/>
      <c r="E1342" s="2"/>
      <c r="F1342" s="39"/>
      <c r="G1342" s="2"/>
      <c r="H1342" s="2"/>
    </row>
    <row r="1343" spans="1:8" ht="12.5">
      <c r="A1343" s="2"/>
      <c r="B1343" s="37"/>
      <c r="C1343" s="37"/>
      <c r="D1343" s="2"/>
      <c r="E1343" s="2"/>
      <c r="F1343" s="39"/>
      <c r="G1343" s="2"/>
      <c r="H1343" s="2"/>
    </row>
    <row r="1344" spans="1:8" ht="12.5">
      <c r="A1344" s="2"/>
      <c r="B1344" s="37"/>
      <c r="C1344" s="37"/>
      <c r="D1344" s="2"/>
      <c r="E1344" s="2"/>
      <c r="F1344" s="39"/>
      <c r="G1344" s="2"/>
      <c r="H1344" s="2"/>
    </row>
    <row r="1345" spans="1:8" ht="12.5">
      <c r="A1345" s="2"/>
      <c r="B1345" s="37"/>
      <c r="C1345" s="37"/>
      <c r="D1345" s="2"/>
      <c r="E1345" s="2"/>
      <c r="F1345" s="39"/>
      <c r="G1345" s="2"/>
      <c r="H1345" s="2"/>
    </row>
    <row r="1346" spans="1:8" ht="12.5">
      <c r="A1346" s="2"/>
      <c r="B1346" s="37"/>
      <c r="C1346" s="37"/>
      <c r="D1346" s="2"/>
      <c r="E1346" s="2"/>
      <c r="F1346" s="39"/>
      <c r="G1346" s="2"/>
      <c r="H1346" s="2"/>
    </row>
    <row r="1347" spans="1:8" ht="12.5">
      <c r="A1347" s="2"/>
      <c r="B1347" s="37"/>
      <c r="C1347" s="37"/>
      <c r="D1347" s="2"/>
      <c r="E1347" s="2"/>
      <c r="F1347" s="39"/>
      <c r="G1347" s="2"/>
      <c r="H1347" s="2"/>
    </row>
    <row r="1348" spans="1:8" ht="12.5">
      <c r="A1348" s="2"/>
      <c r="B1348" s="37"/>
      <c r="C1348" s="37"/>
      <c r="D1348" s="2"/>
      <c r="E1348" s="2"/>
      <c r="F1348" s="39"/>
      <c r="G1348" s="2"/>
      <c r="H1348" s="2"/>
    </row>
    <row r="1349" spans="1:8" ht="12.5">
      <c r="A1349" s="2"/>
      <c r="B1349" s="37"/>
      <c r="C1349" s="37"/>
      <c r="D1349" s="2"/>
      <c r="E1349" s="2"/>
      <c r="F1349" s="39"/>
      <c r="G1349" s="2"/>
      <c r="H1349" s="2"/>
    </row>
    <row r="1350" spans="1:8" ht="12.5">
      <c r="A1350" s="2"/>
      <c r="B1350" s="37"/>
      <c r="C1350" s="37"/>
      <c r="D1350" s="2"/>
      <c r="E1350" s="2"/>
      <c r="F1350" s="39"/>
      <c r="G1350" s="2"/>
      <c r="H1350" s="2"/>
    </row>
    <row r="1351" spans="1:8" ht="12.5">
      <c r="A1351" s="2"/>
      <c r="B1351" s="37"/>
      <c r="C1351" s="37"/>
      <c r="D1351" s="2"/>
      <c r="E1351" s="2"/>
      <c r="F1351" s="39"/>
      <c r="G1351" s="2"/>
      <c r="H1351" s="2"/>
    </row>
    <row r="1352" spans="1:8" ht="12.5">
      <c r="A1352" s="2"/>
      <c r="B1352" s="37"/>
      <c r="C1352" s="37"/>
      <c r="D1352" s="2"/>
      <c r="E1352" s="2"/>
      <c r="F1352" s="39"/>
      <c r="G1352" s="2"/>
      <c r="H1352" s="2"/>
    </row>
    <row r="1353" spans="1:8" ht="12.5">
      <c r="A1353" s="2"/>
      <c r="B1353" s="37"/>
      <c r="C1353" s="37"/>
      <c r="D1353" s="2"/>
      <c r="E1353" s="2"/>
      <c r="F1353" s="39"/>
      <c r="G1353" s="2"/>
      <c r="H1353" s="2"/>
    </row>
    <row r="1354" spans="1:8" ht="12.5">
      <c r="A1354" s="2"/>
      <c r="B1354" s="37"/>
      <c r="C1354" s="37"/>
      <c r="D1354" s="2"/>
      <c r="E1354" s="2"/>
      <c r="F1354" s="39"/>
      <c r="G1354" s="2"/>
      <c r="H1354" s="2"/>
    </row>
    <row r="1355" spans="1:8" ht="12.5">
      <c r="A1355" s="2"/>
      <c r="B1355" s="37"/>
      <c r="C1355" s="37"/>
      <c r="D1355" s="2"/>
      <c r="E1355" s="2"/>
      <c r="F1355" s="39"/>
      <c r="G1355" s="2"/>
      <c r="H1355" s="2"/>
    </row>
    <row r="1356" spans="1:8" ht="12.5">
      <c r="A1356" s="2"/>
      <c r="B1356" s="37"/>
      <c r="C1356" s="37"/>
      <c r="D1356" s="2"/>
      <c r="E1356" s="2"/>
      <c r="F1356" s="39"/>
      <c r="G1356" s="2"/>
      <c r="H1356" s="2"/>
    </row>
    <row r="1357" spans="1:8" ht="12.5">
      <c r="A1357" s="2"/>
      <c r="B1357" s="37"/>
      <c r="C1357" s="37"/>
      <c r="D1357" s="2"/>
      <c r="E1357" s="2"/>
      <c r="F1357" s="39"/>
      <c r="G1357" s="2"/>
      <c r="H1357" s="2"/>
    </row>
    <row r="1358" spans="1:8" ht="12.5">
      <c r="A1358" s="2"/>
      <c r="B1358" s="37"/>
      <c r="C1358" s="37"/>
      <c r="D1358" s="2"/>
      <c r="E1358" s="2"/>
      <c r="F1358" s="39"/>
      <c r="G1358" s="2"/>
      <c r="H1358" s="2"/>
    </row>
    <row r="1359" spans="1:8" ht="12.5">
      <c r="A1359" s="2"/>
      <c r="B1359" s="37"/>
      <c r="C1359" s="37"/>
      <c r="D1359" s="2"/>
      <c r="E1359" s="2"/>
      <c r="F1359" s="39"/>
      <c r="G1359" s="2"/>
      <c r="H1359" s="2"/>
    </row>
    <row r="1360" spans="1:8" ht="12.5">
      <c r="A1360" s="2"/>
      <c r="B1360" s="37"/>
      <c r="C1360" s="37"/>
      <c r="D1360" s="2"/>
      <c r="E1360" s="2"/>
      <c r="F1360" s="39"/>
      <c r="G1360" s="2"/>
      <c r="H1360" s="2"/>
    </row>
    <row r="1361" spans="1:8" ht="12.5">
      <c r="A1361" s="2"/>
      <c r="B1361" s="37"/>
      <c r="C1361" s="37"/>
      <c r="D1361" s="2"/>
      <c r="E1361" s="2"/>
      <c r="F1361" s="39"/>
      <c r="G1361" s="2"/>
      <c r="H1361" s="2"/>
    </row>
    <row r="1362" spans="1:8" ht="12.5">
      <c r="A1362" s="2"/>
      <c r="B1362" s="37"/>
      <c r="C1362" s="37"/>
      <c r="D1362" s="2"/>
      <c r="E1362" s="2"/>
      <c r="F1362" s="39"/>
      <c r="G1362" s="2"/>
      <c r="H1362" s="2"/>
    </row>
    <row r="1363" spans="1:8" ht="12.5">
      <c r="A1363" s="2"/>
      <c r="B1363" s="37"/>
      <c r="C1363" s="37"/>
      <c r="D1363" s="2"/>
      <c r="E1363" s="2"/>
      <c r="F1363" s="39"/>
      <c r="G1363" s="2"/>
      <c r="H1363" s="2"/>
    </row>
    <row r="1364" spans="1:8" ht="12.5">
      <c r="A1364" s="2"/>
      <c r="B1364" s="37"/>
      <c r="C1364" s="37"/>
      <c r="D1364" s="2"/>
      <c r="E1364" s="2"/>
      <c r="F1364" s="39"/>
      <c r="G1364" s="2"/>
      <c r="H1364" s="2"/>
    </row>
    <row r="1365" spans="1:8" ht="12.5">
      <c r="A1365" s="2"/>
      <c r="B1365" s="37"/>
      <c r="C1365" s="37"/>
      <c r="D1365" s="2"/>
      <c r="E1365" s="2"/>
      <c r="F1365" s="39"/>
      <c r="G1365" s="2"/>
      <c r="H1365" s="2"/>
    </row>
    <row r="1366" spans="1:8" ht="12.5">
      <c r="A1366" s="2"/>
      <c r="B1366" s="37"/>
      <c r="C1366" s="37"/>
      <c r="D1366" s="2"/>
      <c r="E1366" s="2"/>
      <c r="F1366" s="39"/>
      <c r="G1366" s="2"/>
      <c r="H1366" s="2"/>
    </row>
    <row r="1367" spans="1:8" ht="12.5">
      <c r="A1367" s="2"/>
      <c r="B1367" s="37"/>
      <c r="C1367" s="37"/>
      <c r="D1367" s="2"/>
      <c r="E1367" s="2"/>
      <c r="F1367" s="39"/>
      <c r="G1367" s="2"/>
      <c r="H1367" s="2"/>
    </row>
    <row r="1368" spans="1:8" ht="12.5">
      <c r="A1368" s="2"/>
      <c r="B1368" s="37"/>
      <c r="C1368" s="37"/>
      <c r="D1368" s="2"/>
      <c r="E1368" s="2"/>
      <c r="F1368" s="39"/>
      <c r="G1368" s="2"/>
      <c r="H1368" s="2"/>
    </row>
    <row r="1369" spans="1:8" ht="12.5">
      <c r="A1369" s="2"/>
      <c r="B1369" s="37"/>
      <c r="C1369" s="37"/>
      <c r="D1369" s="2"/>
      <c r="E1369" s="2"/>
      <c r="F1369" s="39"/>
      <c r="G1369" s="2"/>
      <c r="H1369" s="2"/>
    </row>
    <row r="1370" spans="1:8" ht="12.5">
      <c r="A1370" s="2"/>
      <c r="B1370" s="37"/>
      <c r="C1370" s="37"/>
      <c r="D1370" s="2"/>
      <c r="E1370" s="2"/>
      <c r="F1370" s="39"/>
      <c r="G1370" s="2"/>
      <c r="H1370" s="2"/>
    </row>
    <row r="1371" spans="1:8" ht="12.5">
      <c r="A1371" s="2"/>
      <c r="B1371" s="37"/>
      <c r="C1371" s="37"/>
      <c r="D1371" s="2"/>
      <c r="E1371" s="2"/>
      <c r="F1371" s="39"/>
      <c r="G1371" s="2"/>
      <c r="H1371" s="2"/>
    </row>
    <row r="1372" spans="1:8" ht="12.5">
      <c r="A1372" s="2"/>
      <c r="B1372" s="37"/>
      <c r="C1372" s="37"/>
      <c r="D1372" s="2"/>
      <c r="E1372" s="2"/>
      <c r="F1372" s="39"/>
      <c r="G1372" s="2"/>
      <c r="H1372" s="2"/>
    </row>
    <row r="1373" spans="1:8" ht="12.5">
      <c r="A1373" s="2"/>
      <c r="B1373" s="37"/>
      <c r="C1373" s="37"/>
      <c r="D1373" s="2"/>
      <c r="E1373" s="2"/>
      <c r="F1373" s="39"/>
      <c r="G1373" s="2"/>
      <c r="H1373" s="2"/>
    </row>
    <row r="1374" spans="1:8" ht="12.5">
      <c r="A1374" s="2"/>
      <c r="B1374" s="37"/>
      <c r="C1374" s="37"/>
      <c r="D1374" s="2"/>
      <c r="E1374" s="2"/>
      <c r="F1374" s="39"/>
      <c r="G1374" s="2"/>
      <c r="H1374" s="2"/>
    </row>
    <row r="1375" spans="1:8" ht="12.5">
      <c r="A1375" s="2"/>
      <c r="B1375" s="37"/>
      <c r="C1375" s="37"/>
      <c r="D1375" s="2"/>
      <c r="E1375" s="2"/>
      <c r="F1375" s="39"/>
      <c r="G1375" s="2"/>
      <c r="H1375" s="2"/>
    </row>
    <row r="1376" spans="1:8" ht="12.5">
      <c r="A1376" s="2"/>
      <c r="B1376" s="37"/>
      <c r="C1376" s="37"/>
      <c r="D1376" s="2"/>
      <c r="E1376" s="2"/>
      <c r="F1376" s="39"/>
      <c r="G1376" s="2"/>
      <c r="H1376" s="2"/>
    </row>
    <row r="1377" spans="1:8" ht="12.5">
      <c r="A1377" s="2"/>
      <c r="B1377" s="37"/>
      <c r="C1377" s="37"/>
      <c r="D1377" s="2"/>
      <c r="E1377" s="2"/>
      <c r="F1377" s="39"/>
      <c r="G1377" s="2"/>
      <c r="H1377" s="2"/>
    </row>
    <row r="1378" spans="1:8" ht="12.5">
      <c r="A1378" s="2"/>
      <c r="B1378" s="37"/>
      <c r="C1378" s="37"/>
      <c r="D1378" s="2"/>
      <c r="E1378" s="2"/>
      <c r="F1378" s="39"/>
      <c r="G1378" s="2"/>
      <c r="H1378" s="2"/>
    </row>
    <row r="1379" spans="1:8" ht="12.5">
      <c r="A1379" s="2"/>
      <c r="B1379" s="37"/>
      <c r="C1379" s="37"/>
      <c r="D1379" s="2"/>
      <c r="E1379" s="2"/>
      <c r="F1379" s="39"/>
      <c r="G1379" s="2"/>
      <c r="H1379" s="2"/>
    </row>
    <row r="1380" spans="1:8" ht="12.5">
      <c r="A1380" s="2"/>
      <c r="B1380" s="37"/>
      <c r="C1380" s="37"/>
      <c r="D1380" s="2"/>
      <c r="E1380" s="2"/>
      <c r="F1380" s="39"/>
      <c r="G1380" s="2"/>
      <c r="H1380" s="2"/>
    </row>
    <row r="1381" spans="1:8" ht="12.5">
      <c r="A1381" s="2"/>
      <c r="B1381" s="37"/>
      <c r="C1381" s="37"/>
      <c r="D1381" s="2"/>
      <c r="E1381" s="2"/>
      <c r="F1381" s="39"/>
      <c r="G1381" s="2"/>
      <c r="H1381" s="2"/>
    </row>
    <row r="1382" spans="1:8" ht="12.5">
      <c r="A1382" s="2"/>
      <c r="B1382" s="37"/>
      <c r="C1382" s="37"/>
      <c r="D1382" s="2"/>
      <c r="E1382" s="2"/>
      <c r="F1382" s="39"/>
      <c r="G1382" s="2"/>
      <c r="H1382" s="2"/>
    </row>
    <row r="1383" spans="1:8" ht="12.5">
      <c r="A1383" s="2"/>
      <c r="B1383" s="37"/>
      <c r="C1383" s="37"/>
      <c r="D1383" s="2"/>
      <c r="E1383" s="2"/>
      <c r="F1383" s="39"/>
      <c r="G1383" s="2"/>
      <c r="H1383" s="2"/>
    </row>
    <row r="1384" spans="1:8" ht="12.5">
      <c r="A1384" s="2"/>
      <c r="B1384" s="37"/>
      <c r="C1384" s="37"/>
      <c r="D1384" s="2"/>
      <c r="E1384" s="2"/>
      <c r="F1384" s="39"/>
      <c r="G1384" s="2"/>
      <c r="H1384" s="2"/>
    </row>
    <row r="1385" spans="1:8" ht="12.5">
      <c r="A1385" s="2"/>
      <c r="B1385" s="37"/>
      <c r="C1385" s="37"/>
      <c r="D1385" s="2"/>
      <c r="E1385" s="2"/>
      <c r="F1385" s="39"/>
      <c r="G1385" s="2"/>
      <c r="H1385" s="2"/>
    </row>
    <row r="1386" spans="1:8" ht="12.5">
      <c r="A1386" s="2"/>
      <c r="B1386" s="37"/>
      <c r="C1386" s="37"/>
      <c r="D1386" s="2"/>
      <c r="E1386" s="2"/>
      <c r="F1386" s="39"/>
      <c r="G1386" s="2"/>
      <c r="H1386" s="2"/>
    </row>
    <row r="1387" spans="1:8" ht="12.5">
      <c r="A1387" s="2"/>
      <c r="B1387" s="37"/>
      <c r="C1387" s="37"/>
      <c r="D1387" s="2"/>
      <c r="E1387" s="2"/>
      <c r="F1387" s="39"/>
      <c r="G1387" s="2"/>
      <c r="H1387" s="2"/>
    </row>
    <row r="1388" spans="1:8" ht="12.5">
      <c r="A1388" s="2"/>
      <c r="B1388" s="37"/>
      <c r="C1388" s="37"/>
      <c r="D1388" s="2"/>
      <c r="E1388" s="2"/>
      <c r="F1388" s="39"/>
      <c r="G1388" s="2"/>
      <c r="H1388" s="2"/>
    </row>
    <row r="1389" spans="1:8" ht="12.5">
      <c r="A1389" s="2"/>
      <c r="B1389" s="37"/>
      <c r="C1389" s="37"/>
      <c r="D1389" s="2"/>
      <c r="E1389" s="2"/>
      <c r="F1389" s="39"/>
      <c r="G1389" s="2"/>
      <c r="H1389" s="2"/>
    </row>
    <row r="1390" spans="1:8" ht="12.5">
      <c r="A1390" s="2"/>
      <c r="B1390" s="37"/>
      <c r="C1390" s="37"/>
      <c r="D1390" s="2"/>
      <c r="E1390" s="2"/>
      <c r="F1390" s="39"/>
      <c r="G1390" s="2"/>
      <c r="H1390" s="2"/>
    </row>
    <row r="1391" spans="1:8" ht="12.5">
      <c r="A1391" s="2"/>
      <c r="B1391" s="37"/>
      <c r="C1391" s="37"/>
      <c r="D1391" s="2"/>
      <c r="E1391" s="2"/>
      <c r="F1391" s="39"/>
      <c r="G1391" s="2"/>
      <c r="H1391" s="2"/>
    </row>
    <row r="1392" spans="1:8" ht="12.5">
      <c r="A1392" s="2"/>
      <c r="B1392" s="37"/>
      <c r="C1392" s="37"/>
      <c r="D1392" s="2"/>
      <c r="E1392" s="2"/>
      <c r="F1392" s="39"/>
      <c r="G1392" s="2"/>
      <c r="H1392" s="2"/>
    </row>
    <row r="1393" spans="1:8" ht="12.5">
      <c r="A1393" s="2"/>
      <c r="B1393" s="37"/>
      <c r="C1393" s="37"/>
      <c r="D1393" s="2"/>
      <c r="E1393" s="2"/>
      <c r="F1393" s="39"/>
      <c r="G1393" s="2"/>
      <c r="H1393" s="2"/>
    </row>
    <row r="1394" spans="1:8" ht="12.5">
      <c r="A1394" s="2"/>
      <c r="B1394" s="37"/>
      <c r="C1394" s="37"/>
      <c r="D1394" s="2"/>
      <c r="E1394" s="2"/>
      <c r="F1394" s="39"/>
      <c r="G1394" s="2"/>
      <c r="H1394" s="2"/>
    </row>
    <row r="1395" spans="1:8" ht="12.5">
      <c r="A1395" s="2"/>
      <c r="B1395" s="37"/>
      <c r="C1395" s="37"/>
      <c r="D1395" s="2"/>
      <c r="E1395" s="2"/>
      <c r="F1395" s="39"/>
      <c r="G1395" s="2"/>
      <c r="H1395" s="2"/>
    </row>
    <row r="1396" spans="1:8" ht="12.5">
      <c r="A1396" s="2"/>
      <c r="B1396" s="37"/>
      <c r="C1396" s="37"/>
      <c r="D1396" s="2"/>
      <c r="E1396" s="2"/>
      <c r="F1396" s="39"/>
      <c r="G1396" s="2"/>
      <c r="H1396" s="2"/>
    </row>
    <row r="1397" spans="1:8" ht="12.5">
      <c r="A1397" s="2"/>
      <c r="B1397" s="37"/>
      <c r="C1397" s="37"/>
      <c r="D1397" s="2"/>
      <c r="E1397" s="2"/>
      <c r="F1397" s="39"/>
      <c r="G1397" s="2"/>
      <c r="H1397" s="2"/>
    </row>
    <row r="1398" spans="1:8" ht="12.5">
      <c r="A1398" s="2"/>
      <c r="B1398" s="37"/>
      <c r="C1398" s="37"/>
      <c r="D1398" s="2"/>
      <c r="E1398" s="2"/>
      <c r="F1398" s="39"/>
      <c r="G1398" s="2"/>
      <c r="H1398" s="2"/>
    </row>
    <row r="1399" spans="1:8" ht="12.5">
      <c r="A1399" s="2"/>
      <c r="B1399" s="37"/>
      <c r="C1399" s="37"/>
      <c r="D1399" s="2"/>
      <c r="E1399" s="2"/>
      <c r="F1399" s="39"/>
      <c r="G1399" s="2"/>
      <c r="H1399" s="2"/>
    </row>
    <row r="1400" spans="1:8" ht="12.5">
      <c r="A1400" s="2"/>
      <c r="B1400" s="37"/>
      <c r="C1400" s="37"/>
      <c r="D1400" s="2"/>
      <c r="E1400" s="2"/>
      <c r="F1400" s="39"/>
      <c r="G1400" s="2"/>
      <c r="H1400" s="2"/>
    </row>
    <row r="1401" spans="1:8" ht="12.5">
      <c r="A1401" s="2"/>
      <c r="B1401" s="37"/>
      <c r="C1401" s="37"/>
      <c r="D1401" s="2"/>
      <c r="E1401" s="2"/>
      <c r="F1401" s="39"/>
      <c r="G1401" s="2"/>
      <c r="H1401" s="2"/>
    </row>
    <row r="1402" spans="1:8" ht="12.5">
      <c r="A1402" s="2"/>
      <c r="B1402" s="37"/>
      <c r="C1402" s="37"/>
      <c r="D1402" s="2"/>
      <c r="E1402" s="2"/>
      <c r="F1402" s="39"/>
      <c r="G1402" s="2"/>
      <c r="H1402" s="2"/>
    </row>
    <row r="1403" spans="1:8" ht="12.5">
      <c r="A1403" s="2"/>
      <c r="B1403" s="37"/>
      <c r="C1403" s="37"/>
      <c r="D1403" s="2"/>
      <c r="E1403" s="2"/>
      <c r="F1403" s="39"/>
      <c r="G1403" s="2"/>
      <c r="H1403" s="2"/>
    </row>
    <row r="1404" spans="1:8" ht="12.5">
      <c r="A1404" s="2"/>
      <c r="B1404" s="37"/>
      <c r="C1404" s="37"/>
      <c r="D1404" s="2"/>
      <c r="E1404" s="2"/>
      <c r="F1404" s="39"/>
      <c r="G1404" s="2"/>
      <c r="H1404" s="2"/>
    </row>
    <row r="1405" spans="1:8" ht="12.5">
      <c r="A1405" s="2"/>
      <c r="B1405" s="37"/>
      <c r="C1405" s="37"/>
      <c r="D1405" s="2"/>
      <c r="E1405" s="2"/>
      <c r="F1405" s="39"/>
      <c r="G1405" s="2"/>
      <c r="H1405" s="2"/>
    </row>
    <row r="1406" spans="1:8" ht="12.5">
      <c r="A1406" s="2"/>
      <c r="B1406" s="37"/>
      <c r="C1406" s="37"/>
      <c r="D1406" s="2"/>
      <c r="E1406" s="2"/>
      <c r="F1406" s="39"/>
      <c r="G1406" s="2"/>
      <c r="H1406" s="2"/>
    </row>
    <row r="1407" spans="1:8" ht="12.5">
      <c r="A1407" s="2"/>
      <c r="B1407" s="37"/>
      <c r="C1407" s="37"/>
      <c r="D1407" s="2"/>
      <c r="E1407" s="2"/>
      <c r="F1407" s="39"/>
      <c r="G1407" s="2"/>
      <c r="H1407" s="2"/>
    </row>
    <row r="1408" spans="1:8" ht="12.5">
      <c r="A1408" s="2"/>
      <c r="B1408" s="37"/>
      <c r="C1408" s="37"/>
      <c r="D1408" s="2"/>
      <c r="E1408" s="2"/>
      <c r="F1408" s="39"/>
      <c r="G1408" s="2"/>
      <c r="H1408" s="2"/>
    </row>
    <row r="1409" spans="1:8" ht="12.5">
      <c r="A1409" s="2"/>
      <c r="B1409" s="37"/>
      <c r="C1409" s="37"/>
      <c r="D1409" s="2"/>
      <c r="E1409" s="2"/>
      <c r="F1409" s="39"/>
      <c r="G1409" s="2"/>
      <c r="H1409" s="2"/>
    </row>
    <row r="1410" spans="1:8" ht="12.5">
      <c r="A1410" s="2"/>
      <c r="B1410" s="37"/>
      <c r="C1410" s="37"/>
      <c r="D1410" s="2"/>
      <c r="E1410" s="2"/>
      <c r="F1410" s="39"/>
      <c r="G1410" s="2"/>
      <c r="H1410" s="2"/>
    </row>
    <row r="1411" spans="1:8" ht="12.5">
      <c r="A1411" s="2"/>
      <c r="B1411" s="37"/>
      <c r="C1411" s="37"/>
      <c r="D1411" s="2"/>
      <c r="E1411" s="2"/>
      <c r="F1411" s="39"/>
      <c r="G1411" s="2"/>
      <c r="H1411" s="2"/>
    </row>
    <row r="1412" spans="1:8" ht="12.5">
      <c r="A1412" s="2"/>
      <c r="B1412" s="37"/>
      <c r="C1412" s="37"/>
      <c r="D1412" s="2"/>
      <c r="E1412" s="2"/>
      <c r="F1412" s="39"/>
      <c r="G1412" s="2"/>
      <c r="H1412" s="2"/>
    </row>
    <row r="1413" spans="1:8" ht="12.5">
      <c r="A1413" s="2"/>
      <c r="B1413" s="37"/>
      <c r="C1413" s="37"/>
      <c r="D1413" s="2"/>
      <c r="E1413" s="2"/>
      <c r="F1413" s="39"/>
      <c r="G1413" s="2"/>
      <c r="H1413" s="2"/>
    </row>
    <row r="1414" spans="1:8" ht="12.5">
      <c r="A1414" s="2"/>
      <c r="B1414" s="37"/>
      <c r="C1414" s="37"/>
      <c r="D1414" s="2"/>
      <c r="E1414" s="2"/>
      <c r="F1414" s="39"/>
      <c r="G1414" s="2"/>
      <c r="H1414" s="2"/>
    </row>
    <row r="1415" spans="1:8" ht="12.5">
      <c r="A1415" s="2"/>
      <c r="B1415" s="37"/>
      <c r="C1415" s="37"/>
      <c r="D1415" s="2"/>
      <c r="E1415" s="2"/>
      <c r="F1415" s="39"/>
      <c r="G1415" s="2"/>
      <c r="H1415" s="2"/>
    </row>
    <row r="1416" spans="1:8" ht="12.5">
      <c r="A1416" s="2"/>
      <c r="B1416" s="37"/>
      <c r="C1416" s="37"/>
      <c r="D1416" s="2"/>
      <c r="E1416" s="2"/>
      <c r="F1416" s="39"/>
      <c r="G1416" s="2"/>
      <c r="H1416" s="2"/>
    </row>
    <row r="1417" spans="1:8" ht="12.5">
      <c r="A1417" s="2"/>
      <c r="B1417" s="37"/>
      <c r="C1417" s="37"/>
      <c r="D1417" s="2"/>
      <c r="E1417" s="2"/>
      <c r="F1417" s="39"/>
      <c r="G1417" s="2"/>
      <c r="H1417" s="2"/>
    </row>
    <row r="1418" spans="1:8" ht="12.5">
      <c r="A1418" s="2"/>
      <c r="B1418" s="37"/>
      <c r="C1418" s="37"/>
      <c r="D1418" s="2"/>
      <c r="E1418" s="2"/>
      <c r="F1418" s="39"/>
      <c r="G1418" s="2"/>
      <c r="H1418" s="2"/>
    </row>
    <row r="1419" spans="1:8" ht="12.5">
      <c r="A1419" s="2"/>
      <c r="B1419" s="37"/>
      <c r="C1419" s="37"/>
      <c r="D1419" s="2"/>
      <c r="E1419" s="2"/>
      <c r="F1419" s="39"/>
      <c r="G1419" s="2"/>
      <c r="H1419" s="2"/>
    </row>
    <row r="1420" spans="1:8" ht="12.5">
      <c r="A1420" s="2"/>
      <c r="B1420" s="37"/>
      <c r="C1420" s="37"/>
      <c r="D1420" s="2"/>
      <c r="E1420" s="2"/>
      <c r="F1420" s="39"/>
      <c r="G1420" s="2"/>
      <c r="H1420" s="2"/>
    </row>
    <row r="1421" spans="1:8" ht="12.5">
      <c r="A1421" s="2"/>
      <c r="B1421" s="37"/>
      <c r="C1421" s="37"/>
      <c r="D1421" s="2"/>
      <c r="E1421" s="2"/>
      <c r="F1421" s="39"/>
      <c r="G1421" s="2"/>
      <c r="H1421" s="2"/>
    </row>
    <row r="1422" spans="1:8" ht="12.5">
      <c r="A1422" s="2"/>
      <c r="B1422" s="37"/>
      <c r="C1422" s="37"/>
      <c r="D1422" s="2"/>
      <c r="E1422" s="2"/>
      <c r="F1422" s="39"/>
      <c r="G1422" s="2"/>
      <c r="H1422" s="2"/>
    </row>
    <row r="1423" spans="1:8" ht="12.5">
      <c r="A1423" s="2"/>
      <c r="B1423" s="37"/>
      <c r="C1423" s="37"/>
      <c r="D1423" s="2"/>
      <c r="E1423" s="2"/>
      <c r="F1423" s="39"/>
      <c r="G1423" s="2"/>
      <c r="H1423" s="2"/>
    </row>
    <row r="1424" spans="1:8" ht="12.5">
      <c r="A1424" s="2"/>
      <c r="B1424" s="37"/>
      <c r="C1424" s="37"/>
      <c r="D1424" s="2"/>
      <c r="E1424" s="2"/>
      <c r="F1424" s="39"/>
      <c r="G1424" s="2"/>
      <c r="H1424" s="2"/>
    </row>
    <row r="1425" spans="1:8" ht="12.5">
      <c r="A1425" s="2"/>
      <c r="B1425" s="37"/>
      <c r="C1425" s="37"/>
      <c r="D1425" s="2"/>
      <c r="E1425" s="2"/>
      <c r="F1425" s="39"/>
      <c r="G1425" s="2"/>
      <c r="H1425" s="2"/>
    </row>
    <row r="1426" spans="1:8" ht="12.5">
      <c r="A1426" s="2"/>
      <c r="B1426" s="37"/>
      <c r="C1426" s="37"/>
      <c r="D1426" s="2"/>
      <c r="E1426" s="2"/>
      <c r="F1426" s="39"/>
      <c r="G1426" s="2"/>
      <c r="H1426" s="2"/>
    </row>
    <row r="1427" spans="1:8" ht="12.5">
      <c r="A1427" s="2"/>
      <c r="B1427" s="37"/>
      <c r="C1427" s="37"/>
      <c r="D1427" s="2"/>
      <c r="E1427" s="2"/>
      <c r="F1427" s="39"/>
      <c r="G1427" s="2"/>
      <c r="H1427" s="2"/>
    </row>
    <row r="1428" spans="1:8" ht="12.5">
      <c r="A1428" s="2"/>
      <c r="B1428" s="37"/>
      <c r="C1428" s="37"/>
      <c r="D1428" s="2"/>
      <c r="E1428" s="2"/>
      <c r="F1428" s="39"/>
      <c r="G1428" s="2"/>
      <c r="H1428" s="2"/>
    </row>
    <row r="1429" spans="1:8" ht="12.5">
      <c r="A1429" s="2"/>
      <c r="B1429" s="37"/>
      <c r="C1429" s="37"/>
      <c r="D1429" s="2"/>
      <c r="E1429" s="2"/>
      <c r="F1429" s="39"/>
      <c r="G1429" s="2"/>
      <c r="H1429" s="2"/>
    </row>
    <row r="1430" spans="1:8" ht="12.5">
      <c r="A1430" s="2"/>
      <c r="B1430" s="37"/>
      <c r="C1430" s="37"/>
      <c r="D1430" s="2"/>
      <c r="E1430" s="2"/>
      <c r="F1430" s="39"/>
      <c r="G1430" s="2"/>
      <c r="H1430" s="2"/>
    </row>
    <row r="1431" spans="1:8" ht="12.5">
      <c r="A1431" s="2"/>
      <c r="B1431" s="37"/>
      <c r="C1431" s="37"/>
      <c r="D1431" s="2"/>
      <c r="E1431" s="2"/>
      <c r="F1431" s="39"/>
      <c r="G1431" s="2"/>
      <c r="H1431" s="2"/>
    </row>
    <row r="1432" spans="1:8" ht="12.5">
      <c r="A1432" s="2"/>
      <c r="B1432" s="37"/>
      <c r="C1432" s="37"/>
      <c r="D1432" s="2"/>
      <c r="E1432" s="2"/>
      <c r="F1432" s="39"/>
      <c r="G1432" s="2"/>
      <c r="H1432" s="2"/>
    </row>
    <row r="1433" spans="1:8" ht="12.5">
      <c r="A1433" s="2"/>
      <c r="B1433" s="37"/>
      <c r="C1433" s="37"/>
      <c r="D1433" s="2"/>
      <c r="E1433" s="2"/>
      <c r="F1433" s="39"/>
      <c r="G1433" s="2"/>
      <c r="H1433" s="2"/>
    </row>
    <row r="1434" spans="1:8" ht="12.5">
      <c r="A1434" s="2"/>
      <c r="B1434" s="37"/>
      <c r="C1434" s="37"/>
      <c r="D1434" s="2"/>
      <c r="E1434" s="2"/>
      <c r="F1434" s="39"/>
      <c r="G1434" s="2"/>
      <c r="H1434" s="2"/>
    </row>
    <row r="1435" spans="1:8" ht="12.5">
      <c r="A1435" s="2"/>
      <c r="B1435" s="37"/>
      <c r="C1435" s="37"/>
      <c r="D1435" s="2"/>
      <c r="E1435" s="2"/>
      <c r="F1435" s="39"/>
      <c r="G1435" s="2"/>
      <c r="H1435" s="2"/>
    </row>
    <row r="1436" spans="1:8" ht="12.5">
      <c r="A1436" s="2"/>
      <c r="B1436" s="37"/>
      <c r="C1436" s="37"/>
      <c r="D1436" s="2"/>
      <c r="E1436" s="2"/>
      <c r="F1436" s="39"/>
      <c r="G1436" s="2"/>
      <c r="H1436" s="2"/>
    </row>
    <row r="1437" spans="1:8" ht="12.5">
      <c r="A1437" s="2"/>
      <c r="B1437" s="37"/>
      <c r="C1437" s="37"/>
      <c r="D1437" s="2"/>
      <c r="E1437" s="2"/>
      <c r="F1437" s="39"/>
      <c r="G1437" s="2"/>
      <c r="H1437" s="2"/>
    </row>
    <row r="1438" spans="1:8" ht="12.5">
      <c r="B1438" s="40"/>
      <c r="C1438" s="40"/>
      <c r="E1438" s="2"/>
      <c r="F1438" s="41"/>
      <c r="G1438" s="2"/>
      <c r="H1438" s="2"/>
    </row>
    <row r="1439" spans="1:8" ht="12.5">
      <c r="B1439" s="40"/>
      <c r="C1439" s="40"/>
      <c r="E1439" s="2"/>
      <c r="F1439" s="41"/>
      <c r="G1439" s="2"/>
      <c r="H1439" s="2"/>
    </row>
  </sheetData>
  <autoFilter ref="A1:H1009" xr:uid="{00000000-0001-0000-03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445"/>
  <sheetViews>
    <sheetView workbookViewId="0">
      <pane ySplit="1" topLeftCell="A2" activePane="bottomLeft" state="frozen"/>
      <selection pane="bottomLeft" activeCell="B3" sqref="B3"/>
    </sheetView>
  </sheetViews>
  <sheetFormatPr defaultColWidth="12.6328125" defaultRowHeight="15.75" customHeight="1"/>
  <cols>
    <col min="1" max="1" width="19" customWidth="1"/>
    <col min="2" max="2" width="20.6328125" customWidth="1"/>
    <col min="3" max="3" width="15.08984375" customWidth="1"/>
    <col min="4" max="4" width="19.90625" customWidth="1"/>
    <col min="5" max="5" width="27" customWidth="1"/>
    <col min="6" max="6" width="26" customWidth="1"/>
    <col min="7" max="7" width="127.90625" customWidth="1"/>
  </cols>
  <sheetData>
    <row r="1" spans="1:7" ht="72.75" customHeight="1">
      <c r="A1" s="1" t="s">
        <v>1</v>
      </c>
      <c r="B1" s="1" t="s">
        <v>7471</v>
      </c>
      <c r="C1" s="1" t="s">
        <v>7472</v>
      </c>
      <c r="D1" s="1" t="s">
        <v>2</v>
      </c>
      <c r="E1" s="1" t="s">
        <v>7473</v>
      </c>
      <c r="F1" s="1" t="s">
        <v>7474</v>
      </c>
      <c r="G1" s="1"/>
    </row>
    <row r="2" spans="1:7" ht="12.5">
      <c r="A2" s="2" t="s">
        <v>17</v>
      </c>
      <c r="B2" s="33" t="s">
        <v>7475</v>
      </c>
      <c r="C2" s="3" t="s">
        <v>7476</v>
      </c>
      <c r="D2" s="2" t="s">
        <v>18</v>
      </c>
      <c r="E2" s="2"/>
      <c r="F2" s="2"/>
      <c r="G2" s="2"/>
    </row>
    <row r="3" spans="1:7" ht="12.5">
      <c r="A3" s="2"/>
      <c r="B3" s="33" t="s">
        <v>7475</v>
      </c>
      <c r="C3" s="3" t="s">
        <v>7476</v>
      </c>
      <c r="D3" s="2" t="s">
        <v>98</v>
      </c>
      <c r="E3" s="7" t="s">
        <v>7477</v>
      </c>
      <c r="F3" s="2" t="s">
        <v>7478</v>
      </c>
      <c r="G3" s="2"/>
    </row>
    <row r="4" spans="1:7" ht="25">
      <c r="A4" s="2"/>
      <c r="B4" s="33" t="s">
        <v>7475</v>
      </c>
      <c r="C4" s="3" t="s">
        <v>7476</v>
      </c>
      <c r="D4" s="2" t="s">
        <v>115</v>
      </c>
      <c r="E4" s="7" t="s">
        <v>7479</v>
      </c>
      <c r="F4" s="2" t="s">
        <v>7478</v>
      </c>
      <c r="G4" s="2"/>
    </row>
    <row r="5" spans="1:7" ht="12.5">
      <c r="A5" s="2"/>
      <c r="B5" s="33" t="s">
        <v>7475</v>
      </c>
      <c r="C5" s="3" t="s">
        <v>7476</v>
      </c>
      <c r="D5" s="2" t="s">
        <v>66</v>
      </c>
      <c r="E5" s="2"/>
      <c r="F5" s="2"/>
      <c r="G5" s="2"/>
    </row>
    <row r="6" spans="1:7" ht="12.5">
      <c r="A6" s="2"/>
      <c r="B6" s="33" t="s">
        <v>7475</v>
      </c>
      <c r="C6" s="3" t="s">
        <v>7476</v>
      </c>
      <c r="D6" s="2" t="s">
        <v>151</v>
      </c>
      <c r="E6" s="7" t="s">
        <v>7480</v>
      </c>
      <c r="F6" s="2" t="s">
        <v>7478</v>
      </c>
      <c r="G6" s="2"/>
    </row>
    <row r="7" spans="1:7" ht="12.5">
      <c r="A7" s="2"/>
      <c r="B7" s="33" t="s">
        <v>7475</v>
      </c>
      <c r="C7" s="3" t="s">
        <v>7476</v>
      </c>
      <c r="D7" s="2" t="s">
        <v>131</v>
      </c>
      <c r="E7" s="7" t="s">
        <v>7481</v>
      </c>
      <c r="F7" s="2" t="s">
        <v>7478</v>
      </c>
      <c r="G7" s="2"/>
    </row>
    <row r="8" spans="1:7" ht="25">
      <c r="A8" s="2" t="s">
        <v>584</v>
      </c>
      <c r="B8" s="33" t="s">
        <v>7482</v>
      </c>
      <c r="C8" s="2" t="s">
        <v>7478</v>
      </c>
      <c r="D8" s="2" t="s">
        <v>676</v>
      </c>
      <c r="E8" s="7" t="s">
        <v>7483</v>
      </c>
      <c r="F8" s="2" t="s">
        <v>7478</v>
      </c>
      <c r="G8" s="2"/>
    </row>
    <row r="9" spans="1:7" ht="25">
      <c r="A9" s="2"/>
      <c r="B9" s="33" t="s">
        <v>7482</v>
      </c>
      <c r="C9" s="2" t="s">
        <v>7478</v>
      </c>
      <c r="D9" s="2" t="s">
        <v>585</v>
      </c>
      <c r="E9" s="26" t="s">
        <v>7484</v>
      </c>
      <c r="F9" s="2" t="s">
        <v>7478</v>
      </c>
      <c r="G9" s="2"/>
    </row>
    <row r="10" spans="1:7" ht="25">
      <c r="A10" s="2"/>
      <c r="B10" s="33" t="s">
        <v>7482</v>
      </c>
      <c r="C10" s="2" t="s">
        <v>7478</v>
      </c>
      <c r="D10" s="2" t="s">
        <v>607</v>
      </c>
      <c r="E10" s="7" t="s">
        <v>7485</v>
      </c>
      <c r="F10" s="2" t="s">
        <v>7478</v>
      </c>
      <c r="G10" s="2"/>
    </row>
    <row r="11" spans="1:7" ht="25">
      <c r="A11" s="2"/>
      <c r="B11" s="33" t="s">
        <v>7482</v>
      </c>
      <c r="C11" s="2" t="s">
        <v>7478</v>
      </c>
      <c r="D11" s="2" t="s">
        <v>706</v>
      </c>
      <c r="E11" s="42" t="s">
        <v>7486</v>
      </c>
      <c r="F11" s="2" t="s">
        <v>7478</v>
      </c>
      <c r="G11" s="2"/>
    </row>
    <row r="12" spans="1:7" ht="25">
      <c r="A12" s="2" t="s">
        <v>7487</v>
      </c>
      <c r="B12" s="6" t="s">
        <v>7488</v>
      </c>
      <c r="C12" s="2" t="s">
        <v>7476</v>
      </c>
      <c r="D12" s="2" t="s">
        <v>7489</v>
      </c>
      <c r="E12" s="6" t="s">
        <v>7490</v>
      </c>
      <c r="F12" s="2" t="s">
        <v>7476</v>
      </c>
      <c r="G12" s="2"/>
    </row>
    <row r="13" spans="1:7" ht="12.5">
      <c r="A13" s="2"/>
      <c r="B13" s="2"/>
      <c r="C13" s="2"/>
      <c r="D13" s="2"/>
      <c r="E13" s="2"/>
      <c r="F13" s="2"/>
      <c r="G13" s="2"/>
    </row>
    <row r="14" spans="1:7" ht="12.5">
      <c r="A14" s="2"/>
      <c r="B14" s="2"/>
      <c r="C14" s="2"/>
      <c r="D14" s="2" t="s">
        <v>465</v>
      </c>
      <c r="E14" s="2"/>
      <c r="F14" s="2"/>
      <c r="G14" s="2"/>
    </row>
    <row r="15" spans="1:7" ht="12.5">
      <c r="A15" s="2"/>
      <c r="B15" s="2"/>
      <c r="C15" s="2"/>
      <c r="D15" s="2"/>
      <c r="E15" s="2"/>
      <c r="F15" s="2"/>
      <c r="G15" s="2"/>
    </row>
    <row r="16" spans="1:7" ht="12.5">
      <c r="A16" s="2"/>
      <c r="B16" s="2"/>
      <c r="C16" s="2"/>
      <c r="D16" s="2"/>
      <c r="E16" s="2"/>
      <c r="F16" s="2"/>
      <c r="G16" s="2"/>
    </row>
    <row r="17" spans="1:7" ht="50">
      <c r="A17" s="43" t="s">
        <v>171</v>
      </c>
      <c r="B17" s="26" t="s">
        <v>7491</v>
      </c>
      <c r="C17" s="2" t="s">
        <v>7476</v>
      </c>
      <c r="D17" s="44" t="s">
        <v>172</v>
      </c>
      <c r="E17" s="2"/>
      <c r="F17" s="2"/>
      <c r="G17" s="2"/>
    </row>
    <row r="18" spans="1:7" ht="50">
      <c r="A18" s="2"/>
      <c r="B18" s="26" t="s">
        <v>7491</v>
      </c>
      <c r="C18" s="2" t="s">
        <v>7476</v>
      </c>
      <c r="D18" s="2" t="s">
        <v>196</v>
      </c>
      <c r="E18" s="7" t="s">
        <v>7492</v>
      </c>
      <c r="F18" s="2" t="s">
        <v>7478</v>
      </c>
      <c r="G18" s="2"/>
    </row>
    <row r="19" spans="1:7" ht="50">
      <c r="A19" s="2"/>
      <c r="B19" s="26" t="s">
        <v>7491</v>
      </c>
      <c r="C19" s="2" t="s">
        <v>7476</v>
      </c>
      <c r="D19" s="44" t="s">
        <v>207</v>
      </c>
      <c r="E19" s="2" t="s">
        <v>3482</v>
      </c>
      <c r="F19" s="2"/>
      <c r="G19" s="2"/>
    </row>
    <row r="20" spans="1:7" ht="50">
      <c r="A20" s="2"/>
      <c r="B20" s="26" t="s">
        <v>7491</v>
      </c>
      <c r="C20" s="2" t="s">
        <v>7476</v>
      </c>
      <c r="D20" s="2" t="s">
        <v>256</v>
      </c>
      <c r="E20" s="7" t="s">
        <v>7493</v>
      </c>
      <c r="F20" s="2" t="s">
        <v>7476</v>
      </c>
      <c r="G20" s="2"/>
    </row>
    <row r="21" spans="1:7" ht="25">
      <c r="A21" s="2" t="s">
        <v>287</v>
      </c>
      <c r="B21" s="7" t="s">
        <v>7494</v>
      </c>
      <c r="C21" s="2" t="s">
        <v>7476</v>
      </c>
      <c r="D21" s="44" t="s">
        <v>288</v>
      </c>
      <c r="E21" s="2"/>
      <c r="F21" s="2"/>
      <c r="G21" s="2"/>
    </row>
    <row r="22" spans="1:7" ht="25">
      <c r="A22" s="2"/>
      <c r="B22" s="7" t="s">
        <v>7494</v>
      </c>
      <c r="C22" s="2" t="s">
        <v>7476</v>
      </c>
      <c r="D22" s="44" t="s">
        <v>324</v>
      </c>
      <c r="E22" s="7" t="s">
        <v>7495</v>
      </c>
      <c r="F22" s="2" t="s">
        <v>7476</v>
      </c>
      <c r="G22" s="2"/>
    </row>
    <row r="23" spans="1:7" ht="25">
      <c r="A23" s="2"/>
      <c r="B23" s="7" t="s">
        <v>7494</v>
      </c>
      <c r="C23" s="2" t="s">
        <v>7476</v>
      </c>
      <c r="D23" s="2" t="s">
        <v>348</v>
      </c>
      <c r="E23" s="7" t="s">
        <v>7496</v>
      </c>
      <c r="F23" s="2" t="s">
        <v>7476</v>
      </c>
      <c r="G23" s="2"/>
    </row>
    <row r="24" spans="1:7" ht="25">
      <c r="A24" s="2"/>
      <c r="B24" s="7" t="s">
        <v>7494</v>
      </c>
      <c r="C24" s="2" t="s">
        <v>7476</v>
      </c>
      <c r="D24" s="2" t="s">
        <v>396</v>
      </c>
      <c r="E24" s="7" t="s">
        <v>7497</v>
      </c>
      <c r="F24" s="2" t="s">
        <v>7476</v>
      </c>
      <c r="G24" s="2"/>
    </row>
    <row r="25" spans="1:7" ht="25">
      <c r="A25" s="2"/>
      <c r="B25" s="7" t="s">
        <v>7494</v>
      </c>
      <c r="C25" s="2" t="s">
        <v>7476</v>
      </c>
      <c r="D25" s="2" t="s">
        <v>379</v>
      </c>
      <c r="E25" s="7" t="s">
        <v>7498</v>
      </c>
      <c r="F25" s="2" t="s">
        <v>7476</v>
      </c>
      <c r="G25" s="2"/>
    </row>
    <row r="26" spans="1:7" ht="25">
      <c r="A26" s="2"/>
      <c r="B26" s="7" t="s">
        <v>7494</v>
      </c>
      <c r="C26" s="2" t="s">
        <v>7476</v>
      </c>
      <c r="D26" s="2" t="s">
        <v>413</v>
      </c>
      <c r="E26" s="7" t="s">
        <v>7499</v>
      </c>
      <c r="F26" s="2" t="s">
        <v>7476</v>
      </c>
      <c r="G26" s="2"/>
    </row>
    <row r="27" spans="1:7" ht="25">
      <c r="A27" s="2"/>
      <c r="B27" s="7" t="s">
        <v>7494</v>
      </c>
      <c r="C27" s="2" t="s">
        <v>7476</v>
      </c>
      <c r="D27" s="2" t="s">
        <v>429</v>
      </c>
      <c r="E27" s="2" t="s">
        <v>3482</v>
      </c>
      <c r="F27" s="2" t="s">
        <v>3482</v>
      </c>
      <c r="G27" s="2"/>
    </row>
    <row r="28" spans="1:7" ht="25">
      <c r="A28" s="2" t="s">
        <v>464</v>
      </c>
      <c r="B28" s="7" t="s">
        <v>7500</v>
      </c>
      <c r="C28" s="2" t="s">
        <v>7476</v>
      </c>
      <c r="D28" s="2" t="s">
        <v>465</v>
      </c>
      <c r="E28" s="2"/>
      <c r="F28" s="2"/>
      <c r="G28" s="2"/>
    </row>
    <row r="29" spans="1:7" ht="25">
      <c r="A29" s="2"/>
      <c r="B29" s="7" t="s">
        <v>7500</v>
      </c>
      <c r="C29" s="2" t="s">
        <v>7476</v>
      </c>
      <c r="D29" s="2" t="s">
        <v>483</v>
      </c>
      <c r="E29" s="31" t="s">
        <v>7501</v>
      </c>
      <c r="F29" s="2" t="s">
        <v>7478</v>
      </c>
      <c r="G29" s="2"/>
    </row>
    <row r="30" spans="1:7" ht="25">
      <c r="A30" s="2"/>
      <c r="B30" s="7" t="s">
        <v>7500</v>
      </c>
      <c r="C30" s="2" t="s">
        <v>7476</v>
      </c>
      <c r="D30" s="2" t="s">
        <v>504</v>
      </c>
      <c r="E30" s="7" t="s">
        <v>7502</v>
      </c>
      <c r="F30" s="2" t="s">
        <v>7478</v>
      </c>
      <c r="G30" s="2"/>
    </row>
    <row r="31" spans="1:7" ht="25">
      <c r="A31" s="2"/>
      <c r="B31" s="7" t="s">
        <v>7500</v>
      </c>
      <c r="C31" s="2" t="s">
        <v>7476</v>
      </c>
      <c r="D31" s="2" t="s">
        <v>531</v>
      </c>
      <c r="E31" s="26" t="s">
        <v>7503</v>
      </c>
      <c r="F31" s="2" t="s">
        <v>7478</v>
      </c>
      <c r="G31" s="2"/>
    </row>
    <row r="32" spans="1:7" ht="25">
      <c r="A32" s="2"/>
      <c r="B32" s="7" t="s">
        <v>7500</v>
      </c>
      <c r="C32" s="2" t="s">
        <v>7476</v>
      </c>
      <c r="D32" s="2" t="s">
        <v>547</v>
      </c>
      <c r="E32" s="7" t="s">
        <v>7504</v>
      </c>
      <c r="F32" s="2" t="s">
        <v>7476</v>
      </c>
      <c r="G32" s="2"/>
    </row>
    <row r="33" spans="1:7" ht="25">
      <c r="A33" s="2" t="s">
        <v>733</v>
      </c>
      <c r="B33" s="7" t="s">
        <v>7505</v>
      </c>
      <c r="C33" s="2" t="s">
        <v>7478</v>
      </c>
      <c r="D33" s="2" t="s">
        <v>734</v>
      </c>
      <c r="E33" s="42" t="s">
        <v>7506</v>
      </c>
      <c r="F33" s="2" t="s">
        <v>7478</v>
      </c>
      <c r="G33" s="2"/>
    </row>
    <row r="34" spans="1:7" ht="25">
      <c r="A34" s="2"/>
      <c r="B34" s="7" t="s">
        <v>7505</v>
      </c>
      <c r="C34" s="2" t="s">
        <v>7478</v>
      </c>
      <c r="D34" s="2" t="s">
        <v>762</v>
      </c>
      <c r="E34" s="7" t="s">
        <v>7507</v>
      </c>
      <c r="F34" s="2" t="s">
        <v>7476</v>
      </c>
      <c r="G34" s="2"/>
    </row>
    <row r="35" spans="1:7" ht="25">
      <c r="A35" s="2"/>
      <c r="B35" s="7" t="s">
        <v>7505</v>
      </c>
      <c r="C35" s="2" t="s">
        <v>7478</v>
      </c>
      <c r="D35" s="2" t="s">
        <v>800</v>
      </c>
      <c r="E35" s="7" t="s">
        <v>7508</v>
      </c>
      <c r="F35" s="2" t="s">
        <v>7478</v>
      </c>
      <c r="G35" s="2"/>
    </row>
    <row r="36" spans="1:7" ht="25">
      <c r="A36" s="2"/>
      <c r="B36" s="7" t="s">
        <v>7505</v>
      </c>
      <c r="C36" s="2" t="s">
        <v>7478</v>
      </c>
      <c r="D36" s="2" t="s">
        <v>813</v>
      </c>
      <c r="E36" s="7" t="s">
        <v>7509</v>
      </c>
      <c r="F36" s="2" t="s">
        <v>7478</v>
      </c>
      <c r="G36" s="2"/>
    </row>
    <row r="37" spans="1:7" ht="25">
      <c r="A37" s="2"/>
      <c r="B37" s="7" t="s">
        <v>7505</v>
      </c>
      <c r="C37" s="2" t="s">
        <v>7478</v>
      </c>
      <c r="D37" s="44" t="s">
        <v>841</v>
      </c>
      <c r="E37" s="26" t="s">
        <v>7510</v>
      </c>
      <c r="F37" s="2" t="s">
        <v>7478</v>
      </c>
      <c r="G37" s="2"/>
    </row>
    <row r="38" spans="1:7" ht="25">
      <c r="A38" s="2"/>
      <c r="B38" s="7" t="s">
        <v>7505</v>
      </c>
      <c r="C38" s="2" t="s">
        <v>7478</v>
      </c>
      <c r="D38" s="2" t="s">
        <v>879</v>
      </c>
      <c r="E38" s="7" t="s">
        <v>7511</v>
      </c>
      <c r="F38" s="2" t="s">
        <v>7478</v>
      </c>
      <c r="G38" s="2"/>
    </row>
    <row r="39" spans="1:7" ht="50">
      <c r="A39" s="2" t="s">
        <v>915</v>
      </c>
      <c r="B39" s="26" t="s">
        <v>7512</v>
      </c>
      <c r="C39" s="2" t="s">
        <v>7476</v>
      </c>
      <c r="D39" s="2" t="s">
        <v>916</v>
      </c>
      <c r="E39" s="2"/>
      <c r="F39" s="2"/>
      <c r="G39" s="2"/>
    </row>
    <row r="40" spans="1:7" ht="50">
      <c r="A40" s="2"/>
      <c r="B40" s="26" t="s">
        <v>7513</v>
      </c>
      <c r="C40" s="2" t="s">
        <v>7476</v>
      </c>
      <c r="D40" s="2" t="s">
        <v>935</v>
      </c>
      <c r="E40" s="7" t="s">
        <v>7514</v>
      </c>
      <c r="F40" s="2" t="s">
        <v>7478</v>
      </c>
      <c r="G40" s="2"/>
    </row>
    <row r="41" spans="1:7" ht="50">
      <c r="A41" s="2"/>
      <c r="B41" s="26" t="s">
        <v>7515</v>
      </c>
      <c r="C41" s="2" t="s">
        <v>7476</v>
      </c>
      <c r="D41" s="2" t="s">
        <v>963</v>
      </c>
      <c r="E41" s="7" t="s">
        <v>7516</v>
      </c>
      <c r="F41" s="2" t="s">
        <v>7478</v>
      </c>
      <c r="G41" s="2"/>
    </row>
    <row r="42" spans="1:7" ht="50">
      <c r="A42" s="2"/>
      <c r="B42" s="26" t="s">
        <v>7517</v>
      </c>
      <c r="C42" s="2" t="s">
        <v>7476</v>
      </c>
      <c r="D42" s="2" t="s">
        <v>1000</v>
      </c>
      <c r="E42" s="7" t="s">
        <v>7518</v>
      </c>
      <c r="F42" s="2" t="s">
        <v>7478</v>
      </c>
      <c r="G42" s="2"/>
    </row>
    <row r="43" spans="1:7" ht="50">
      <c r="A43" s="2"/>
      <c r="B43" s="26" t="s">
        <v>7519</v>
      </c>
      <c r="C43" s="2" t="s">
        <v>7476</v>
      </c>
      <c r="D43" s="2" t="s">
        <v>1032</v>
      </c>
      <c r="E43" s="7" t="s">
        <v>7520</v>
      </c>
      <c r="F43" s="2" t="s">
        <v>7478</v>
      </c>
      <c r="G43" s="2"/>
    </row>
    <row r="44" spans="1:7" ht="26">
      <c r="A44" s="43" t="s">
        <v>1065</v>
      </c>
      <c r="B44" s="45" t="s">
        <v>7521</v>
      </c>
      <c r="C44" s="2" t="s">
        <v>7476</v>
      </c>
      <c r="D44" s="2" t="s">
        <v>1116</v>
      </c>
      <c r="E44" s="2"/>
      <c r="F44" s="2"/>
      <c r="G44" s="2"/>
    </row>
    <row r="45" spans="1:7" ht="26">
      <c r="A45" s="2"/>
      <c r="B45" s="45" t="s">
        <v>7521</v>
      </c>
      <c r="C45" s="2" t="s">
        <v>7476</v>
      </c>
      <c r="D45" s="2" t="s">
        <v>1066</v>
      </c>
      <c r="E45" s="7" t="s">
        <v>7522</v>
      </c>
      <c r="F45" s="2" t="s">
        <v>7478</v>
      </c>
      <c r="G45" s="2"/>
    </row>
    <row r="46" spans="1:7" ht="15.5">
      <c r="A46" s="2"/>
      <c r="B46" s="45" t="s">
        <v>7521</v>
      </c>
      <c r="C46" s="2" t="s">
        <v>7476</v>
      </c>
      <c r="D46" s="2" t="s">
        <v>1125</v>
      </c>
      <c r="E46" s="7" t="s">
        <v>7523</v>
      </c>
      <c r="F46" s="2" t="s">
        <v>7478</v>
      </c>
      <c r="G46" s="2"/>
    </row>
    <row r="47" spans="1:7" ht="15.5">
      <c r="A47" s="2"/>
      <c r="B47" s="45" t="s">
        <v>7521</v>
      </c>
      <c r="C47" s="2" t="s">
        <v>7476</v>
      </c>
      <c r="D47" s="2" t="s">
        <v>1154</v>
      </c>
      <c r="E47" s="7" t="s">
        <v>7524</v>
      </c>
      <c r="F47" s="2" t="s">
        <v>7478</v>
      </c>
      <c r="G47" s="2"/>
    </row>
    <row r="48" spans="1:7" ht="16">
      <c r="A48" s="2"/>
      <c r="B48" s="45" t="s">
        <v>7521</v>
      </c>
      <c r="C48" s="2" t="s">
        <v>7476</v>
      </c>
      <c r="D48" s="44" t="s">
        <v>1186</v>
      </c>
      <c r="E48" s="46" t="s">
        <v>7525</v>
      </c>
      <c r="F48" s="2" t="s">
        <v>7478</v>
      </c>
      <c r="G48" s="2"/>
    </row>
    <row r="49" spans="1:7" ht="15.5">
      <c r="A49" s="2"/>
      <c r="B49" s="45" t="s">
        <v>7521</v>
      </c>
      <c r="C49" s="2" t="s">
        <v>7476</v>
      </c>
      <c r="D49" s="2" t="s">
        <v>1199</v>
      </c>
      <c r="E49" s="42" t="s">
        <v>7526</v>
      </c>
      <c r="F49" s="2" t="s">
        <v>7478</v>
      </c>
      <c r="G49" s="2"/>
    </row>
    <row r="50" spans="1:7" ht="25">
      <c r="A50" s="2" t="s">
        <v>1220</v>
      </c>
      <c r="B50" s="7" t="s">
        <v>7527</v>
      </c>
      <c r="C50" s="2" t="s">
        <v>7478</v>
      </c>
      <c r="D50" s="2" t="s">
        <v>1306</v>
      </c>
      <c r="E50" s="7" t="s">
        <v>7528</v>
      </c>
      <c r="F50" s="2" t="s">
        <v>7478</v>
      </c>
      <c r="G50" s="2"/>
    </row>
    <row r="51" spans="1:7" ht="25">
      <c r="A51" s="2"/>
      <c r="B51" s="7" t="s">
        <v>7527</v>
      </c>
      <c r="C51" s="2" t="s">
        <v>7478</v>
      </c>
      <c r="D51" s="2" t="s">
        <v>1221</v>
      </c>
      <c r="E51" s="7" t="s">
        <v>7529</v>
      </c>
      <c r="F51" s="2" t="s">
        <v>7478</v>
      </c>
      <c r="G51" s="2"/>
    </row>
    <row r="52" spans="1:7" ht="25">
      <c r="A52" s="2"/>
      <c r="B52" s="7" t="s">
        <v>7527</v>
      </c>
      <c r="C52" s="2" t="s">
        <v>7478</v>
      </c>
      <c r="D52" s="2" t="s">
        <v>1251</v>
      </c>
      <c r="E52" s="7" t="s">
        <v>7530</v>
      </c>
      <c r="F52" s="2" t="s">
        <v>7478</v>
      </c>
      <c r="G52" s="2"/>
    </row>
    <row r="53" spans="1:7" ht="25">
      <c r="A53" s="2"/>
      <c r="B53" s="7" t="s">
        <v>7527</v>
      </c>
      <c r="C53" s="2" t="s">
        <v>7478</v>
      </c>
      <c r="D53" s="2" t="s">
        <v>1270</v>
      </c>
      <c r="E53" s="7" t="s">
        <v>7531</v>
      </c>
      <c r="F53" s="2" t="s">
        <v>7478</v>
      </c>
      <c r="G53" s="2"/>
    </row>
    <row r="54" spans="1:7" ht="25">
      <c r="A54" s="2"/>
      <c r="B54" s="7" t="s">
        <v>7527</v>
      </c>
      <c r="C54" s="2" t="s">
        <v>7478</v>
      </c>
      <c r="D54" s="2" t="s">
        <v>1341</v>
      </c>
      <c r="E54" s="7" t="s">
        <v>7532</v>
      </c>
      <c r="F54" s="2" t="s">
        <v>7478</v>
      </c>
      <c r="G54" s="2"/>
    </row>
    <row r="55" spans="1:7" ht="25">
      <c r="A55" s="2"/>
      <c r="B55" s="7" t="s">
        <v>7527</v>
      </c>
      <c r="C55" s="2" t="s">
        <v>7478</v>
      </c>
      <c r="D55" s="2" t="s">
        <v>1363</v>
      </c>
      <c r="E55" s="2"/>
      <c r="F55" s="2"/>
      <c r="G55" s="2"/>
    </row>
    <row r="56" spans="1:7" ht="25">
      <c r="A56" s="2"/>
      <c r="B56" s="7" t="s">
        <v>7527</v>
      </c>
      <c r="C56" s="2" t="s">
        <v>7478</v>
      </c>
      <c r="D56" s="2" t="s">
        <v>1386</v>
      </c>
      <c r="E56" s="7" t="s">
        <v>7533</v>
      </c>
      <c r="F56" s="2" t="s">
        <v>7478</v>
      </c>
      <c r="G56" s="2"/>
    </row>
    <row r="57" spans="1:7" ht="25">
      <c r="A57" s="2" t="s">
        <v>1409</v>
      </c>
      <c r="B57" s="7" t="s">
        <v>7534</v>
      </c>
      <c r="C57" s="2" t="s">
        <v>7476</v>
      </c>
      <c r="D57" s="30" t="s">
        <v>1410</v>
      </c>
      <c r="E57" s="30"/>
      <c r="F57" s="2"/>
      <c r="G57" s="2"/>
    </row>
    <row r="58" spans="1:7" ht="25">
      <c r="A58" s="2"/>
      <c r="B58" s="7" t="s">
        <v>7534</v>
      </c>
      <c r="C58" s="2" t="s">
        <v>7476</v>
      </c>
      <c r="D58" s="30" t="s">
        <v>1439</v>
      </c>
      <c r="E58" s="47" t="s">
        <v>7535</v>
      </c>
      <c r="F58" s="2" t="s">
        <v>7478</v>
      </c>
      <c r="G58" s="2"/>
    </row>
    <row r="59" spans="1:7" ht="26.5">
      <c r="A59" s="2"/>
      <c r="B59" s="7" t="s">
        <v>7534</v>
      </c>
      <c r="C59" s="2" t="s">
        <v>7476</v>
      </c>
      <c r="D59" s="48" t="s">
        <v>1480</v>
      </c>
      <c r="E59" s="49"/>
      <c r="F59" s="2"/>
      <c r="G59" s="2"/>
    </row>
    <row r="60" spans="1:7" ht="25">
      <c r="A60" s="2"/>
      <c r="B60" s="7" t="s">
        <v>7534</v>
      </c>
      <c r="C60" s="2" t="s">
        <v>7476</v>
      </c>
      <c r="D60" s="30" t="s">
        <v>1510</v>
      </c>
      <c r="E60" s="7" t="s">
        <v>7536</v>
      </c>
      <c r="F60" s="2" t="s">
        <v>7478</v>
      </c>
      <c r="G60" s="2"/>
    </row>
    <row r="61" spans="1:7" ht="25">
      <c r="A61" s="2" t="s">
        <v>1532</v>
      </c>
      <c r="B61" s="7" t="s">
        <v>7537</v>
      </c>
      <c r="C61" s="2" t="s">
        <v>7476</v>
      </c>
      <c r="D61" s="2" t="s">
        <v>1533</v>
      </c>
      <c r="E61" s="2"/>
      <c r="F61" s="2"/>
      <c r="G61" s="2"/>
    </row>
    <row r="62" spans="1:7" ht="25">
      <c r="A62" s="2"/>
      <c r="B62" s="7" t="s">
        <v>7537</v>
      </c>
      <c r="C62" s="2" t="s">
        <v>7476</v>
      </c>
      <c r="D62" s="2" t="s">
        <v>1569</v>
      </c>
      <c r="E62" s="7" t="s">
        <v>7538</v>
      </c>
      <c r="F62" s="2" t="s">
        <v>7478</v>
      </c>
      <c r="G62" s="2"/>
    </row>
    <row r="63" spans="1:7" ht="25">
      <c r="A63" s="2"/>
      <c r="B63" s="7" t="s">
        <v>7537</v>
      </c>
      <c r="C63" s="2" t="s">
        <v>7476</v>
      </c>
      <c r="D63" s="2" t="s">
        <v>1549</v>
      </c>
      <c r="E63" s="7" t="s">
        <v>7539</v>
      </c>
      <c r="F63" s="2" t="s">
        <v>7478</v>
      </c>
      <c r="G63" s="2"/>
    </row>
    <row r="64" spans="1:7" ht="25">
      <c r="A64" s="2"/>
      <c r="B64" s="7" t="s">
        <v>7537</v>
      </c>
      <c r="C64" s="2" t="s">
        <v>7476</v>
      </c>
      <c r="D64" s="2" t="s">
        <v>1586</v>
      </c>
      <c r="E64" s="2"/>
      <c r="F64" s="2"/>
      <c r="G64" s="2"/>
    </row>
    <row r="65" spans="1:7" ht="12.5">
      <c r="A65" s="2" t="s">
        <v>1597</v>
      </c>
      <c r="B65" s="50" t="s">
        <v>7540</v>
      </c>
      <c r="C65" s="2" t="s">
        <v>7476</v>
      </c>
      <c r="D65" s="2" t="s">
        <v>1598</v>
      </c>
      <c r="E65" s="7" t="s">
        <v>7541</v>
      </c>
      <c r="F65" s="2" t="s">
        <v>7478</v>
      </c>
      <c r="G65" s="2"/>
    </row>
    <row r="66" spans="1:7" ht="12.5">
      <c r="A66" s="2"/>
      <c r="B66" s="50" t="s">
        <v>7540</v>
      </c>
      <c r="C66" s="2" t="s">
        <v>7476</v>
      </c>
      <c r="D66" s="2" t="s">
        <v>1613</v>
      </c>
      <c r="E66" s="2"/>
      <c r="F66" s="2"/>
      <c r="G66" s="2"/>
    </row>
    <row r="67" spans="1:7" ht="12.5">
      <c r="A67" s="2"/>
      <c r="B67" s="50" t="s">
        <v>7540</v>
      </c>
      <c r="C67" s="2" t="s">
        <v>7476</v>
      </c>
      <c r="D67" s="44" t="s">
        <v>1633</v>
      </c>
      <c r="E67" s="7" t="s">
        <v>7542</v>
      </c>
      <c r="F67" s="2" t="s">
        <v>7478</v>
      </c>
      <c r="G67" s="2"/>
    </row>
    <row r="68" spans="1:7" ht="12.5">
      <c r="A68" s="2"/>
      <c r="B68" s="50" t="s">
        <v>7540</v>
      </c>
      <c r="C68" s="2" t="s">
        <v>7476</v>
      </c>
      <c r="D68" s="2" t="s">
        <v>1690</v>
      </c>
      <c r="E68" s="7" t="s">
        <v>7543</v>
      </c>
      <c r="F68" s="2" t="s">
        <v>7478</v>
      </c>
      <c r="G68" s="2"/>
    </row>
    <row r="69" spans="1:7" ht="12.5">
      <c r="A69" s="2"/>
      <c r="B69" s="50" t="s">
        <v>7540</v>
      </c>
      <c r="C69" s="2" t="s">
        <v>7476</v>
      </c>
      <c r="D69" s="2" t="s">
        <v>1721</v>
      </c>
      <c r="E69" s="2"/>
      <c r="F69" s="2"/>
      <c r="G69" s="2"/>
    </row>
    <row r="70" spans="1:7" ht="25">
      <c r="A70" s="2"/>
      <c r="B70" s="50" t="s">
        <v>7540</v>
      </c>
      <c r="C70" s="2" t="s">
        <v>7476</v>
      </c>
      <c r="D70" s="2" t="s">
        <v>1756</v>
      </c>
      <c r="E70" s="7" t="s">
        <v>7544</v>
      </c>
      <c r="F70" s="2" t="s">
        <v>7478</v>
      </c>
      <c r="G70" s="2"/>
    </row>
    <row r="71" spans="1:7" ht="12.5">
      <c r="A71" s="2"/>
      <c r="B71" s="50" t="s">
        <v>7540</v>
      </c>
      <c r="C71" s="2" t="s">
        <v>7476</v>
      </c>
      <c r="D71" s="2" t="s">
        <v>1775</v>
      </c>
      <c r="E71" s="7" t="s">
        <v>7545</v>
      </c>
      <c r="F71" s="2" t="s">
        <v>7478</v>
      </c>
      <c r="G71" s="2"/>
    </row>
    <row r="72" spans="1:7" ht="25">
      <c r="A72" s="2" t="s">
        <v>1788</v>
      </c>
      <c r="B72" s="7" t="s">
        <v>7546</v>
      </c>
      <c r="C72" s="2" t="s">
        <v>7476</v>
      </c>
      <c r="D72" s="2" t="s">
        <v>1789</v>
      </c>
      <c r="E72" s="7" t="s">
        <v>7547</v>
      </c>
      <c r="F72" s="2" t="s">
        <v>7476</v>
      </c>
      <c r="G72" s="2"/>
    </row>
    <row r="73" spans="1:7" ht="25">
      <c r="A73" s="2"/>
      <c r="B73" s="7" t="s">
        <v>7546</v>
      </c>
      <c r="C73" s="2" t="s">
        <v>7476</v>
      </c>
      <c r="D73" s="2" t="s">
        <v>1813</v>
      </c>
      <c r="E73" s="2"/>
      <c r="F73" s="2"/>
      <c r="G73" s="2"/>
    </row>
    <row r="74" spans="1:7" ht="25">
      <c r="A74" s="2"/>
      <c r="B74" s="7" t="s">
        <v>7546</v>
      </c>
      <c r="C74" s="2" t="s">
        <v>7476</v>
      </c>
      <c r="D74" s="2" t="s">
        <v>1843</v>
      </c>
      <c r="E74" s="7" t="s">
        <v>7546</v>
      </c>
      <c r="F74" s="2" t="s">
        <v>7476</v>
      </c>
      <c r="G74" s="2"/>
    </row>
    <row r="75" spans="1:7" ht="25">
      <c r="A75" s="2"/>
      <c r="B75" s="7" t="s">
        <v>7546</v>
      </c>
      <c r="C75" s="2" t="s">
        <v>7476</v>
      </c>
      <c r="D75" s="2" t="s">
        <v>1882</v>
      </c>
      <c r="E75" s="7" t="s">
        <v>7548</v>
      </c>
      <c r="F75" s="2" t="s">
        <v>7476</v>
      </c>
      <c r="G75" s="2"/>
    </row>
    <row r="76" spans="1:7" ht="12.5">
      <c r="A76" s="2" t="s">
        <v>1900</v>
      </c>
      <c r="B76" s="7" t="s">
        <v>7549</v>
      </c>
      <c r="C76" s="2" t="s">
        <v>7476</v>
      </c>
      <c r="D76" s="2" t="s">
        <v>1918</v>
      </c>
      <c r="E76" s="7" t="s">
        <v>7550</v>
      </c>
      <c r="F76" s="2" t="s">
        <v>7478</v>
      </c>
      <c r="G76" s="2"/>
    </row>
    <row r="77" spans="1:7" ht="25">
      <c r="A77" s="2"/>
      <c r="B77" s="7" t="s">
        <v>7549</v>
      </c>
      <c r="C77" s="2" t="s">
        <v>7476</v>
      </c>
      <c r="D77" s="2" t="s">
        <v>1979</v>
      </c>
      <c r="E77" s="7" t="s">
        <v>7551</v>
      </c>
      <c r="F77" s="2" t="s">
        <v>7478</v>
      </c>
      <c r="G77" s="2"/>
    </row>
    <row r="78" spans="1:7" ht="12.5">
      <c r="A78" s="2"/>
      <c r="B78" s="7" t="s">
        <v>7549</v>
      </c>
      <c r="C78" s="2" t="s">
        <v>7476</v>
      </c>
      <c r="D78" s="2" t="s">
        <v>1952</v>
      </c>
      <c r="E78" s="7" t="s">
        <v>7552</v>
      </c>
      <c r="F78" s="2" t="s">
        <v>7478</v>
      </c>
      <c r="G78" s="2"/>
    </row>
    <row r="79" spans="1:7" ht="12.5">
      <c r="A79" s="2"/>
      <c r="B79" s="7" t="s">
        <v>7549</v>
      </c>
      <c r="C79" s="2" t="s">
        <v>7476</v>
      </c>
      <c r="D79" s="2" t="s">
        <v>1901</v>
      </c>
      <c r="E79" s="7" t="s">
        <v>7553</v>
      </c>
      <c r="F79" s="2" t="s">
        <v>7478</v>
      </c>
      <c r="G79" s="2"/>
    </row>
    <row r="80" spans="1:7" ht="12.5">
      <c r="A80" s="2"/>
      <c r="B80" s="7" t="s">
        <v>7549</v>
      </c>
      <c r="C80" s="2" t="s">
        <v>7476</v>
      </c>
      <c r="D80" s="2" t="s">
        <v>2020</v>
      </c>
      <c r="E80" s="7" t="s">
        <v>7554</v>
      </c>
      <c r="F80" s="2" t="s">
        <v>7478</v>
      </c>
      <c r="G80" s="2"/>
    </row>
    <row r="81" spans="1:7" ht="25">
      <c r="A81" s="2"/>
      <c r="B81" s="7" t="s">
        <v>7549</v>
      </c>
      <c r="C81" s="2" t="s">
        <v>7476</v>
      </c>
      <c r="D81" s="2" t="s">
        <v>2075</v>
      </c>
      <c r="E81" s="7" t="s">
        <v>7555</v>
      </c>
      <c r="F81" s="2" t="s">
        <v>7478</v>
      </c>
      <c r="G81" s="2"/>
    </row>
    <row r="82" spans="1:7" ht="25">
      <c r="A82" s="2"/>
      <c r="B82" s="7" t="s">
        <v>7549</v>
      </c>
      <c r="C82" s="2" t="s">
        <v>7476</v>
      </c>
      <c r="D82" s="2" t="s">
        <v>2105</v>
      </c>
      <c r="E82" s="2" t="s">
        <v>3482</v>
      </c>
      <c r="F82" s="2" t="s">
        <v>3482</v>
      </c>
      <c r="G82" s="2"/>
    </row>
    <row r="83" spans="1:7" ht="25">
      <c r="A83" s="30" t="s">
        <v>2124</v>
      </c>
      <c r="B83" s="7" t="s">
        <v>7556</v>
      </c>
      <c r="C83" s="2" t="s">
        <v>7476</v>
      </c>
      <c r="D83" s="2" t="s">
        <v>2125</v>
      </c>
      <c r="E83" s="7" t="s">
        <v>7557</v>
      </c>
      <c r="F83" s="2" t="s">
        <v>7478</v>
      </c>
      <c r="G83" s="2"/>
    </row>
    <row r="84" spans="1:7" ht="25">
      <c r="A84" s="2"/>
      <c r="B84" s="7" t="s">
        <v>7556</v>
      </c>
      <c r="C84" s="2" t="s">
        <v>7476</v>
      </c>
      <c r="D84" s="2" t="s">
        <v>2152</v>
      </c>
      <c r="E84" s="2" t="s">
        <v>3482</v>
      </c>
      <c r="F84" s="2" t="s">
        <v>3482</v>
      </c>
      <c r="G84" s="2"/>
    </row>
    <row r="85" spans="1:7" ht="25">
      <c r="A85" s="2"/>
      <c r="B85" s="7" t="s">
        <v>7556</v>
      </c>
      <c r="C85" s="2" t="s">
        <v>7476</v>
      </c>
      <c r="D85" s="2" t="s">
        <v>2169</v>
      </c>
      <c r="E85" s="7" t="s">
        <v>7558</v>
      </c>
      <c r="F85" s="2" t="s">
        <v>7478</v>
      </c>
      <c r="G85" s="2"/>
    </row>
    <row r="86" spans="1:7" ht="25">
      <c r="A86" s="2"/>
      <c r="B86" s="7" t="s">
        <v>7556</v>
      </c>
      <c r="C86" s="2" t="s">
        <v>7476</v>
      </c>
      <c r="D86" s="2" t="s">
        <v>2207</v>
      </c>
      <c r="E86" s="7" t="s">
        <v>7559</v>
      </c>
      <c r="F86" s="2" t="s">
        <v>7478</v>
      </c>
      <c r="G86" s="2"/>
    </row>
    <row r="87" spans="1:7" ht="12.5">
      <c r="A87" s="30" t="s">
        <v>2264</v>
      </c>
      <c r="B87" s="7" t="s">
        <v>7560</v>
      </c>
      <c r="C87" s="2" t="s">
        <v>7476</v>
      </c>
      <c r="D87" s="2" t="s">
        <v>2265</v>
      </c>
      <c r="E87" s="2" t="s">
        <v>3482</v>
      </c>
      <c r="F87" s="2"/>
      <c r="G87" s="2"/>
    </row>
    <row r="88" spans="1:7" ht="12.5">
      <c r="A88" s="2"/>
      <c r="B88" s="26" t="s">
        <v>7560</v>
      </c>
      <c r="C88" s="2" t="s">
        <v>7476</v>
      </c>
      <c r="D88" s="2" t="s">
        <v>2285</v>
      </c>
      <c r="E88" s="7" t="s">
        <v>7561</v>
      </c>
      <c r="F88" s="2" t="s">
        <v>7478</v>
      </c>
      <c r="G88" s="2"/>
    </row>
    <row r="89" spans="1:7" ht="12.5">
      <c r="A89" s="2"/>
      <c r="B89" s="26" t="s">
        <v>7560</v>
      </c>
      <c r="C89" s="2" t="s">
        <v>7476</v>
      </c>
      <c r="D89" s="2" t="s">
        <v>2327</v>
      </c>
      <c r="E89" s="7" t="s">
        <v>7562</v>
      </c>
      <c r="F89" s="2" t="s">
        <v>7478</v>
      </c>
      <c r="G89" s="2"/>
    </row>
    <row r="90" spans="1:7" ht="12.5">
      <c r="A90" s="2"/>
      <c r="B90" s="26" t="s">
        <v>7560</v>
      </c>
      <c r="C90" s="2" t="s">
        <v>7476</v>
      </c>
      <c r="D90" s="2" t="s">
        <v>2387</v>
      </c>
      <c r="E90" s="2" t="s">
        <v>3482</v>
      </c>
      <c r="F90" s="2"/>
      <c r="G90" s="2"/>
    </row>
    <row r="91" spans="1:7" ht="12.5">
      <c r="A91" s="2" t="s">
        <v>2412</v>
      </c>
      <c r="B91" s="7" t="s">
        <v>7563</v>
      </c>
      <c r="C91" s="2" t="s">
        <v>7476</v>
      </c>
      <c r="D91" s="2" t="s">
        <v>2413</v>
      </c>
      <c r="E91" s="7" t="s">
        <v>7564</v>
      </c>
      <c r="F91" s="2" t="s">
        <v>7476</v>
      </c>
      <c r="G91" s="2"/>
    </row>
    <row r="92" spans="1:7" ht="25">
      <c r="A92" s="2"/>
      <c r="B92" s="7" t="s">
        <v>7563</v>
      </c>
      <c r="C92" s="2" t="s">
        <v>7476</v>
      </c>
      <c r="D92" s="2" t="s">
        <v>2432</v>
      </c>
      <c r="E92" s="7" t="s">
        <v>7565</v>
      </c>
      <c r="F92" s="2" t="s">
        <v>7478</v>
      </c>
      <c r="G92" s="2"/>
    </row>
    <row r="93" spans="1:7" ht="12.5">
      <c r="A93" s="2"/>
      <c r="B93" s="7" t="s">
        <v>7563</v>
      </c>
      <c r="C93" s="2" t="s">
        <v>7476</v>
      </c>
      <c r="D93" s="2" t="s">
        <v>2451</v>
      </c>
      <c r="E93" s="2" t="s">
        <v>3482</v>
      </c>
      <c r="F93" s="2"/>
      <c r="G93" s="2"/>
    </row>
    <row r="94" spans="1:7" ht="25">
      <c r="A94" s="2"/>
      <c r="B94" s="7" t="s">
        <v>7563</v>
      </c>
      <c r="C94" s="2" t="s">
        <v>7476</v>
      </c>
      <c r="D94" s="2" t="s">
        <v>2470</v>
      </c>
      <c r="E94" s="26" t="s">
        <v>7566</v>
      </c>
      <c r="F94" s="2"/>
      <c r="G94" s="2"/>
    </row>
    <row r="95" spans="1:7" ht="12.5">
      <c r="A95" s="2"/>
      <c r="B95" s="7" t="s">
        <v>7563</v>
      </c>
      <c r="C95" s="2" t="s">
        <v>7476</v>
      </c>
      <c r="D95" s="2" t="s">
        <v>2502</v>
      </c>
      <c r="E95" s="7" t="s">
        <v>7567</v>
      </c>
      <c r="F95" s="2" t="s">
        <v>7478</v>
      </c>
      <c r="G95" s="2"/>
    </row>
    <row r="96" spans="1:7" ht="25">
      <c r="A96" s="2" t="s">
        <v>7568</v>
      </c>
      <c r="B96" s="7" t="s">
        <v>7569</v>
      </c>
      <c r="C96" s="2" t="s">
        <v>7476</v>
      </c>
      <c r="D96" s="2" t="s">
        <v>2528</v>
      </c>
      <c r="E96" s="31" t="s">
        <v>7570</v>
      </c>
      <c r="F96" s="2" t="s">
        <v>7476</v>
      </c>
      <c r="G96" s="2"/>
    </row>
    <row r="97" spans="1:7" ht="25">
      <c r="A97" s="2"/>
      <c r="B97" s="7" t="s">
        <v>7569</v>
      </c>
      <c r="C97" s="2" t="s">
        <v>7476</v>
      </c>
      <c r="D97" s="2" t="s">
        <v>2546</v>
      </c>
      <c r="E97" s="7" t="s">
        <v>7569</v>
      </c>
      <c r="F97" s="2" t="s">
        <v>7476</v>
      </c>
      <c r="G97" s="2"/>
    </row>
    <row r="98" spans="1:7" ht="25">
      <c r="A98" s="2"/>
      <c r="B98" s="7" t="s">
        <v>7569</v>
      </c>
      <c r="C98" s="2" t="s">
        <v>7476</v>
      </c>
      <c r="D98" s="2" t="s">
        <v>2601</v>
      </c>
      <c r="E98" s="2" t="s">
        <v>3482</v>
      </c>
      <c r="F98" s="2"/>
      <c r="G98" s="2"/>
    </row>
    <row r="99" spans="1:7" ht="12.5">
      <c r="A99" s="2" t="s">
        <v>2648</v>
      </c>
      <c r="B99" s="26" t="s">
        <v>7571</v>
      </c>
      <c r="C99" s="2" t="s">
        <v>7476</v>
      </c>
      <c r="D99" s="2" t="s">
        <v>2672</v>
      </c>
      <c r="E99" s="7" t="s">
        <v>7572</v>
      </c>
      <c r="F99" s="2" t="s">
        <v>7478</v>
      </c>
      <c r="G99" s="2"/>
    </row>
    <row r="100" spans="1:7" ht="12.5">
      <c r="A100" s="2"/>
      <c r="B100" s="26" t="s">
        <v>7571</v>
      </c>
      <c r="C100" s="2" t="s">
        <v>7476</v>
      </c>
      <c r="D100" s="2" t="s">
        <v>2649</v>
      </c>
      <c r="E100" s="2"/>
      <c r="F100" s="2"/>
      <c r="G100" s="2"/>
    </row>
    <row r="101" spans="1:7" ht="25">
      <c r="A101" s="2"/>
      <c r="B101" s="26" t="s">
        <v>7571</v>
      </c>
      <c r="C101" s="2" t="s">
        <v>7476</v>
      </c>
      <c r="D101" s="2" t="s">
        <v>2684</v>
      </c>
      <c r="E101" s="7" t="s">
        <v>7573</v>
      </c>
      <c r="F101" s="2" t="s">
        <v>7478</v>
      </c>
      <c r="G101" s="2"/>
    </row>
    <row r="102" spans="1:7" ht="12.5">
      <c r="A102" s="2"/>
      <c r="B102" s="26" t="s">
        <v>7571</v>
      </c>
      <c r="C102" s="2" t="s">
        <v>7476</v>
      </c>
      <c r="D102" s="2" t="s">
        <v>2700</v>
      </c>
      <c r="E102" s="2"/>
      <c r="F102" s="2"/>
      <c r="G102" s="2"/>
    </row>
    <row r="103" spans="1:7" ht="12.5">
      <c r="A103" s="2"/>
      <c r="B103" s="26" t="s">
        <v>7571</v>
      </c>
      <c r="C103" s="2" t="s">
        <v>7476</v>
      </c>
      <c r="D103" s="2" t="s">
        <v>2719</v>
      </c>
      <c r="E103" s="7" t="s">
        <v>7574</v>
      </c>
      <c r="F103" s="2" t="s">
        <v>7478</v>
      </c>
      <c r="G103" s="2"/>
    </row>
    <row r="104" spans="1:7" ht="12.5">
      <c r="A104" s="2"/>
      <c r="B104" s="26" t="s">
        <v>7571</v>
      </c>
      <c r="C104" s="2" t="s">
        <v>7476</v>
      </c>
      <c r="D104" s="2" t="s">
        <v>2732</v>
      </c>
      <c r="E104" s="31" t="s">
        <v>7571</v>
      </c>
      <c r="F104" s="2" t="s">
        <v>7476</v>
      </c>
      <c r="G104" s="2"/>
    </row>
    <row r="105" spans="1:7" ht="25">
      <c r="A105" s="2"/>
      <c r="B105" s="26" t="s">
        <v>7571</v>
      </c>
      <c r="C105" s="2" t="s">
        <v>7476</v>
      </c>
      <c r="D105" s="2" t="s">
        <v>2772</v>
      </c>
      <c r="E105" s="26" t="s">
        <v>7575</v>
      </c>
      <c r="F105" s="2"/>
      <c r="G105" s="2"/>
    </row>
    <row r="106" spans="1:7" ht="14.5">
      <c r="A106" s="2" t="s">
        <v>2793</v>
      </c>
      <c r="B106" s="51" t="s">
        <v>7576</v>
      </c>
      <c r="C106" s="2" t="s">
        <v>7476</v>
      </c>
      <c r="D106" s="52" t="s">
        <v>2794</v>
      </c>
      <c r="E106" s="2"/>
      <c r="F106" s="2"/>
      <c r="G106" s="2"/>
    </row>
    <row r="107" spans="1:7" ht="12.5">
      <c r="A107" s="2"/>
      <c r="B107" s="51" t="s">
        <v>7576</v>
      </c>
      <c r="C107" s="2" t="s">
        <v>7476</v>
      </c>
      <c r="D107" s="2" t="s">
        <v>2822</v>
      </c>
      <c r="E107" s="7" t="s">
        <v>7577</v>
      </c>
      <c r="F107" s="2" t="s">
        <v>7478</v>
      </c>
      <c r="G107" s="2"/>
    </row>
    <row r="108" spans="1:7" ht="12.5">
      <c r="A108" s="2"/>
      <c r="B108" s="51" t="s">
        <v>7576</v>
      </c>
      <c r="C108" s="2" t="s">
        <v>7476</v>
      </c>
      <c r="D108" s="2" t="s">
        <v>2833</v>
      </c>
      <c r="E108" s="2"/>
      <c r="F108" s="2"/>
      <c r="G108" s="2"/>
    </row>
    <row r="109" spans="1:7" ht="12.5">
      <c r="A109" s="2"/>
      <c r="B109" s="51" t="s">
        <v>7576</v>
      </c>
      <c r="C109" s="2" t="s">
        <v>7476</v>
      </c>
      <c r="D109" s="2" t="s">
        <v>2866</v>
      </c>
      <c r="E109" s="2"/>
      <c r="F109" s="2"/>
      <c r="G109" s="2"/>
    </row>
    <row r="110" spans="1:7" ht="12.5">
      <c r="A110" s="2"/>
      <c r="B110" s="51" t="s">
        <v>7576</v>
      </c>
      <c r="C110" s="2" t="s">
        <v>7476</v>
      </c>
      <c r="D110" s="2" t="s">
        <v>2886</v>
      </c>
      <c r="E110" s="7" t="s">
        <v>7576</v>
      </c>
      <c r="F110" s="2" t="s">
        <v>7476</v>
      </c>
      <c r="G110" s="2"/>
    </row>
    <row r="111" spans="1:7" ht="25">
      <c r="A111" s="2" t="s">
        <v>2909</v>
      </c>
      <c r="B111" s="7" t="s">
        <v>7578</v>
      </c>
      <c r="C111" s="2" t="s">
        <v>7476</v>
      </c>
      <c r="D111" s="2" t="s">
        <v>2910</v>
      </c>
      <c r="E111" s="7" t="s">
        <v>7579</v>
      </c>
      <c r="F111" s="2" t="s">
        <v>7476</v>
      </c>
      <c r="G111" s="2"/>
    </row>
    <row r="112" spans="1:7" ht="25">
      <c r="A112" s="2"/>
      <c r="B112" s="7" t="s">
        <v>7578</v>
      </c>
      <c r="C112" s="2" t="s">
        <v>7476</v>
      </c>
      <c r="D112" s="2" t="s">
        <v>2943</v>
      </c>
      <c r="E112" s="7" t="s">
        <v>7578</v>
      </c>
      <c r="F112" s="2" t="s">
        <v>7476</v>
      </c>
      <c r="G112" s="2"/>
    </row>
    <row r="113" spans="1:7" ht="25">
      <c r="A113" s="2"/>
      <c r="B113" s="7" t="s">
        <v>7578</v>
      </c>
      <c r="C113" s="2" t="s">
        <v>7476</v>
      </c>
      <c r="D113" s="2" t="s">
        <v>3006</v>
      </c>
      <c r="E113" s="2" t="s">
        <v>3482</v>
      </c>
      <c r="F113" s="2"/>
      <c r="G113" s="2"/>
    </row>
    <row r="114" spans="1:7" ht="25">
      <c r="A114" s="2" t="s">
        <v>3046</v>
      </c>
      <c r="B114" s="7" t="s">
        <v>7580</v>
      </c>
      <c r="C114" s="2" t="s">
        <v>7476</v>
      </c>
      <c r="D114" s="2" t="s">
        <v>3047</v>
      </c>
      <c r="E114" s="26" t="s">
        <v>7581</v>
      </c>
      <c r="F114" s="2" t="s">
        <v>7478</v>
      </c>
      <c r="G114" s="2"/>
    </row>
    <row r="115" spans="1:7" ht="25">
      <c r="A115" s="2"/>
      <c r="B115" s="7" t="s">
        <v>7580</v>
      </c>
      <c r="C115" s="2" t="s">
        <v>7476</v>
      </c>
      <c r="D115" s="2" t="s">
        <v>3083</v>
      </c>
      <c r="E115" s="7" t="s">
        <v>7582</v>
      </c>
      <c r="F115" s="2" t="s">
        <v>7476</v>
      </c>
      <c r="G115" s="2"/>
    </row>
    <row r="116" spans="1:7" ht="25">
      <c r="A116" s="2"/>
      <c r="B116" s="7" t="s">
        <v>7580</v>
      </c>
      <c r="C116" s="2" t="s">
        <v>7476</v>
      </c>
      <c r="D116" s="2" t="s">
        <v>3110</v>
      </c>
      <c r="E116" s="2" t="s">
        <v>3482</v>
      </c>
      <c r="F116" s="2"/>
      <c r="G116" s="2"/>
    </row>
    <row r="117" spans="1:7" ht="25">
      <c r="A117" s="2"/>
      <c r="B117" s="7" t="s">
        <v>7580</v>
      </c>
      <c r="C117" s="2" t="s">
        <v>7476</v>
      </c>
      <c r="D117" s="2" t="s">
        <v>3139</v>
      </c>
      <c r="E117" s="7" t="s">
        <v>7490</v>
      </c>
      <c r="F117" s="2" t="s">
        <v>7476</v>
      </c>
      <c r="G117" s="2"/>
    </row>
    <row r="118" spans="1:7" ht="25">
      <c r="A118" s="2" t="s">
        <v>3194</v>
      </c>
      <c r="B118" s="7" t="s">
        <v>7583</v>
      </c>
      <c r="C118" s="2" t="s">
        <v>7476</v>
      </c>
      <c r="D118" s="44" t="s">
        <v>3195</v>
      </c>
      <c r="E118" s="2"/>
      <c r="F118" s="2"/>
      <c r="G118" s="2"/>
    </row>
    <row r="119" spans="1:7" ht="25">
      <c r="A119" s="2"/>
      <c r="B119" s="7" t="s">
        <v>7583</v>
      </c>
      <c r="C119" s="2" t="s">
        <v>7476</v>
      </c>
      <c r="D119" s="2" t="s">
        <v>3218</v>
      </c>
      <c r="E119" s="7" t="s">
        <v>7551</v>
      </c>
      <c r="F119" s="2" t="s">
        <v>7478</v>
      </c>
      <c r="G119" s="2"/>
    </row>
    <row r="120" spans="1:7" ht="25">
      <c r="A120" s="2"/>
      <c r="B120" s="7" t="s">
        <v>7583</v>
      </c>
      <c r="C120" s="2" t="s">
        <v>7476</v>
      </c>
      <c r="D120" s="2" t="s">
        <v>3241</v>
      </c>
      <c r="E120" s="2"/>
      <c r="F120" s="2"/>
      <c r="G120" s="2"/>
    </row>
    <row r="121" spans="1:7" ht="25">
      <c r="A121" s="2" t="s">
        <v>3315</v>
      </c>
      <c r="B121" s="7" t="s">
        <v>7584</v>
      </c>
      <c r="C121" s="2" t="s">
        <v>7476</v>
      </c>
      <c r="D121" s="2" t="s">
        <v>3316</v>
      </c>
      <c r="E121" s="2" t="s">
        <v>3482</v>
      </c>
      <c r="F121" s="2"/>
      <c r="G121" s="2"/>
    </row>
    <row r="122" spans="1:7" ht="25">
      <c r="A122" s="2"/>
      <c r="B122" s="7" t="s">
        <v>7584</v>
      </c>
      <c r="C122" s="2" t="s">
        <v>7476</v>
      </c>
      <c r="D122" s="2" t="s">
        <v>3336</v>
      </c>
      <c r="E122" s="2" t="s">
        <v>3482</v>
      </c>
      <c r="F122" s="2"/>
      <c r="G122" s="2"/>
    </row>
    <row r="123" spans="1:7" ht="25">
      <c r="A123" s="2"/>
      <c r="B123" s="7" t="s">
        <v>7584</v>
      </c>
      <c r="C123" s="2" t="s">
        <v>7476</v>
      </c>
      <c r="D123" s="2" t="s">
        <v>3327</v>
      </c>
      <c r="E123" s="2" t="s">
        <v>3482</v>
      </c>
      <c r="F123" s="2"/>
      <c r="G123" s="2"/>
    </row>
    <row r="124" spans="1:7" ht="25">
      <c r="A124" s="2"/>
      <c r="B124" s="7" t="s">
        <v>7584</v>
      </c>
      <c r="C124" s="2" t="s">
        <v>7476</v>
      </c>
      <c r="D124" s="2" t="s">
        <v>3372</v>
      </c>
      <c r="E124" s="2" t="s">
        <v>3482</v>
      </c>
      <c r="F124" s="2"/>
      <c r="G124" s="2"/>
    </row>
    <row r="125" spans="1:7" ht="25">
      <c r="A125" s="2"/>
      <c r="B125" s="7" t="s">
        <v>7584</v>
      </c>
      <c r="C125" s="2" t="s">
        <v>7476</v>
      </c>
      <c r="D125" s="2" t="s">
        <v>3395</v>
      </c>
      <c r="E125" s="2" t="s">
        <v>3482</v>
      </c>
      <c r="F125" s="2"/>
      <c r="G125" s="2"/>
    </row>
    <row r="126" spans="1:7" ht="12.5">
      <c r="A126" s="2"/>
      <c r="B126" s="2"/>
      <c r="C126" s="2"/>
      <c r="D126" s="2"/>
      <c r="E126" s="2"/>
      <c r="F126" s="2"/>
      <c r="G126" s="2"/>
    </row>
    <row r="127" spans="1:7" ht="12.5">
      <c r="A127" s="2"/>
      <c r="B127" s="2"/>
      <c r="C127" s="2"/>
      <c r="D127" s="2"/>
      <c r="E127" s="2"/>
      <c r="F127" s="2"/>
      <c r="G127" s="2"/>
    </row>
    <row r="128" spans="1:7" ht="12.5">
      <c r="A128" s="2"/>
      <c r="B128" s="2"/>
      <c r="C128" s="2"/>
      <c r="D128" s="2"/>
      <c r="E128" s="2"/>
      <c r="F128" s="2"/>
      <c r="G128" s="2"/>
    </row>
    <row r="129" spans="1:7" ht="12.5">
      <c r="A129" s="2"/>
      <c r="B129" s="2"/>
      <c r="C129" s="2"/>
      <c r="D129" s="2"/>
      <c r="E129" s="2"/>
      <c r="F129" s="2"/>
      <c r="G129" s="2"/>
    </row>
    <row r="130" spans="1:7" ht="12.5">
      <c r="A130" s="2"/>
      <c r="B130" s="2"/>
      <c r="C130" s="2"/>
      <c r="D130" s="2"/>
      <c r="E130" s="2"/>
      <c r="F130" s="2"/>
      <c r="G130" s="2"/>
    </row>
    <row r="131" spans="1:7" ht="12.5">
      <c r="A131" s="2"/>
      <c r="B131" s="2"/>
      <c r="C131" s="2"/>
      <c r="D131" s="2"/>
      <c r="E131" s="2"/>
      <c r="F131" s="2"/>
      <c r="G131" s="2"/>
    </row>
    <row r="132" spans="1:7" ht="12.5">
      <c r="A132" s="2"/>
      <c r="B132" s="2"/>
      <c r="C132" s="2"/>
      <c r="D132" s="2"/>
      <c r="E132" s="2"/>
      <c r="F132" s="2"/>
      <c r="G132" s="2"/>
    </row>
    <row r="133" spans="1:7" ht="12.5">
      <c r="A133" s="2"/>
      <c r="B133" s="2"/>
      <c r="C133" s="2"/>
      <c r="D133" s="2"/>
      <c r="E133" s="2"/>
      <c r="F133" s="2"/>
      <c r="G133" s="2"/>
    </row>
    <row r="134" spans="1:7" ht="12.5">
      <c r="A134" s="2"/>
      <c r="B134" s="2"/>
      <c r="C134" s="2"/>
      <c r="D134" s="2"/>
      <c r="E134" s="2"/>
      <c r="F134" s="2"/>
      <c r="G134" s="2"/>
    </row>
    <row r="135" spans="1:7" ht="12.5">
      <c r="A135" s="2"/>
      <c r="B135" s="2"/>
      <c r="C135" s="2"/>
      <c r="D135" s="2"/>
      <c r="E135" s="2"/>
      <c r="F135" s="2"/>
      <c r="G135" s="2"/>
    </row>
    <row r="136" spans="1:7" ht="12.5">
      <c r="A136" s="2"/>
      <c r="B136" s="2"/>
      <c r="C136" s="2"/>
      <c r="D136" s="2"/>
      <c r="E136" s="2"/>
      <c r="F136" s="2"/>
      <c r="G136" s="2"/>
    </row>
    <row r="137" spans="1:7" ht="12.5">
      <c r="A137" s="2"/>
      <c r="B137" s="2"/>
      <c r="C137" s="2"/>
      <c r="D137" s="2"/>
      <c r="E137" s="2"/>
      <c r="F137" s="2"/>
      <c r="G137" s="2"/>
    </row>
    <row r="138" spans="1:7" ht="12.5">
      <c r="A138" s="2"/>
      <c r="B138" s="2"/>
      <c r="C138" s="2"/>
      <c r="D138" s="2"/>
      <c r="E138" s="2"/>
      <c r="F138" s="2"/>
      <c r="G138" s="2"/>
    </row>
    <row r="139" spans="1:7" ht="12.5">
      <c r="A139" s="2"/>
      <c r="B139" s="2"/>
      <c r="C139" s="2"/>
      <c r="D139" s="2"/>
      <c r="E139" s="2"/>
      <c r="F139" s="2"/>
      <c r="G139" s="2"/>
    </row>
    <row r="140" spans="1:7" ht="12.5">
      <c r="A140" s="2"/>
      <c r="B140" s="2"/>
      <c r="C140" s="2"/>
      <c r="D140" s="2"/>
      <c r="E140" s="2"/>
      <c r="F140" s="2"/>
      <c r="G140" s="2"/>
    </row>
    <row r="141" spans="1:7" ht="12.5">
      <c r="A141" s="2"/>
      <c r="B141" s="2"/>
      <c r="C141" s="2"/>
      <c r="D141" s="2"/>
      <c r="E141" s="2"/>
      <c r="F141" s="2"/>
      <c r="G141" s="2"/>
    </row>
    <row r="142" spans="1:7" ht="12.5">
      <c r="A142" s="2"/>
      <c r="B142" s="2"/>
      <c r="C142" s="2"/>
      <c r="D142" s="2"/>
      <c r="E142" s="2"/>
      <c r="F142" s="2"/>
      <c r="G142" s="2"/>
    </row>
    <row r="143" spans="1:7" ht="12.5">
      <c r="A143" s="2"/>
      <c r="B143" s="2"/>
      <c r="C143" s="2"/>
      <c r="D143" s="2"/>
      <c r="E143" s="2"/>
      <c r="F143" s="2"/>
      <c r="G143" s="2"/>
    </row>
    <row r="144" spans="1:7" ht="12.5">
      <c r="A144" s="2"/>
      <c r="B144" s="2"/>
      <c r="C144" s="2"/>
      <c r="D144" s="2"/>
      <c r="E144" s="2"/>
      <c r="F144" s="2"/>
      <c r="G144" s="2"/>
    </row>
    <row r="145" spans="1:7" ht="12.5">
      <c r="A145" s="2"/>
      <c r="B145" s="2"/>
      <c r="C145" s="2"/>
      <c r="D145" s="2"/>
      <c r="E145" s="2"/>
      <c r="F145" s="2"/>
      <c r="G145" s="2"/>
    </row>
    <row r="146" spans="1:7" ht="12.5">
      <c r="A146" s="2"/>
      <c r="B146" s="2"/>
      <c r="C146" s="2"/>
      <c r="D146" s="2"/>
      <c r="E146" s="2"/>
      <c r="F146" s="2"/>
      <c r="G146" s="2"/>
    </row>
    <row r="147" spans="1:7" ht="12.5">
      <c r="A147" s="2"/>
      <c r="B147" s="2"/>
      <c r="C147" s="2"/>
      <c r="D147" s="2"/>
      <c r="E147" s="2"/>
      <c r="F147" s="2"/>
      <c r="G147" s="2"/>
    </row>
    <row r="148" spans="1:7" ht="12.5">
      <c r="A148" s="2"/>
      <c r="B148" s="2"/>
      <c r="C148" s="2"/>
      <c r="D148" s="2"/>
      <c r="E148" s="2"/>
      <c r="F148" s="2"/>
      <c r="G148" s="2"/>
    </row>
    <row r="149" spans="1:7" ht="12.5">
      <c r="A149" s="2"/>
      <c r="B149" s="2"/>
      <c r="C149" s="2"/>
      <c r="D149" s="2"/>
      <c r="E149" s="2"/>
      <c r="F149" s="2"/>
      <c r="G149" s="2"/>
    </row>
    <row r="150" spans="1:7" ht="12.5">
      <c r="A150" s="2"/>
      <c r="B150" s="2"/>
      <c r="C150" s="2"/>
      <c r="D150" s="2"/>
      <c r="E150" s="2"/>
      <c r="F150" s="2"/>
      <c r="G150" s="2"/>
    </row>
    <row r="151" spans="1:7" ht="12.5">
      <c r="A151" s="2"/>
      <c r="B151" s="2"/>
      <c r="C151" s="2"/>
      <c r="D151" s="2"/>
      <c r="E151" s="2"/>
      <c r="F151" s="2"/>
      <c r="G151" s="2"/>
    </row>
    <row r="152" spans="1:7" ht="12.5">
      <c r="A152" s="2"/>
      <c r="B152" s="2"/>
      <c r="C152" s="2"/>
      <c r="D152" s="2"/>
      <c r="E152" s="2"/>
      <c r="F152" s="2"/>
      <c r="G152" s="2"/>
    </row>
    <row r="153" spans="1:7" ht="12.5">
      <c r="A153" s="2"/>
      <c r="B153" s="2"/>
      <c r="C153" s="2"/>
      <c r="D153" s="2"/>
      <c r="E153" s="2"/>
      <c r="F153" s="2"/>
      <c r="G153" s="2"/>
    </row>
    <row r="154" spans="1:7" ht="12.5">
      <c r="A154" s="2"/>
      <c r="B154" s="2"/>
      <c r="C154" s="2"/>
      <c r="D154" s="2"/>
      <c r="E154" s="2"/>
      <c r="F154" s="2"/>
      <c r="G154" s="2"/>
    </row>
    <row r="155" spans="1:7" ht="12.5">
      <c r="A155" s="2"/>
      <c r="B155" s="2"/>
      <c r="C155" s="2"/>
      <c r="D155" s="2"/>
      <c r="E155" s="2"/>
      <c r="F155" s="2"/>
      <c r="G155" s="2"/>
    </row>
    <row r="156" spans="1:7" ht="12.5">
      <c r="A156" s="2"/>
      <c r="B156" s="2"/>
      <c r="C156" s="2"/>
      <c r="D156" s="2"/>
      <c r="E156" s="2"/>
      <c r="F156" s="2"/>
      <c r="G156" s="2"/>
    </row>
    <row r="157" spans="1:7" ht="12.5">
      <c r="A157" s="2"/>
      <c r="B157" s="2"/>
      <c r="C157" s="2"/>
      <c r="D157" s="2"/>
      <c r="E157" s="2"/>
      <c r="F157" s="2"/>
      <c r="G157" s="2"/>
    </row>
    <row r="158" spans="1:7" ht="12.5">
      <c r="A158" s="2"/>
      <c r="B158" s="2"/>
      <c r="C158" s="2"/>
      <c r="D158" s="2"/>
      <c r="E158" s="2"/>
      <c r="F158" s="2"/>
      <c r="G158" s="2"/>
    </row>
    <row r="159" spans="1:7" ht="12.5">
      <c r="A159" s="2"/>
      <c r="B159" s="2"/>
      <c r="C159" s="2"/>
      <c r="D159" s="2"/>
      <c r="E159" s="2"/>
      <c r="F159" s="2"/>
      <c r="G159" s="2"/>
    </row>
    <row r="160" spans="1:7" ht="12.5">
      <c r="A160" s="2"/>
      <c r="B160" s="2"/>
      <c r="C160" s="2"/>
      <c r="D160" s="2"/>
      <c r="E160" s="2"/>
      <c r="F160" s="2"/>
      <c r="G160" s="2"/>
    </row>
    <row r="161" spans="1:7" ht="12.5">
      <c r="A161" s="2"/>
      <c r="B161" s="2"/>
      <c r="C161" s="2"/>
      <c r="D161" s="2"/>
      <c r="E161" s="2"/>
      <c r="F161" s="2"/>
      <c r="G161" s="2"/>
    </row>
    <row r="162" spans="1:7" ht="12.5">
      <c r="A162" s="2"/>
      <c r="B162" s="2"/>
      <c r="C162" s="2"/>
      <c r="D162" s="2"/>
      <c r="E162" s="2"/>
      <c r="F162" s="2"/>
      <c r="G162" s="2"/>
    </row>
    <row r="163" spans="1:7" ht="12.5">
      <c r="A163" s="2"/>
      <c r="B163" s="2"/>
      <c r="C163" s="2"/>
      <c r="D163" s="2"/>
      <c r="E163" s="2"/>
      <c r="F163" s="2"/>
      <c r="G163" s="2"/>
    </row>
    <row r="164" spans="1:7" ht="12.5">
      <c r="A164" s="2"/>
      <c r="B164" s="2"/>
      <c r="C164" s="2"/>
      <c r="D164" s="2"/>
      <c r="E164" s="2"/>
      <c r="F164" s="2"/>
      <c r="G164" s="2"/>
    </row>
    <row r="165" spans="1:7" ht="12.5">
      <c r="A165" s="2"/>
      <c r="B165" s="2"/>
      <c r="C165" s="2"/>
      <c r="D165" s="2"/>
      <c r="E165" s="2"/>
      <c r="F165" s="2"/>
      <c r="G165" s="2"/>
    </row>
    <row r="166" spans="1:7" ht="12.5">
      <c r="A166" s="2"/>
      <c r="B166" s="2"/>
      <c r="C166" s="2"/>
      <c r="D166" s="2"/>
      <c r="E166" s="2"/>
      <c r="F166" s="2"/>
      <c r="G166" s="2"/>
    </row>
    <row r="167" spans="1:7" ht="12.5">
      <c r="A167" s="2"/>
      <c r="B167" s="2"/>
      <c r="C167" s="2"/>
      <c r="D167" s="2"/>
      <c r="E167" s="2"/>
      <c r="F167" s="2"/>
      <c r="G167" s="2"/>
    </row>
    <row r="168" spans="1:7" ht="12.5">
      <c r="A168" s="2"/>
      <c r="B168" s="2"/>
      <c r="C168" s="2"/>
      <c r="D168" s="2"/>
      <c r="E168" s="2"/>
      <c r="F168" s="2"/>
      <c r="G168" s="2"/>
    </row>
    <row r="169" spans="1:7" ht="12.5">
      <c r="A169" s="2"/>
      <c r="B169" s="2"/>
      <c r="C169" s="2"/>
      <c r="D169" s="2"/>
      <c r="E169" s="2"/>
      <c r="F169" s="2"/>
      <c r="G169" s="2"/>
    </row>
    <row r="170" spans="1:7" ht="12.5">
      <c r="A170" s="2"/>
      <c r="B170" s="2"/>
      <c r="C170" s="2"/>
      <c r="D170" s="2"/>
      <c r="E170" s="2"/>
      <c r="F170" s="2"/>
      <c r="G170" s="2"/>
    </row>
    <row r="171" spans="1:7" ht="12.5">
      <c r="A171" s="2"/>
      <c r="B171" s="2"/>
      <c r="C171" s="2"/>
      <c r="D171" s="2"/>
      <c r="E171" s="2"/>
      <c r="F171" s="2"/>
      <c r="G171" s="2"/>
    </row>
    <row r="172" spans="1:7" ht="12.5">
      <c r="A172" s="2"/>
      <c r="B172" s="2"/>
      <c r="C172" s="2"/>
      <c r="D172" s="2"/>
      <c r="E172" s="2"/>
      <c r="F172" s="2"/>
      <c r="G172" s="2"/>
    </row>
    <row r="173" spans="1:7" ht="12.5">
      <c r="A173" s="2"/>
      <c r="B173" s="2"/>
      <c r="C173" s="2"/>
      <c r="D173" s="2"/>
      <c r="E173" s="2"/>
      <c r="F173" s="2"/>
      <c r="G173" s="2"/>
    </row>
    <row r="174" spans="1:7" ht="12.5">
      <c r="A174" s="2"/>
      <c r="B174" s="2"/>
      <c r="C174" s="2"/>
      <c r="D174" s="2"/>
      <c r="E174" s="2"/>
      <c r="F174" s="2"/>
      <c r="G174" s="2"/>
    </row>
    <row r="175" spans="1:7" ht="12.5">
      <c r="A175" s="2"/>
      <c r="B175" s="2"/>
      <c r="C175" s="2"/>
      <c r="D175" s="2"/>
      <c r="E175" s="2"/>
      <c r="F175" s="2"/>
      <c r="G175" s="2"/>
    </row>
    <row r="176" spans="1:7" ht="12.5">
      <c r="A176" s="2"/>
      <c r="B176" s="2"/>
      <c r="C176" s="2"/>
      <c r="D176" s="2"/>
      <c r="E176" s="2"/>
      <c r="F176" s="2"/>
      <c r="G176" s="2"/>
    </row>
    <row r="177" spans="1:7" ht="12.5">
      <c r="A177" s="2"/>
      <c r="B177" s="2"/>
      <c r="C177" s="2"/>
      <c r="D177" s="2"/>
      <c r="E177" s="2"/>
      <c r="F177" s="2"/>
      <c r="G177" s="2"/>
    </row>
    <row r="178" spans="1:7" ht="12.5">
      <c r="A178" s="2"/>
      <c r="B178" s="2"/>
      <c r="C178" s="2"/>
      <c r="D178" s="2"/>
      <c r="E178" s="2"/>
      <c r="F178" s="2"/>
      <c r="G178" s="2"/>
    </row>
    <row r="179" spans="1:7" ht="12.5">
      <c r="A179" s="2"/>
      <c r="B179" s="2"/>
      <c r="C179" s="2"/>
      <c r="D179" s="2"/>
      <c r="E179" s="2"/>
      <c r="F179" s="2"/>
      <c r="G179" s="2"/>
    </row>
    <row r="180" spans="1:7" ht="12.5">
      <c r="A180" s="2"/>
      <c r="B180" s="2"/>
      <c r="C180" s="2"/>
      <c r="D180" s="2"/>
      <c r="E180" s="2"/>
      <c r="F180" s="2"/>
      <c r="G180" s="2"/>
    </row>
    <row r="181" spans="1:7" ht="12.5">
      <c r="A181" s="2"/>
      <c r="B181" s="2"/>
      <c r="C181" s="2"/>
      <c r="D181" s="2"/>
      <c r="E181" s="2"/>
      <c r="F181" s="2"/>
      <c r="G181" s="2"/>
    </row>
    <row r="182" spans="1:7" ht="12.5">
      <c r="A182" s="2"/>
      <c r="B182" s="2"/>
      <c r="C182" s="2"/>
      <c r="D182" s="2"/>
      <c r="E182" s="2"/>
      <c r="F182" s="2"/>
      <c r="G182" s="2"/>
    </row>
    <row r="183" spans="1:7" ht="12.5">
      <c r="A183" s="2"/>
      <c r="B183" s="2"/>
      <c r="C183" s="2"/>
      <c r="D183" s="2"/>
      <c r="E183" s="2"/>
      <c r="F183" s="2"/>
      <c r="G183" s="2"/>
    </row>
    <row r="184" spans="1:7" ht="12.5">
      <c r="A184" s="2"/>
      <c r="B184" s="2"/>
      <c r="C184" s="2"/>
      <c r="D184" s="2"/>
      <c r="E184" s="2"/>
      <c r="F184" s="2"/>
      <c r="G184" s="2"/>
    </row>
    <row r="185" spans="1:7" ht="12.5">
      <c r="A185" s="2"/>
      <c r="B185" s="2"/>
      <c r="C185" s="2"/>
      <c r="D185" s="2"/>
      <c r="E185" s="2"/>
      <c r="F185" s="2"/>
      <c r="G185" s="2"/>
    </row>
    <row r="186" spans="1:7" ht="12.5">
      <c r="A186" s="2"/>
      <c r="B186" s="2"/>
      <c r="C186" s="2"/>
      <c r="D186" s="2"/>
      <c r="E186" s="2"/>
      <c r="F186" s="2"/>
      <c r="G186" s="2"/>
    </row>
    <row r="187" spans="1:7" ht="12.5">
      <c r="A187" s="2"/>
      <c r="B187" s="2"/>
      <c r="C187" s="2"/>
      <c r="D187" s="2"/>
      <c r="E187" s="2"/>
      <c r="F187" s="2"/>
      <c r="G187" s="2"/>
    </row>
    <row r="188" spans="1:7" ht="12.5">
      <c r="A188" s="2"/>
      <c r="B188" s="2"/>
      <c r="C188" s="2"/>
      <c r="D188" s="2"/>
      <c r="E188" s="2"/>
      <c r="F188" s="2"/>
      <c r="G188" s="2"/>
    </row>
    <row r="189" spans="1:7" ht="12.5">
      <c r="A189" s="2"/>
      <c r="B189" s="2"/>
      <c r="C189" s="2"/>
      <c r="D189" s="2"/>
      <c r="E189" s="2"/>
      <c r="F189" s="2"/>
      <c r="G189" s="2"/>
    </row>
    <row r="190" spans="1:7" ht="12.5">
      <c r="A190" s="2"/>
      <c r="B190" s="2"/>
      <c r="C190" s="2"/>
      <c r="D190" s="2"/>
      <c r="E190" s="2"/>
      <c r="F190" s="2"/>
      <c r="G190" s="2"/>
    </row>
    <row r="191" spans="1:7" ht="12.5">
      <c r="A191" s="2"/>
      <c r="B191" s="2"/>
      <c r="C191" s="2"/>
      <c r="D191" s="2"/>
      <c r="E191" s="2"/>
      <c r="F191" s="2"/>
      <c r="G191" s="2"/>
    </row>
    <row r="192" spans="1:7" ht="12.5">
      <c r="A192" s="2"/>
      <c r="B192" s="2"/>
      <c r="C192" s="2"/>
      <c r="D192" s="2"/>
      <c r="E192" s="2"/>
      <c r="F192" s="2"/>
      <c r="G192" s="2"/>
    </row>
    <row r="193" spans="1:7" ht="12.5">
      <c r="A193" s="2"/>
      <c r="B193" s="2"/>
      <c r="C193" s="2"/>
      <c r="D193" s="2"/>
      <c r="E193" s="2"/>
      <c r="F193" s="2"/>
      <c r="G193" s="2"/>
    </row>
    <row r="194" spans="1:7" ht="12.5">
      <c r="A194" s="2"/>
      <c r="B194" s="2"/>
      <c r="C194" s="2"/>
      <c r="D194" s="2"/>
      <c r="E194" s="2"/>
      <c r="F194" s="2"/>
      <c r="G194" s="2"/>
    </row>
    <row r="195" spans="1:7" ht="12.5">
      <c r="A195" s="2"/>
      <c r="B195" s="2"/>
      <c r="C195" s="2"/>
      <c r="D195" s="2"/>
      <c r="E195" s="2"/>
      <c r="F195" s="2"/>
      <c r="G195" s="2"/>
    </row>
    <row r="196" spans="1:7" ht="12.5">
      <c r="A196" s="2"/>
      <c r="B196" s="2"/>
      <c r="C196" s="2"/>
      <c r="D196" s="2"/>
      <c r="E196" s="2"/>
      <c r="F196" s="2"/>
      <c r="G196" s="2"/>
    </row>
    <row r="197" spans="1:7" ht="12.5">
      <c r="A197" s="2"/>
      <c r="B197" s="2"/>
      <c r="C197" s="2"/>
      <c r="D197" s="2"/>
      <c r="E197" s="2"/>
      <c r="F197" s="2"/>
      <c r="G197" s="2"/>
    </row>
    <row r="198" spans="1:7" ht="12.5">
      <c r="A198" s="2"/>
      <c r="B198" s="2"/>
      <c r="C198" s="2"/>
      <c r="D198" s="2"/>
      <c r="E198" s="2"/>
      <c r="F198" s="2"/>
      <c r="G198" s="2"/>
    </row>
    <row r="199" spans="1:7" ht="12.5">
      <c r="A199" s="2"/>
      <c r="B199" s="2"/>
      <c r="C199" s="2"/>
      <c r="D199" s="2"/>
      <c r="E199" s="2"/>
      <c r="F199" s="2"/>
      <c r="G199" s="2"/>
    </row>
    <row r="200" spans="1:7" ht="12.5">
      <c r="A200" s="2"/>
      <c r="B200" s="2"/>
      <c r="C200" s="2"/>
      <c r="D200" s="2"/>
      <c r="E200" s="2"/>
      <c r="F200" s="2"/>
      <c r="G200" s="2"/>
    </row>
    <row r="201" spans="1:7" ht="12.5">
      <c r="A201" s="2"/>
      <c r="B201" s="2"/>
      <c r="C201" s="2"/>
      <c r="D201" s="2"/>
      <c r="E201" s="2"/>
      <c r="F201" s="2"/>
      <c r="G201" s="2"/>
    </row>
    <row r="202" spans="1:7" ht="12.5">
      <c r="A202" s="2"/>
      <c r="B202" s="2"/>
      <c r="C202" s="2"/>
      <c r="D202" s="2"/>
      <c r="E202" s="2"/>
      <c r="F202" s="2"/>
      <c r="G202" s="2"/>
    </row>
    <row r="203" spans="1:7" ht="12.5">
      <c r="A203" s="2"/>
      <c r="B203" s="2"/>
      <c r="C203" s="2"/>
      <c r="D203" s="2"/>
      <c r="E203" s="2"/>
      <c r="F203" s="2"/>
      <c r="G203" s="2"/>
    </row>
    <row r="204" spans="1:7" ht="12.5">
      <c r="A204" s="2"/>
      <c r="B204" s="2"/>
      <c r="C204" s="2"/>
      <c r="D204" s="2"/>
      <c r="E204" s="2"/>
      <c r="F204" s="2"/>
      <c r="G204" s="2"/>
    </row>
    <row r="205" spans="1:7" ht="12.5">
      <c r="A205" s="2"/>
      <c r="B205" s="2"/>
      <c r="C205" s="2"/>
      <c r="D205" s="2"/>
      <c r="E205" s="2"/>
      <c r="F205" s="2"/>
      <c r="G205" s="2"/>
    </row>
    <row r="206" spans="1:7" ht="12.5">
      <c r="A206" s="2"/>
      <c r="B206" s="2"/>
      <c r="C206" s="2"/>
      <c r="D206" s="2"/>
      <c r="E206" s="2"/>
      <c r="F206" s="2"/>
      <c r="G206" s="2"/>
    </row>
    <row r="207" spans="1:7" ht="12.5">
      <c r="A207" s="2"/>
      <c r="B207" s="2"/>
      <c r="C207" s="2"/>
      <c r="D207" s="2"/>
      <c r="E207" s="2"/>
      <c r="F207" s="2"/>
      <c r="G207" s="2"/>
    </row>
    <row r="208" spans="1:7" ht="12.5">
      <c r="A208" s="2"/>
      <c r="B208" s="2"/>
      <c r="C208" s="2"/>
      <c r="D208" s="2"/>
      <c r="E208" s="2"/>
      <c r="F208" s="2"/>
      <c r="G208" s="2"/>
    </row>
    <row r="209" spans="1:7" ht="12.5">
      <c r="A209" s="2"/>
      <c r="B209" s="2"/>
      <c r="C209" s="2"/>
      <c r="D209" s="2"/>
      <c r="E209" s="2"/>
      <c r="F209" s="2"/>
      <c r="G209" s="2"/>
    </row>
    <row r="210" spans="1:7" ht="12.5">
      <c r="A210" s="2"/>
      <c r="B210" s="2"/>
      <c r="C210" s="2"/>
      <c r="D210" s="2"/>
      <c r="E210" s="2"/>
      <c r="F210" s="2"/>
      <c r="G210" s="2"/>
    </row>
    <row r="211" spans="1:7" ht="12.5">
      <c r="A211" s="2"/>
      <c r="B211" s="2"/>
      <c r="C211" s="2"/>
      <c r="D211" s="2"/>
      <c r="E211" s="2"/>
      <c r="F211" s="2"/>
      <c r="G211" s="2"/>
    </row>
    <row r="212" spans="1:7" ht="12.5">
      <c r="A212" s="2"/>
      <c r="B212" s="2"/>
      <c r="C212" s="2"/>
      <c r="D212" s="2"/>
      <c r="E212" s="2"/>
      <c r="F212" s="2"/>
      <c r="G212" s="2"/>
    </row>
    <row r="213" spans="1:7" ht="12.5">
      <c r="A213" s="2"/>
      <c r="B213" s="2"/>
      <c r="C213" s="2"/>
      <c r="D213" s="2"/>
      <c r="E213" s="2"/>
      <c r="F213" s="2"/>
      <c r="G213" s="2"/>
    </row>
    <row r="214" spans="1:7" ht="12.5">
      <c r="A214" s="2"/>
      <c r="B214" s="2"/>
      <c r="C214" s="2"/>
      <c r="D214" s="2"/>
      <c r="E214" s="2"/>
      <c r="F214" s="2"/>
      <c r="G214" s="2"/>
    </row>
    <row r="215" spans="1:7" ht="12.5">
      <c r="A215" s="2"/>
      <c r="B215" s="2"/>
      <c r="C215" s="2"/>
      <c r="D215" s="2"/>
      <c r="E215" s="2"/>
      <c r="F215" s="2"/>
      <c r="G215" s="2"/>
    </row>
    <row r="216" spans="1:7" ht="12.5">
      <c r="A216" s="2"/>
      <c r="B216" s="2"/>
      <c r="C216" s="2"/>
      <c r="D216" s="2"/>
      <c r="E216" s="2"/>
      <c r="F216" s="2"/>
      <c r="G216" s="2"/>
    </row>
    <row r="217" spans="1:7" ht="12.5">
      <c r="A217" s="2"/>
      <c r="B217" s="2"/>
      <c r="C217" s="2"/>
      <c r="D217" s="2"/>
      <c r="E217" s="2"/>
      <c r="F217" s="2"/>
      <c r="G217" s="2"/>
    </row>
    <row r="218" spans="1:7" ht="12.5">
      <c r="A218" s="2"/>
      <c r="B218" s="2"/>
      <c r="C218" s="2"/>
      <c r="D218" s="2"/>
      <c r="E218" s="2"/>
      <c r="F218" s="2"/>
      <c r="G218" s="2"/>
    </row>
    <row r="219" spans="1:7" ht="12.5">
      <c r="A219" s="2"/>
      <c r="B219" s="2"/>
      <c r="C219" s="2"/>
      <c r="D219" s="2"/>
      <c r="E219" s="2"/>
      <c r="F219" s="2"/>
      <c r="G219" s="2"/>
    </row>
    <row r="220" spans="1:7" ht="12.5">
      <c r="A220" s="2"/>
      <c r="B220" s="2"/>
      <c r="C220" s="2"/>
      <c r="D220" s="2"/>
      <c r="E220" s="2"/>
      <c r="F220" s="2"/>
      <c r="G220" s="2"/>
    </row>
    <row r="221" spans="1:7" ht="12.5">
      <c r="A221" s="2"/>
      <c r="B221" s="2"/>
      <c r="C221" s="2"/>
      <c r="D221" s="2"/>
      <c r="E221" s="2"/>
      <c r="F221" s="2"/>
      <c r="G221" s="2"/>
    </row>
    <row r="222" spans="1:7" ht="12.5">
      <c r="A222" s="2"/>
      <c r="B222" s="2"/>
      <c r="C222" s="2"/>
      <c r="D222" s="2"/>
      <c r="E222" s="2"/>
      <c r="F222" s="2"/>
      <c r="G222" s="2"/>
    </row>
    <row r="223" spans="1:7" ht="12.5">
      <c r="A223" s="2"/>
      <c r="B223" s="2"/>
      <c r="C223" s="2"/>
      <c r="D223" s="2"/>
      <c r="E223" s="2"/>
      <c r="F223" s="2"/>
      <c r="G223" s="2"/>
    </row>
    <row r="224" spans="1:7" ht="12.5">
      <c r="A224" s="2"/>
      <c r="B224" s="2"/>
      <c r="C224" s="2"/>
      <c r="D224" s="2"/>
      <c r="E224" s="2"/>
      <c r="F224" s="2"/>
      <c r="G224" s="2"/>
    </row>
    <row r="225" spans="1:7" ht="12.5">
      <c r="A225" s="2"/>
      <c r="B225" s="2"/>
      <c r="C225" s="2"/>
      <c r="D225" s="2"/>
      <c r="E225" s="2"/>
      <c r="F225" s="2"/>
      <c r="G225" s="2"/>
    </row>
    <row r="226" spans="1:7" ht="12.5">
      <c r="A226" s="2"/>
      <c r="B226" s="2"/>
      <c r="C226" s="2"/>
      <c r="D226" s="2"/>
      <c r="E226" s="2"/>
      <c r="F226" s="2"/>
      <c r="G226" s="2"/>
    </row>
    <row r="227" spans="1:7" ht="12.5">
      <c r="A227" s="2"/>
      <c r="B227" s="2"/>
      <c r="C227" s="2"/>
      <c r="D227" s="2"/>
      <c r="E227" s="2"/>
      <c r="F227" s="2"/>
      <c r="G227" s="2"/>
    </row>
    <row r="228" spans="1:7" ht="12.5">
      <c r="A228" s="2"/>
      <c r="B228" s="2"/>
      <c r="C228" s="2"/>
      <c r="D228" s="2"/>
      <c r="E228" s="2"/>
      <c r="F228" s="2"/>
      <c r="G228" s="2"/>
    </row>
    <row r="229" spans="1:7" ht="12.5">
      <c r="A229" s="2"/>
      <c r="B229" s="2"/>
      <c r="C229" s="2"/>
      <c r="D229" s="2"/>
      <c r="E229" s="2"/>
      <c r="F229" s="2"/>
      <c r="G229" s="2"/>
    </row>
    <row r="230" spans="1:7" ht="12.5">
      <c r="A230" s="2"/>
      <c r="B230" s="2"/>
      <c r="C230" s="2"/>
      <c r="D230" s="2"/>
      <c r="E230" s="2"/>
      <c r="F230" s="2"/>
      <c r="G230" s="2"/>
    </row>
    <row r="231" spans="1:7" ht="12.5">
      <c r="A231" s="2"/>
      <c r="B231" s="2"/>
      <c r="C231" s="2"/>
      <c r="D231" s="2"/>
      <c r="E231" s="2"/>
      <c r="F231" s="2"/>
      <c r="G231" s="2"/>
    </row>
    <row r="232" spans="1:7" ht="12.5">
      <c r="A232" s="2"/>
      <c r="B232" s="2"/>
      <c r="C232" s="2"/>
      <c r="D232" s="2"/>
      <c r="E232" s="2"/>
      <c r="F232" s="2"/>
      <c r="G232" s="2"/>
    </row>
    <row r="233" spans="1:7" ht="12.5">
      <c r="A233" s="2"/>
      <c r="B233" s="2"/>
      <c r="C233" s="2"/>
      <c r="D233" s="2"/>
      <c r="E233" s="2"/>
      <c r="F233" s="2"/>
      <c r="G233" s="2"/>
    </row>
    <row r="234" spans="1:7" ht="12.5">
      <c r="A234" s="2"/>
      <c r="B234" s="2"/>
      <c r="C234" s="2"/>
      <c r="D234" s="2"/>
      <c r="E234" s="2"/>
      <c r="F234" s="2"/>
      <c r="G234" s="2"/>
    </row>
    <row r="235" spans="1:7" ht="12.5">
      <c r="A235" s="2"/>
      <c r="B235" s="2"/>
      <c r="C235" s="2"/>
      <c r="D235" s="2"/>
      <c r="E235" s="2"/>
      <c r="F235" s="2"/>
      <c r="G235" s="2"/>
    </row>
    <row r="236" spans="1:7" ht="12.5">
      <c r="A236" s="2"/>
      <c r="B236" s="2"/>
      <c r="C236" s="2"/>
      <c r="D236" s="2"/>
      <c r="E236" s="2"/>
      <c r="F236" s="2"/>
      <c r="G236" s="2"/>
    </row>
    <row r="237" spans="1:7" ht="12.5">
      <c r="A237" s="2"/>
      <c r="B237" s="2"/>
      <c r="C237" s="2"/>
      <c r="D237" s="2"/>
      <c r="E237" s="2"/>
      <c r="F237" s="2"/>
      <c r="G237" s="2"/>
    </row>
    <row r="238" spans="1:7" ht="12.5">
      <c r="A238" s="2"/>
      <c r="B238" s="2"/>
      <c r="C238" s="2"/>
      <c r="D238" s="2"/>
      <c r="E238" s="2"/>
      <c r="F238" s="2"/>
      <c r="G238" s="2"/>
    </row>
    <row r="239" spans="1:7" ht="12.5">
      <c r="A239" s="2"/>
      <c r="B239" s="2"/>
      <c r="C239" s="2"/>
      <c r="D239" s="2"/>
      <c r="E239" s="2"/>
      <c r="F239" s="2"/>
      <c r="G239" s="2"/>
    </row>
    <row r="240" spans="1:7" ht="12.5">
      <c r="A240" s="2"/>
      <c r="B240" s="2"/>
      <c r="C240" s="2"/>
      <c r="D240" s="2"/>
      <c r="E240" s="2"/>
      <c r="F240" s="2"/>
      <c r="G240" s="2"/>
    </row>
    <row r="241" spans="1:7" ht="12.5">
      <c r="A241" s="2"/>
      <c r="B241" s="2"/>
      <c r="C241" s="2"/>
      <c r="D241" s="2"/>
      <c r="E241" s="2"/>
      <c r="F241" s="2"/>
      <c r="G241" s="2"/>
    </row>
    <row r="242" spans="1:7" ht="12.5">
      <c r="A242" s="2"/>
      <c r="B242" s="2"/>
      <c r="C242" s="2"/>
      <c r="D242" s="2"/>
      <c r="E242" s="2"/>
      <c r="F242" s="2"/>
      <c r="G242" s="2"/>
    </row>
    <row r="243" spans="1:7" ht="12.5">
      <c r="A243" s="2"/>
      <c r="B243" s="2"/>
      <c r="C243" s="2"/>
      <c r="D243" s="2"/>
      <c r="E243" s="2"/>
      <c r="F243" s="2"/>
      <c r="G243" s="2"/>
    </row>
    <row r="244" spans="1:7" ht="12.5">
      <c r="A244" s="2"/>
      <c r="B244" s="2"/>
      <c r="C244" s="2"/>
      <c r="D244" s="2"/>
      <c r="E244" s="2"/>
      <c r="F244" s="2"/>
      <c r="G244" s="2"/>
    </row>
    <row r="245" spans="1:7" ht="12.5">
      <c r="A245" s="2"/>
      <c r="B245" s="2"/>
      <c r="C245" s="2"/>
      <c r="D245" s="2"/>
      <c r="E245" s="2"/>
      <c r="F245" s="2"/>
      <c r="G245" s="2"/>
    </row>
    <row r="246" spans="1:7" ht="12.5">
      <c r="A246" s="2"/>
      <c r="B246" s="2"/>
      <c r="C246" s="2"/>
      <c r="D246" s="2"/>
      <c r="E246" s="2"/>
      <c r="F246" s="2"/>
      <c r="G246" s="2"/>
    </row>
    <row r="247" spans="1:7" ht="12.5">
      <c r="A247" s="2"/>
      <c r="B247" s="2"/>
      <c r="C247" s="2"/>
      <c r="D247" s="2"/>
      <c r="E247" s="2"/>
      <c r="F247" s="2"/>
      <c r="G247" s="2"/>
    </row>
    <row r="248" spans="1:7" ht="12.5">
      <c r="A248" s="2"/>
      <c r="B248" s="2"/>
      <c r="C248" s="2"/>
      <c r="D248" s="2"/>
      <c r="E248" s="2"/>
      <c r="F248" s="2"/>
      <c r="G248" s="2"/>
    </row>
    <row r="249" spans="1:7" ht="12.5">
      <c r="A249" s="2"/>
      <c r="B249" s="2"/>
      <c r="C249" s="2"/>
      <c r="D249" s="2"/>
      <c r="E249" s="2"/>
      <c r="F249" s="2"/>
      <c r="G249" s="2"/>
    </row>
    <row r="250" spans="1:7" ht="12.5">
      <c r="A250" s="2"/>
      <c r="B250" s="2"/>
      <c r="C250" s="2"/>
      <c r="D250" s="2"/>
      <c r="E250" s="2"/>
      <c r="F250" s="2"/>
      <c r="G250" s="2"/>
    </row>
    <row r="251" spans="1:7" ht="12.5">
      <c r="A251" s="2"/>
      <c r="B251" s="2"/>
      <c r="C251" s="2"/>
      <c r="D251" s="2"/>
      <c r="E251" s="2"/>
      <c r="F251" s="2"/>
      <c r="G251" s="2"/>
    </row>
    <row r="252" spans="1:7" ht="12.5">
      <c r="A252" s="2"/>
      <c r="B252" s="2"/>
      <c r="C252" s="2"/>
      <c r="D252" s="2"/>
      <c r="E252" s="2"/>
      <c r="F252" s="2"/>
      <c r="G252" s="2"/>
    </row>
    <row r="253" spans="1:7" ht="12.5">
      <c r="A253" s="2"/>
      <c r="B253" s="2"/>
      <c r="C253" s="2"/>
      <c r="D253" s="2"/>
      <c r="E253" s="2"/>
      <c r="F253" s="2"/>
      <c r="G253" s="2"/>
    </row>
    <row r="254" spans="1:7" ht="12.5">
      <c r="A254" s="2"/>
      <c r="B254" s="2"/>
      <c r="C254" s="2"/>
      <c r="D254" s="2"/>
      <c r="E254" s="2"/>
      <c r="F254" s="2"/>
      <c r="G254" s="2"/>
    </row>
    <row r="255" spans="1:7" ht="12.5">
      <c r="A255" s="2"/>
      <c r="B255" s="2"/>
      <c r="C255" s="2"/>
      <c r="D255" s="2"/>
      <c r="E255" s="2"/>
      <c r="F255" s="2"/>
      <c r="G255" s="2"/>
    </row>
    <row r="256" spans="1:7" ht="12.5">
      <c r="A256" s="2"/>
      <c r="B256" s="2"/>
      <c r="C256" s="2"/>
      <c r="D256" s="2"/>
      <c r="E256" s="2"/>
      <c r="F256" s="2"/>
      <c r="G256" s="2"/>
    </row>
    <row r="257" spans="1:7" ht="12.5">
      <c r="A257" s="2"/>
      <c r="B257" s="2"/>
      <c r="C257" s="2"/>
      <c r="D257" s="2"/>
      <c r="E257" s="2"/>
      <c r="F257" s="2"/>
      <c r="G257" s="2"/>
    </row>
    <row r="258" spans="1:7" ht="12.5">
      <c r="A258" s="2"/>
      <c r="B258" s="2"/>
      <c r="C258" s="2"/>
      <c r="D258" s="2"/>
      <c r="E258" s="2"/>
      <c r="F258" s="2"/>
      <c r="G258" s="2"/>
    </row>
    <row r="259" spans="1:7" ht="12.5">
      <c r="A259" s="2"/>
      <c r="B259" s="2"/>
      <c r="C259" s="2"/>
      <c r="D259" s="2"/>
      <c r="E259" s="2"/>
      <c r="F259" s="2"/>
      <c r="G259" s="2"/>
    </row>
    <row r="260" spans="1:7" ht="12.5">
      <c r="A260" s="2"/>
      <c r="B260" s="2"/>
      <c r="C260" s="2"/>
      <c r="D260" s="2"/>
      <c r="E260" s="2"/>
      <c r="F260" s="2"/>
      <c r="G260" s="2"/>
    </row>
    <row r="261" spans="1:7" ht="12.5">
      <c r="A261" s="2"/>
      <c r="B261" s="2"/>
      <c r="C261" s="2"/>
      <c r="D261" s="2"/>
      <c r="E261" s="2"/>
      <c r="F261" s="2"/>
      <c r="G261" s="2"/>
    </row>
    <row r="262" spans="1:7" ht="12.5">
      <c r="A262" s="2"/>
      <c r="B262" s="2"/>
      <c r="C262" s="2"/>
      <c r="D262" s="2"/>
      <c r="E262" s="2"/>
      <c r="F262" s="2"/>
      <c r="G262" s="2"/>
    </row>
    <row r="263" spans="1:7" ht="12.5">
      <c r="A263" s="2"/>
      <c r="B263" s="2"/>
      <c r="C263" s="2"/>
      <c r="D263" s="2"/>
      <c r="E263" s="2"/>
      <c r="F263" s="2"/>
      <c r="G263" s="2"/>
    </row>
    <row r="264" spans="1:7" ht="12.5">
      <c r="A264" s="2"/>
      <c r="B264" s="2"/>
      <c r="C264" s="2"/>
      <c r="D264" s="2"/>
      <c r="E264" s="2"/>
      <c r="F264" s="2"/>
      <c r="G264" s="2"/>
    </row>
    <row r="265" spans="1:7" ht="12.5">
      <c r="A265" s="2"/>
      <c r="B265" s="2"/>
      <c r="C265" s="2"/>
      <c r="D265" s="2"/>
      <c r="E265" s="2"/>
      <c r="F265" s="2"/>
      <c r="G265" s="2"/>
    </row>
    <row r="266" spans="1:7" ht="12.5">
      <c r="A266" s="2"/>
      <c r="B266" s="2"/>
      <c r="C266" s="2"/>
      <c r="D266" s="2"/>
      <c r="E266" s="2"/>
      <c r="F266" s="2"/>
      <c r="G266" s="2"/>
    </row>
    <row r="267" spans="1:7" ht="12.5">
      <c r="A267" s="2"/>
      <c r="B267" s="2"/>
      <c r="C267" s="2"/>
      <c r="D267" s="2"/>
      <c r="E267" s="2"/>
      <c r="F267" s="2"/>
      <c r="G267" s="2"/>
    </row>
    <row r="268" spans="1:7" ht="12.5">
      <c r="A268" s="2"/>
      <c r="B268" s="2"/>
      <c r="C268" s="2"/>
      <c r="D268" s="2"/>
      <c r="E268" s="2"/>
      <c r="F268" s="2"/>
      <c r="G268" s="2"/>
    </row>
    <row r="269" spans="1:7" ht="12.5">
      <c r="A269" s="2"/>
      <c r="B269" s="2"/>
      <c r="C269" s="2"/>
      <c r="D269" s="2"/>
      <c r="E269" s="2"/>
      <c r="F269" s="2"/>
      <c r="G269" s="2"/>
    </row>
    <row r="270" spans="1:7" ht="12.5">
      <c r="A270" s="2"/>
      <c r="B270" s="2"/>
      <c r="C270" s="2"/>
      <c r="D270" s="2"/>
      <c r="E270" s="2"/>
      <c r="F270" s="2"/>
      <c r="G270" s="2"/>
    </row>
    <row r="271" spans="1:7" ht="12.5">
      <c r="A271" s="2"/>
      <c r="B271" s="2"/>
      <c r="C271" s="2"/>
      <c r="D271" s="2"/>
      <c r="E271" s="2"/>
      <c r="F271" s="2"/>
      <c r="G271" s="2"/>
    </row>
    <row r="272" spans="1:7" ht="12.5">
      <c r="A272" s="2"/>
      <c r="B272" s="2"/>
      <c r="C272" s="2"/>
      <c r="D272" s="2"/>
      <c r="E272" s="2"/>
      <c r="F272" s="2"/>
      <c r="G272" s="2"/>
    </row>
    <row r="273" spans="1:7" ht="12.5">
      <c r="A273" s="2"/>
      <c r="B273" s="2"/>
      <c r="C273" s="2"/>
      <c r="D273" s="2"/>
      <c r="E273" s="2"/>
      <c r="F273" s="2"/>
      <c r="G273" s="2"/>
    </row>
    <row r="274" spans="1:7" ht="12.5">
      <c r="A274" s="2"/>
      <c r="B274" s="2"/>
      <c r="C274" s="2"/>
      <c r="D274" s="2"/>
      <c r="E274" s="2"/>
      <c r="F274" s="2"/>
      <c r="G274" s="2"/>
    </row>
    <row r="275" spans="1:7" ht="12.5">
      <c r="A275" s="2"/>
      <c r="B275" s="2"/>
      <c r="C275" s="2"/>
      <c r="D275" s="2"/>
      <c r="E275" s="2"/>
      <c r="F275" s="2"/>
      <c r="G275" s="2"/>
    </row>
    <row r="276" spans="1:7" ht="12.5">
      <c r="A276" s="2"/>
      <c r="B276" s="2"/>
      <c r="C276" s="2"/>
      <c r="D276" s="2"/>
      <c r="E276" s="2"/>
      <c r="F276" s="2"/>
      <c r="G276" s="2"/>
    </row>
    <row r="277" spans="1:7" ht="12.5">
      <c r="A277" s="2"/>
      <c r="B277" s="2"/>
      <c r="C277" s="2"/>
      <c r="D277" s="2"/>
      <c r="E277" s="2"/>
      <c r="F277" s="2"/>
      <c r="G277" s="2"/>
    </row>
    <row r="278" spans="1:7" ht="12.5">
      <c r="A278" s="2"/>
      <c r="B278" s="2"/>
      <c r="C278" s="2"/>
      <c r="D278" s="2"/>
      <c r="E278" s="2"/>
      <c r="F278" s="2"/>
      <c r="G278" s="2"/>
    </row>
    <row r="279" spans="1:7" ht="12.5">
      <c r="A279" s="2"/>
      <c r="B279" s="2"/>
      <c r="C279" s="2"/>
      <c r="D279" s="2"/>
      <c r="E279" s="2"/>
      <c r="F279" s="2"/>
      <c r="G279" s="2"/>
    </row>
    <row r="280" spans="1:7" ht="12.5">
      <c r="A280" s="2"/>
      <c r="B280" s="2"/>
      <c r="C280" s="2"/>
      <c r="D280" s="2"/>
      <c r="E280" s="2"/>
      <c r="F280" s="2"/>
      <c r="G280" s="2"/>
    </row>
    <row r="281" spans="1:7" ht="12.5">
      <c r="A281" s="2"/>
      <c r="B281" s="2"/>
      <c r="C281" s="2"/>
      <c r="D281" s="2"/>
      <c r="E281" s="2"/>
      <c r="F281" s="2"/>
      <c r="G281" s="2"/>
    </row>
    <row r="282" spans="1:7" ht="12.5">
      <c r="A282" s="2"/>
      <c r="B282" s="2"/>
      <c r="C282" s="2"/>
      <c r="D282" s="2"/>
      <c r="E282" s="2"/>
      <c r="F282" s="2"/>
      <c r="G282" s="2"/>
    </row>
    <row r="283" spans="1:7" ht="12.5">
      <c r="A283" s="2"/>
      <c r="B283" s="2"/>
      <c r="C283" s="2"/>
      <c r="D283" s="2"/>
      <c r="E283" s="2"/>
      <c r="F283" s="2"/>
      <c r="G283" s="2"/>
    </row>
    <row r="284" spans="1:7" ht="12.5">
      <c r="A284" s="2"/>
      <c r="B284" s="2"/>
      <c r="C284" s="2"/>
      <c r="D284" s="2"/>
      <c r="E284" s="2"/>
      <c r="F284" s="2"/>
      <c r="G284" s="2"/>
    </row>
    <row r="285" spans="1:7" ht="12.5">
      <c r="A285" s="2"/>
      <c r="B285" s="2"/>
      <c r="C285" s="2"/>
      <c r="D285" s="2"/>
      <c r="E285" s="2"/>
      <c r="F285" s="2"/>
      <c r="G285" s="2"/>
    </row>
    <row r="286" spans="1:7" ht="12.5">
      <c r="A286" s="2"/>
      <c r="B286" s="2"/>
      <c r="C286" s="2"/>
      <c r="D286" s="2"/>
      <c r="E286" s="2"/>
      <c r="F286" s="2"/>
      <c r="G286" s="2"/>
    </row>
    <row r="287" spans="1:7" ht="12.5">
      <c r="A287" s="2"/>
      <c r="B287" s="2"/>
      <c r="C287" s="2"/>
      <c r="D287" s="2"/>
      <c r="E287" s="2"/>
      <c r="F287" s="2"/>
      <c r="G287" s="2"/>
    </row>
    <row r="288" spans="1:7" ht="12.5">
      <c r="A288" s="2"/>
      <c r="B288" s="2"/>
      <c r="C288" s="2"/>
      <c r="D288" s="2"/>
      <c r="E288" s="2"/>
      <c r="F288" s="2"/>
      <c r="G288" s="2"/>
    </row>
    <row r="289" spans="1:7" ht="12.5">
      <c r="A289" s="2"/>
      <c r="B289" s="2"/>
      <c r="C289" s="2"/>
      <c r="D289" s="2"/>
      <c r="E289" s="2"/>
      <c r="F289" s="2"/>
      <c r="G289" s="2"/>
    </row>
    <row r="290" spans="1:7" ht="12.5">
      <c r="A290" s="2"/>
      <c r="B290" s="2"/>
      <c r="C290" s="2"/>
      <c r="D290" s="2"/>
      <c r="E290" s="2"/>
      <c r="F290" s="2"/>
      <c r="G290" s="2"/>
    </row>
    <row r="291" spans="1:7" ht="12.5">
      <c r="A291" s="2"/>
      <c r="B291" s="2"/>
      <c r="C291" s="2"/>
      <c r="D291" s="2"/>
      <c r="E291" s="2"/>
      <c r="F291" s="2"/>
      <c r="G291" s="2"/>
    </row>
    <row r="292" spans="1:7" ht="12.5">
      <c r="A292" s="2"/>
      <c r="B292" s="2"/>
      <c r="C292" s="2"/>
      <c r="D292" s="2"/>
      <c r="E292" s="2"/>
      <c r="F292" s="2"/>
      <c r="G292" s="2"/>
    </row>
    <row r="293" spans="1:7" ht="12.5">
      <c r="A293" s="2"/>
      <c r="B293" s="2"/>
      <c r="C293" s="2"/>
      <c r="D293" s="2"/>
      <c r="E293" s="2"/>
      <c r="F293" s="2"/>
      <c r="G293" s="2"/>
    </row>
    <row r="294" spans="1:7" ht="12.5">
      <c r="A294" s="2"/>
      <c r="B294" s="2"/>
      <c r="C294" s="2"/>
      <c r="D294" s="2"/>
      <c r="E294" s="2"/>
      <c r="F294" s="2"/>
      <c r="G294" s="2"/>
    </row>
    <row r="295" spans="1:7" ht="12.5">
      <c r="A295" s="2"/>
      <c r="B295" s="2"/>
      <c r="C295" s="2"/>
      <c r="D295" s="2"/>
      <c r="E295" s="2"/>
      <c r="F295" s="2"/>
      <c r="G295" s="2"/>
    </row>
    <row r="296" spans="1:7" ht="12.5">
      <c r="A296" s="2"/>
      <c r="B296" s="2"/>
      <c r="C296" s="2"/>
      <c r="D296" s="2"/>
      <c r="E296" s="2"/>
      <c r="F296" s="2"/>
      <c r="G296" s="2"/>
    </row>
    <row r="297" spans="1:7" ht="12.5">
      <c r="A297" s="2"/>
      <c r="B297" s="2"/>
      <c r="C297" s="2"/>
      <c r="D297" s="2"/>
      <c r="E297" s="2"/>
      <c r="F297" s="2"/>
      <c r="G297" s="2"/>
    </row>
    <row r="298" spans="1:7" ht="12.5">
      <c r="A298" s="2"/>
      <c r="B298" s="2"/>
      <c r="C298" s="2"/>
      <c r="D298" s="2"/>
      <c r="E298" s="2"/>
      <c r="F298" s="2"/>
      <c r="G298" s="2"/>
    </row>
    <row r="299" spans="1:7" ht="12.5">
      <c r="A299" s="2"/>
      <c r="B299" s="2"/>
      <c r="C299" s="2"/>
      <c r="D299" s="2"/>
      <c r="E299" s="2"/>
      <c r="F299" s="2"/>
      <c r="G299" s="2"/>
    </row>
    <row r="300" spans="1:7" ht="12.5">
      <c r="A300" s="2"/>
      <c r="B300" s="2"/>
      <c r="C300" s="2"/>
      <c r="D300" s="2"/>
      <c r="E300" s="2"/>
      <c r="F300" s="2"/>
      <c r="G300" s="2"/>
    </row>
    <row r="301" spans="1:7" ht="12.5">
      <c r="A301" s="2"/>
      <c r="B301" s="2"/>
      <c r="C301" s="2"/>
      <c r="D301" s="2"/>
      <c r="E301" s="2"/>
      <c r="F301" s="2"/>
      <c r="G301" s="2"/>
    </row>
    <row r="302" spans="1:7" ht="12.5">
      <c r="A302" s="2"/>
      <c r="B302" s="2"/>
      <c r="C302" s="2"/>
      <c r="D302" s="2"/>
      <c r="E302" s="2"/>
      <c r="F302" s="2"/>
      <c r="G302" s="2"/>
    </row>
    <row r="303" spans="1:7" ht="12.5">
      <c r="A303" s="2"/>
      <c r="B303" s="2"/>
      <c r="C303" s="2"/>
      <c r="D303" s="2"/>
      <c r="E303" s="2"/>
      <c r="F303" s="2"/>
      <c r="G303" s="2"/>
    </row>
    <row r="304" spans="1:7" ht="12.5">
      <c r="A304" s="2"/>
      <c r="B304" s="2"/>
      <c r="C304" s="2"/>
      <c r="D304" s="2"/>
      <c r="E304" s="2"/>
      <c r="F304" s="2"/>
      <c r="G304" s="2"/>
    </row>
    <row r="305" spans="1:7" ht="12.5">
      <c r="A305" s="2"/>
      <c r="B305" s="2"/>
      <c r="C305" s="2"/>
      <c r="D305" s="2"/>
      <c r="E305" s="2"/>
      <c r="F305" s="2"/>
      <c r="G305" s="2"/>
    </row>
    <row r="306" spans="1:7" ht="12.5">
      <c r="A306" s="2"/>
      <c r="B306" s="2"/>
      <c r="C306" s="2"/>
      <c r="D306" s="2"/>
      <c r="E306" s="2"/>
      <c r="F306" s="2"/>
      <c r="G306" s="2"/>
    </row>
    <row r="307" spans="1:7" ht="12.5">
      <c r="A307" s="2"/>
      <c r="B307" s="2"/>
      <c r="C307" s="2"/>
      <c r="D307" s="2"/>
      <c r="E307" s="2"/>
      <c r="F307" s="2"/>
      <c r="G307" s="2"/>
    </row>
    <row r="308" spans="1:7" ht="12.5">
      <c r="A308" s="2"/>
      <c r="B308" s="2"/>
      <c r="C308" s="2"/>
      <c r="D308" s="2"/>
      <c r="E308" s="2"/>
      <c r="F308" s="2"/>
      <c r="G308" s="2"/>
    </row>
    <row r="309" spans="1:7" ht="12.5">
      <c r="A309" s="2"/>
      <c r="B309" s="2"/>
      <c r="C309" s="2"/>
      <c r="D309" s="2"/>
      <c r="E309" s="2"/>
      <c r="F309" s="2"/>
      <c r="G309" s="2"/>
    </row>
    <row r="310" spans="1:7" ht="12.5">
      <c r="A310" s="2"/>
      <c r="B310" s="2"/>
      <c r="C310" s="2"/>
      <c r="D310" s="2"/>
      <c r="E310" s="2"/>
      <c r="F310" s="2"/>
      <c r="G310" s="2"/>
    </row>
    <row r="311" spans="1:7" ht="12.5">
      <c r="A311" s="2"/>
      <c r="B311" s="2"/>
      <c r="C311" s="2"/>
      <c r="D311" s="2"/>
      <c r="E311" s="2"/>
      <c r="F311" s="2"/>
      <c r="G311" s="2"/>
    </row>
    <row r="312" spans="1:7" ht="12.5">
      <c r="A312" s="2"/>
      <c r="B312" s="2"/>
      <c r="C312" s="2"/>
      <c r="D312" s="2"/>
      <c r="E312" s="2"/>
      <c r="F312" s="2"/>
      <c r="G312" s="2"/>
    </row>
    <row r="313" spans="1:7" ht="12.5">
      <c r="A313" s="2"/>
      <c r="B313" s="2"/>
      <c r="C313" s="2"/>
      <c r="D313" s="2"/>
      <c r="E313" s="2"/>
      <c r="F313" s="2"/>
      <c r="G313" s="2"/>
    </row>
    <row r="314" spans="1:7" ht="12.5">
      <c r="A314" s="2"/>
      <c r="B314" s="2"/>
      <c r="C314" s="2"/>
      <c r="D314" s="2"/>
      <c r="E314" s="2"/>
      <c r="F314" s="2"/>
      <c r="G314" s="2"/>
    </row>
    <row r="315" spans="1:7" ht="12.5">
      <c r="A315" s="2"/>
      <c r="B315" s="2"/>
      <c r="C315" s="2"/>
      <c r="D315" s="2"/>
      <c r="E315" s="2"/>
      <c r="F315" s="2"/>
      <c r="G315" s="2"/>
    </row>
    <row r="316" spans="1:7" ht="12.5">
      <c r="A316" s="2"/>
      <c r="B316" s="2"/>
      <c r="C316" s="2"/>
      <c r="D316" s="2"/>
      <c r="E316" s="2"/>
      <c r="F316" s="2"/>
      <c r="G316" s="2"/>
    </row>
    <row r="317" spans="1:7" ht="12.5">
      <c r="A317" s="2"/>
      <c r="B317" s="2"/>
      <c r="C317" s="2"/>
      <c r="D317" s="2"/>
      <c r="E317" s="2"/>
      <c r="F317" s="2"/>
      <c r="G317" s="2"/>
    </row>
    <row r="318" spans="1:7" ht="12.5">
      <c r="A318" s="2"/>
      <c r="B318" s="2"/>
      <c r="C318" s="2"/>
      <c r="D318" s="2"/>
      <c r="E318" s="2"/>
      <c r="F318" s="2"/>
      <c r="G318" s="2"/>
    </row>
    <row r="319" spans="1:7" ht="12.5">
      <c r="A319" s="2"/>
      <c r="B319" s="2"/>
      <c r="C319" s="2"/>
      <c r="D319" s="2"/>
      <c r="E319" s="2"/>
      <c r="F319" s="2"/>
      <c r="G319" s="2"/>
    </row>
    <row r="320" spans="1:7" ht="12.5">
      <c r="A320" s="2"/>
      <c r="B320" s="2"/>
      <c r="C320" s="2"/>
      <c r="D320" s="2"/>
      <c r="E320" s="2"/>
      <c r="F320" s="2"/>
      <c r="G320" s="2"/>
    </row>
    <row r="321" spans="1:7" ht="12.5">
      <c r="A321" s="2"/>
      <c r="B321" s="2"/>
      <c r="C321" s="2"/>
      <c r="D321" s="2"/>
      <c r="E321" s="2"/>
      <c r="F321" s="2"/>
      <c r="G321" s="2"/>
    </row>
    <row r="322" spans="1:7" ht="12.5">
      <c r="A322" s="2"/>
      <c r="B322" s="2"/>
      <c r="C322" s="2"/>
      <c r="D322" s="2"/>
      <c r="E322" s="2"/>
      <c r="F322" s="2"/>
      <c r="G322" s="2"/>
    </row>
    <row r="323" spans="1:7" ht="12.5">
      <c r="A323" s="2"/>
      <c r="B323" s="2"/>
      <c r="C323" s="2"/>
      <c r="D323" s="2"/>
      <c r="E323" s="2"/>
      <c r="F323" s="2"/>
      <c r="G323" s="2"/>
    </row>
    <row r="324" spans="1:7" ht="12.5">
      <c r="A324" s="2"/>
      <c r="B324" s="2"/>
      <c r="C324" s="2"/>
      <c r="D324" s="2"/>
      <c r="E324" s="2"/>
      <c r="F324" s="2"/>
      <c r="G324" s="2"/>
    </row>
    <row r="325" spans="1:7" ht="12.5">
      <c r="A325" s="2"/>
      <c r="B325" s="2"/>
      <c r="C325" s="2"/>
      <c r="D325" s="2"/>
      <c r="E325" s="2"/>
      <c r="F325" s="2"/>
      <c r="G325" s="2"/>
    </row>
    <row r="326" spans="1:7" ht="12.5">
      <c r="A326" s="2"/>
      <c r="B326" s="2"/>
      <c r="C326" s="2"/>
      <c r="D326" s="2"/>
      <c r="E326" s="2"/>
      <c r="F326" s="2"/>
      <c r="G326" s="2"/>
    </row>
    <row r="327" spans="1:7" ht="12.5">
      <c r="A327" s="2"/>
      <c r="B327" s="2"/>
      <c r="C327" s="2"/>
      <c r="D327" s="2"/>
      <c r="E327" s="2"/>
      <c r="F327" s="2"/>
      <c r="G327" s="2"/>
    </row>
    <row r="328" spans="1:7" ht="12.5">
      <c r="A328" s="2"/>
      <c r="B328" s="2"/>
      <c r="C328" s="2"/>
      <c r="D328" s="2"/>
      <c r="E328" s="2"/>
      <c r="F328" s="2"/>
      <c r="G328" s="2"/>
    </row>
    <row r="329" spans="1:7" ht="12.5">
      <c r="A329" s="2"/>
      <c r="B329" s="2"/>
      <c r="C329" s="2"/>
      <c r="D329" s="2"/>
      <c r="E329" s="2"/>
      <c r="F329" s="2"/>
      <c r="G329" s="2"/>
    </row>
    <row r="330" spans="1:7" ht="12.5">
      <c r="A330" s="2"/>
      <c r="B330" s="2"/>
      <c r="C330" s="2"/>
      <c r="D330" s="2"/>
      <c r="E330" s="2"/>
      <c r="F330" s="2"/>
      <c r="G330" s="2"/>
    </row>
    <row r="331" spans="1:7" ht="12.5">
      <c r="A331" s="2"/>
      <c r="B331" s="2"/>
      <c r="C331" s="2"/>
      <c r="D331" s="2"/>
      <c r="E331" s="2"/>
      <c r="F331" s="2"/>
      <c r="G331" s="2"/>
    </row>
    <row r="332" spans="1:7" ht="12.5">
      <c r="A332" s="2"/>
      <c r="B332" s="2"/>
      <c r="C332" s="2"/>
      <c r="D332" s="2"/>
      <c r="E332" s="2"/>
      <c r="F332" s="2"/>
      <c r="G332" s="2"/>
    </row>
    <row r="333" spans="1:7" ht="12.5">
      <c r="A333" s="2"/>
      <c r="B333" s="2"/>
      <c r="C333" s="2"/>
      <c r="D333" s="2"/>
      <c r="E333" s="2"/>
      <c r="F333" s="2"/>
      <c r="G333" s="2"/>
    </row>
    <row r="334" spans="1:7" ht="12.5">
      <c r="A334" s="2"/>
      <c r="B334" s="2"/>
      <c r="C334" s="2"/>
      <c r="D334" s="2"/>
      <c r="E334" s="2"/>
      <c r="F334" s="2"/>
      <c r="G334" s="2"/>
    </row>
    <row r="335" spans="1:7" ht="12.5">
      <c r="A335" s="2"/>
      <c r="B335" s="2"/>
      <c r="C335" s="2"/>
      <c r="D335" s="2"/>
      <c r="E335" s="2"/>
      <c r="F335" s="2"/>
      <c r="G335" s="2"/>
    </row>
    <row r="336" spans="1:7" ht="12.5">
      <c r="A336" s="2"/>
      <c r="B336" s="2"/>
      <c r="C336" s="2"/>
      <c r="D336" s="2"/>
      <c r="E336" s="2"/>
      <c r="F336" s="2"/>
      <c r="G336" s="2"/>
    </row>
    <row r="337" spans="1:7" ht="12.5">
      <c r="A337" s="2"/>
      <c r="B337" s="2"/>
      <c r="C337" s="2"/>
      <c r="D337" s="2"/>
      <c r="E337" s="2"/>
      <c r="F337" s="2"/>
      <c r="G337" s="2"/>
    </row>
    <row r="338" spans="1:7" ht="12.5">
      <c r="A338" s="2"/>
      <c r="B338" s="2"/>
      <c r="C338" s="2"/>
      <c r="D338" s="2"/>
      <c r="E338" s="2"/>
      <c r="F338" s="2"/>
      <c r="G338" s="2"/>
    </row>
    <row r="339" spans="1:7" ht="12.5">
      <c r="A339" s="2"/>
      <c r="B339" s="2"/>
      <c r="C339" s="2"/>
      <c r="D339" s="2"/>
      <c r="E339" s="2"/>
      <c r="F339" s="2"/>
      <c r="G339" s="2"/>
    </row>
    <row r="340" spans="1:7" ht="12.5">
      <c r="A340" s="2"/>
      <c r="B340" s="2"/>
      <c r="C340" s="2"/>
      <c r="D340" s="2"/>
      <c r="E340" s="2"/>
      <c r="F340" s="2"/>
      <c r="G340" s="2"/>
    </row>
    <row r="341" spans="1:7" ht="12.5">
      <c r="A341" s="2"/>
      <c r="B341" s="2"/>
      <c r="C341" s="2"/>
      <c r="D341" s="2"/>
      <c r="E341" s="2"/>
      <c r="F341" s="2"/>
      <c r="G341" s="2"/>
    </row>
    <row r="342" spans="1:7" ht="12.5">
      <c r="A342" s="2"/>
      <c r="B342" s="2"/>
      <c r="C342" s="2"/>
      <c r="D342" s="2"/>
      <c r="E342" s="2"/>
      <c r="F342" s="2"/>
      <c r="G342" s="2"/>
    </row>
    <row r="343" spans="1:7" ht="12.5">
      <c r="A343" s="2"/>
      <c r="B343" s="2"/>
      <c r="C343" s="2"/>
      <c r="D343" s="2"/>
      <c r="E343" s="2"/>
      <c r="F343" s="2"/>
      <c r="G343" s="2"/>
    </row>
    <row r="344" spans="1:7" ht="12.5">
      <c r="A344" s="2"/>
      <c r="B344" s="2"/>
      <c r="C344" s="2"/>
      <c r="D344" s="2"/>
      <c r="E344" s="2"/>
      <c r="F344" s="2"/>
      <c r="G344" s="2"/>
    </row>
    <row r="345" spans="1:7" ht="12.5">
      <c r="A345" s="2"/>
      <c r="B345" s="2"/>
      <c r="C345" s="2"/>
      <c r="D345" s="2"/>
      <c r="E345" s="2"/>
      <c r="F345" s="2"/>
      <c r="G345" s="2"/>
    </row>
    <row r="346" spans="1:7" ht="12.5">
      <c r="A346" s="2"/>
      <c r="B346" s="2"/>
      <c r="C346" s="2"/>
      <c r="D346" s="2"/>
      <c r="E346" s="2"/>
      <c r="F346" s="2"/>
      <c r="G346" s="2"/>
    </row>
    <row r="347" spans="1:7" ht="12.5">
      <c r="A347" s="2"/>
      <c r="B347" s="2"/>
      <c r="C347" s="2"/>
      <c r="D347" s="2"/>
      <c r="E347" s="2"/>
      <c r="F347" s="2"/>
      <c r="G347" s="2"/>
    </row>
    <row r="348" spans="1:7" ht="12.5">
      <c r="A348" s="2"/>
      <c r="B348" s="2"/>
      <c r="C348" s="2"/>
      <c r="D348" s="2"/>
      <c r="E348" s="2"/>
      <c r="F348" s="2"/>
      <c r="G348" s="2"/>
    </row>
    <row r="349" spans="1:7" ht="12.5">
      <c r="A349" s="2"/>
      <c r="B349" s="2"/>
      <c r="C349" s="2"/>
      <c r="D349" s="2"/>
      <c r="E349" s="2"/>
      <c r="F349" s="2"/>
      <c r="G349" s="2"/>
    </row>
    <row r="350" spans="1:7" ht="12.5">
      <c r="A350" s="2"/>
      <c r="B350" s="2"/>
      <c r="C350" s="2"/>
      <c r="D350" s="2"/>
      <c r="E350" s="2"/>
      <c r="F350" s="2"/>
      <c r="G350" s="2"/>
    </row>
    <row r="351" spans="1:7" ht="12.5">
      <c r="A351" s="2"/>
      <c r="B351" s="2"/>
      <c r="C351" s="2"/>
      <c r="D351" s="2"/>
      <c r="E351" s="2"/>
      <c r="F351" s="2"/>
      <c r="G351" s="2"/>
    </row>
    <row r="352" spans="1:7" ht="12.5">
      <c r="A352" s="2"/>
      <c r="B352" s="2"/>
      <c r="C352" s="2"/>
      <c r="D352" s="2"/>
      <c r="E352" s="2"/>
      <c r="F352" s="2"/>
      <c r="G352" s="2"/>
    </row>
    <row r="353" spans="1:7" ht="12.5">
      <c r="A353" s="2"/>
      <c r="B353" s="2"/>
      <c r="C353" s="2"/>
      <c r="D353" s="2"/>
      <c r="E353" s="2"/>
      <c r="F353" s="2"/>
      <c r="G353" s="2"/>
    </row>
    <row r="354" spans="1:7" ht="12.5">
      <c r="A354" s="2"/>
      <c r="B354" s="2"/>
      <c r="C354" s="2"/>
      <c r="D354" s="2"/>
      <c r="E354" s="2"/>
      <c r="F354" s="2"/>
      <c r="G354" s="2"/>
    </row>
    <row r="355" spans="1:7" ht="12.5">
      <c r="A355" s="2"/>
      <c r="B355" s="2"/>
      <c r="C355" s="2"/>
      <c r="D355" s="2"/>
      <c r="E355" s="2"/>
      <c r="F355" s="2"/>
      <c r="G355" s="2"/>
    </row>
    <row r="356" spans="1:7" ht="12.5">
      <c r="A356" s="2"/>
      <c r="B356" s="2"/>
      <c r="C356" s="2"/>
      <c r="D356" s="2"/>
      <c r="E356" s="2"/>
      <c r="F356" s="2"/>
      <c r="G356" s="2"/>
    </row>
    <row r="357" spans="1:7" ht="12.5">
      <c r="A357" s="2"/>
      <c r="B357" s="2"/>
      <c r="C357" s="2"/>
      <c r="D357" s="2"/>
      <c r="E357" s="2"/>
      <c r="F357" s="2"/>
      <c r="G357" s="2"/>
    </row>
    <row r="358" spans="1:7" ht="12.5">
      <c r="A358" s="2"/>
      <c r="B358" s="2"/>
      <c r="C358" s="2"/>
      <c r="D358" s="2"/>
      <c r="E358" s="2"/>
      <c r="F358" s="2"/>
      <c r="G358" s="2"/>
    </row>
    <row r="359" spans="1:7" ht="12.5">
      <c r="A359" s="2"/>
      <c r="B359" s="2"/>
      <c r="C359" s="2"/>
      <c r="D359" s="2"/>
      <c r="E359" s="2"/>
      <c r="F359" s="2"/>
      <c r="G359" s="2"/>
    </row>
    <row r="360" spans="1:7" ht="12.5">
      <c r="A360" s="2"/>
      <c r="B360" s="2"/>
      <c r="C360" s="2"/>
      <c r="D360" s="2"/>
      <c r="E360" s="2"/>
      <c r="F360" s="2"/>
      <c r="G360" s="2"/>
    </row>
    <row r="361" spans="1:7" ht="12.5">
      <c r="A361" s="2"/>
      <c r="B361" s="2"/>
      <c r="C361" s="2"/>
      <c r="D361" s="2"/>
      <c r="E361" s="2"/>
      <c r="F361" s="2"/>
      <c r="G361" s="2"/>
    </row>
    <row r="362" spans="1:7" ht="12.5">
      <c r="A362" s="2"/>
      <c r="B362" s="2"/>
      <c r="C362" s="2"/>
      <c r="D362" s="2"/>
      <c r="E362" s="2"/>
      <c r="F362" s="2"/>
      <c r="G362" s="2"/>
    </row>
    <row r="363" spans="1:7" ht="12.5">
      <c r="A363" s="2"/>
      <c r="B363" s="2"/>
      <c r="C363" s="2"/>
      <c r="D363" s="2"/>
      <c r="E363" s="2"/>
      <c r="F363" s="2"/>
      <c r="G363" s="2"/>
    </row>
    <row r="364" spans="1:7" ht="12.5">
      <c r="A364" s="2"/>
      <c r="B364" s="2"/>
      <c r="C364" s="2"/>
      <c r="D364" s="2"/>
      <c r="E364" s="2"/>
      <c r="F364" s="2"/>
      <c r="G364" s="2"/>
    </row>
    <row r="365" spans="1:7" ht="12.5">
      <c r="A365" s="2"/>
      <c r="B365" s="2"/>
      <c r="C365" s="2"/>
      <c r="D365" s="2"/>
      <c r="E365" s="2"/>
      <c r="F365" s="2"/>
      <c r="G365" s="2"/>
    </row>
    <row r="366" spans="1:7" ht="12.5">
      <c r="A366" s="2"/>
      <c r="B366" s="2"/>
      <c r="C366" s="2"/>
      <c r="D366" s="2"/>
      <c r="E366" s="2"/>
      <c r="F366" s="2"/>
      <c r="G366" s="2"/>
    </row>
    <row r="367" spans="1:7" ht="12.5">
      <c r="A367" s="2"/>
      <c r="B367" s="2"/>
      <c r="C367" s="2"/>
      <c r="D367" s="2"/>
      <c r="E367" s="2"/>
      <c r="F367" s="2"/>
      <c r="G367" s="2"/>
    </row>
    <row r="368" spans="1:7" ht="12.5">
      <c r="A368" s="2"/>
      <c r="B368" s="2"/>
      <c r="C368" s="2"/>
      <c r="D368" s="2"/>
      <c r="E368" s="2"/>
      <c r="F368" s="2"/>
      <c r="G368" s="2"/>
    </row>
    <row r="369" spans="1:7" ht="12.5">
      <c r="A369" s="2"/>
      <c r="B369" s="2"/>
      <c r="C369" s="2"/>
      <c r="D369" s="2"/>
      <c r="E369" s="2"/>
      <c r="F369" s="2"/>
      <c r="G369" s="2"/>
    </row>
    <row r="370" spans="1:7" ht="12.5">
      <c r="A370" s="2"/>
      <c r="B370" s="2"/>
      <c r="C370" s="2"/>
      <c r="D370" s="2"/>
      <c r="E370" s="2"/>
      <c r="F370" s="2"/>
      <c r="G370" s="2"/>
    </row>
    <row r="371" spans="1:7" ht="12.5">
      <c r="A371" s="2"/>
      <c r="B371" s="2"/>
      <c r="C371" s="2"/>
      <c r="D371" s="2"/>
      <c r="E371" s="2"/>
      <c r="F371" s="2"/>
      <c r="G371" s="2"/>
    </row>
    <row r="372" spans="1:7" ht="12.5">
      <c r="A372" s="2"/>
      <c r="B372" s="2"/>
      <c r="C372" s="2"/>
      <c r="D372" s="2"/>
      <c r="E372" s="2"/>
      <c r="F372" s="2"/>
      <c r="G372" s="2"/>
    </row>
    <row r="373" spans="1:7" ht="12.5">
      <c r="A373" s="2"/>
      <c r="B373" s="2"/>
      <c r="C373" s="2"/>
      <c r="D373" s="2"/>
      <c r="E373" s="2"/>
      <c r="F373" s="2"/>
      <c r="G373" s="2"/>
    </row>
    <row r="374" spans="1:7" ht="12.5">
      <c r="A374" s="2"/>
      <c r="B374" s="2"/>
      <c r="C374" s="2"/>
      <c r="D374" s="2"/>
      <c r="E374" s="2"/>
      <c r="F374" s="2"/>
      <c r="G374" s="2"/>
    </row>
    <row r="375" spans="1:7" ht="12.5">
      <c r="A375" s="2"/>
      <c r="B375" s="2"/>
      <c r="C375" s="2"/>
      <c r="D375" s="2"/>
      <c r="E375" s="2"/>
      <c r="F375" s="2"/>
      <c r="G375" s="2"/>
    </row>
    <row r="376" spans="1:7" ht="12.5">
      <c r="A376" s="2"/>
      <c r="B376" s="2"/>
      <c r="C376" s="2"/>
      <c r="D376" s="2"/>
      <c r="E376" s="2"/>
      <c r="F376" s="2"/>
      <c r="G376" s="2"/>
    </row>
    <row r="377" spans="1:7" ht="12.5">
      <c r="A377" s="2"/>
      <c r="B377" s="2"/>
      <c r="C377" s="2"/>
      <c r="D377" s="2"/>
      <c r="E377" s="2"/>
      <c r="F377" s="2"/>
      <c r="G377" s="2"/>
    </row>
    <row r="378" spans="1:7" ht="12.5">
      <c r="A378" s="2"/>
      <c r="B378" s="2"/>
      <c r="C378" s="2"/>
      <c r="D378" s="2"/>
      <c r="E378" s="2"/>
      <c r="F378" s="2"/>
      <c r="G378" s="2"/>
    </row>
    <row r="379" spans="1:7" ht="12.5">
      <c r="A379" s="2"/>
      <c r="B379" s="2"/>
      <c r="C379" s="2"/>
      <c r="D379" s="2"/>
      <c r="E379" s="2"/>
      <c r="F379" s="2"/>
      <c r="G379" s="2"/>
    </row>
    <row r="380" spans="1:7" ht="12.5">
      <c r="A380" s="2"/>
      <c r="B380" s="2"/>
      <c r="C380" s="2"/>
      <c r="D380" s="2"/>
      <c r="E380" s="2"/>
      <c r="F380" s="2"/>
      <c r="G380" s="2"/>
    </row>
    <row r="381" spans="1:7" ht="12.5">
      <c r="A381" s="2"/>
      <c r="B381" s="2"/>
      <c r="C381" s="2"/>
      <c r="D381" s="2"/>
      <c r="E381" s="2"/>
      <c r="F381" s="2"/>
      <c r="G381" s="2"/>
    </row>
    <row r="382" spans="1:7" ht="12.5">
      <c r="A382" s="2"/>
      <c r="B382" s="2"/>
      <c r="C382" s="2"/>
      <c r="D382" s="2"/>
      <c r="E382" s="2"/>
      <c r="F382" s="2"/>
      <c r="G382" s="2"/>
    </row>
    <row r="383" spans="1:7" ht="12.5">
      <c r="A383" s="2"/>
      <c r="B383" s="2"/>
      <c r="C383" s="2"/>
      <c r="D383" s="2"/>
      <c r="E383" s="2"/>
      <c r="F383" s="2"/>
      <c r="G383" s="2"/>
    </row>
    <row r="384" spans="1:7" ht="12.5">
      <c r="A384" s="2"/>
      <c r="B384" s="2"/>
      <c r="C384" s="2"/>
      <c r="D384" s="2"/>
      <c r="E384" s="2"/>
      <c r="F384" s="2"/>
      <c r="G384" s="2"/>
    </row>
    <row r="385" spans="1:7" ht="12.5">
      <c r="A385" s="2"/>
      <c r="B385" s="2"/>
      <c r="C385" s="2"/>
      <c r="D385" s="2"/>
      <c r="E385" s="2"/>
      <c r="F385" s="2"/>
      <c r="G385" s="2"/>
    </row>
    <row r="386" spans="1:7" ht="12.5">
      <c r="A386" s="2"/>
      <c r="B386" s="2"/>
      <c r="C386" s="2"/>
      <c r="D386" s="2"/>
      <c r="E386" s="2"/>
      <c r="F386" s="2"/>
      <c r="G386" s="2"/>
    </row>
    <row r="387" spans="1:7" ht="12.5">
      <c r="A387" s="2"/>
      <c r="B387" s="2"/>
      <c r="C387" s="2"/>
      <c r="D387" s="2"/>
      <c r="E387" s="2"/>
      <c r="F387" s="2"/>
      <c r="G387" s="2"/>
    </row>
    <row r="388" spans="1:7" ht="12.5">
      <c r="A388" s="2"/>
      <c r="B388" s="2"/>
      <c r="C388" s="2"/>
      <c r="D388" s="2"/>
      <c r="E388" s="2"/>
      <c r="F388" s="2"/>
      <c r="G388" s="2"/>
    </row>
    <row r="389" spans="1:7" ht="12.5">
      <c r="A389" s="2"/>
      <c r="B389" s="2"/>
      <c r="C389" s="2"/>
      <c r="D389" s="2"/>
      <c r="E389" s="2"/>
      <c r="F389" s="2"/>
      <c r="G389" s="2"/>
    </row>
    <row r="390" spans="1:7" ht="12.5">
      <c r="A390" s="2"/>
      <c r="B390" s="2"/>
      <c r="C390" s="2"/>
      <c r="D390" s="2"/>
      <c r="E390" s="2"/>
      <c r="F390" s="2"/>
      <c r="G390" s="2"/>
    </row>
    <row r="391" spans="1:7" ht="12.5">
      <c r="A391" s="2"/>
      <c r="B391" s="2"/>
      <c r="C391" s="2"/>
      <c r="D391" s="2"/>
      <c r="E391" s="2"/>
      <c r="F391" s="2"/>
      <c r="G391" s="2"/>
    </row>
    <row r="392" spans="1:7" ht="12.5">
      <c r="A392" s="2"/>
      <c r="B392" s="2"/>
      <c r="C392" s="2"/>
      <c r="D392" s="2"/>
      <c r="E392" s="2"/>
      <c r="F392" s="2"/>
      <c r="G392" s="2"/>
    </row>
    <row r="393" spans="1:7" ht="12.5">
      <c r="A393" s="2"/>
      <c r="B393" s="2"/>
      <c r="C393" s="2"/>
      <c r="D393" s="2"/>
      <c r="E393" s="2"/>
      <c r="F393" s="2"/>
      <c r="G393" s="2"/>
    </row>
    <row r="394" spans="1:7" ht="12.5">
      <c r="A394" s="2"/>
      <c r="B394" s="2"/>
      <c r="C394" s="2"/>
      <c r="D394" s="2"/>
      <c r="E394" s="2"/>
      <c r="F394" s="2"/>
      <c r="G394" s="2"/>
    </row>
    <row r="395" spans="1:7" ht="12.5">
      <c r="A395" s="2"/>
      <c r="B395" s="2"/>
      <c r="C395" s="2"/>
      <c r="D395" s="2"/>
      <c r="E395" s="2"/>
      <c r="F395" s="2"/>
      <c r="G395" s="2"/>
    </row>
    <row r="396" spans="1:7" ht="12.5">
      <c r="A396" s="2"/>
      <c r="B396" s="2"/>
      <c r="C396" s="2"/>
      <c r="D396" s="2"/>
      <c r="E396" s="2"/>
      <c r="F396" s="2"/>
      <c r="G396" s="2"/>
    </row>
    <row r="397" spans="1:7" ht="12.5">
      <c r="A397" s="2"/>
      <c r="B397" s="2"/>
      <c r="C397" s="2"/>
      <c r="D397" s="2"/>
      <c r="E397" s="2"/>
      <c r="F397" s="2"/>
      <c r="G397" s="2"/>
    </row>
    <row r="398" spans="1:7" ht="12.5">
      <c r="A398" s="2"/>
      <c r="B398" s="2"/>
      <c r="C398" s="2"/>
      <c r="D398" s="2"/>
      <c r="E398" s="2"/>
      <c r="F398" s="2"/>
      <c r="G398" s="2"/>
    </row>
    <row r="399" spans="1:7" ht="12.5">
      <c r="A399" s="2"/>
      <c r="B399" s="2"/>
      <c r="C399" s="2"/>
      <c r="D399" s="2"/>
      <c r="E399" s="2"/>
      <c r="F399" s="2"/>
      <c r="G399" s="2"/>
    </row>
    <row r="400" spans="1:7" ht="12.5">
      <c r="A400" s="2"/>
      <c r="B400" s="2"/>
      <c r="C400" s="2"/>
      <c r="D400" s="2"/>
      <c r="E400" s="2"/>
      <c r="F400" s="2"/>
      <c r="G400" s="2"/>
    </row>
    <row r="401" spans="1:7" ht="12.5">
      <c r="A401" s="2"/>
      <c r="B401" s="2"/>
      <c r="C401" s="2"/>
      <c r="D401" s="2"/>
      <c r="E401" s="2"/>
      <c r="F401" s="2"/>
      <c r="G401" s="2"/>
    </row>
    <row r="402" spans="1:7" ht="12.5">
      <c r="A402" s="2"/>
      <c r="B402" s="2"/>
      <c r="C402" s="2"/>
      <c r="D402" s="2"/>
      <c r="E402" s="2"/>
      <c r="F402" s="2"/>
      <c r="G402" s="2"/>
    </row>
    <row r="403" spans="1:7" ht="12.5">
      <c r="A403" s="2"/>
      <c r="B403" s="2"/>
      <c r="C403" s="2"/>
      <c r="D403" s="2"/>
      <c r="E403" s="2"/>
      <c r="F403" s="2"/>
      <c r="G403" s="2"/>
    </row>
    <row r="404" spans="1:7" ht="12.5">
      <c r="A404" s="2"/>
      <c r="B404" s="2"/>
      <c r="C404" s="2"/>
      <c r="D404" s="2"/>
      <c r="E404" s="2"/>
      <c r="F404" s="2"/>
      <c r="G404" s="2"/>
    </row>
    <row r="405" spans="1:7" ht="12.5">
      <c r="A405" s="2"/>
      <c r="B405" s="2"/>
      <c r="C405" s="2"/>
      <c r="D405" s="2"/>
      <c r="E405" s="2"/>
      <c r="F405" s="2"/>
      <c r="G405" s="2"/>
    </row>
    <row r="406" spans="1:7" ht="12.5">
      <c r="A406" s="2"/>
      <c r="B406" s="2"/>
      <c r="C406" s="2"/>
      <c r="D406" s="2"/>
      <c r="E406" s="2"/>
      <c r="F406" s="2"/>
      <c r="G406" s="2"/>
    </row>
    <row r="407" spans="1:7" ht="12.5">
      <c r="A407" s="2"/>
      <c r="B407" s="2"/>
      <c r="C407" s="2"/>
      <c r="D407" s="2"/>
      <c r="E407" s="2"/>
      <c r="F407" s="2"/>
      <c r="G407" s="2"/>
    </row>
    <row r="408" spans="1:7" ht="12.5">
      <c r="A408" s="2"/>
      <c r="B408" s="2"/>
      <c r="C408" s="2"/>
      <c r="D408" s="2"/>
      <c r="E408" s="2"/>
      <c r="F408" s="2"/>
      <c r="G408" s="2"/>
    </row>
    <row r="409" spans="1:7" ht="12.5">
      <c r="A409" s="2"/>
      <c r="B409" s="2"/>
      <c r="C409" s="2"/>
      <c r="D409" s="2"/>
      <c r="E409" s="2"/>
      <c r="F409" s="2"/>
      <c r="G409" s="2"/>
    </row>
    <row r="410" spans="1:7" ht="12.5">
      <c r="A410" s="2"/>
      <c r="B410" s="2"/>
      <c r="C410" s="2"/>
      <c r="D410" s="2"/>
      <c r="E410" s="2"/>
      <c r="F410" s="2"/>
      <c r="G410" s="2"/>
    </row>
    <row r="411" spans="1:7" ht="12.5">
      <c r="A411" s="2"/>
      <c r="B411" s="2"/>
      <c r="C411" s="2"/>
      <c r="D411" s="2"/>
      <c r="E411" s="2"/>
      <c r="F411" s="2"/>
      <c r="G411" s="2"/>
    </row>
    <row r="412" spans="1:7" ht="12.5">
      <c r="A412" s="2"/>
      <c r="B412" s="2"/>
      <c r="C412" s="2"/>
      <c r="D412" s="2"/>
      <c r="E412" s="2"/>
      <c r="F412" s="2"/>
      <c r="G412" s="2"/>
    </row>
    <row r="413" spans="1:7" ht="12.5">
      <c r="A413" s="2"/>
      <c r="B413" s="2"/>
      <c r="C413" s="2"/>
      <c r="D413" s="2"/>
      <c r="E413" s="2"/>
      <c r="F413" s="2"/>
      <c r="G413" s="2"/>
    </row>
    <row r="414" spans="1:7" ht="12.5">
      <c r="A414" s="2"/>
      <c r="B414" s="2"/>
      <c r="C414" s="2"/>
      <c r="D414" s="2"/>
      <c r="E414" s="2"/>
      <c r="F414" s="2"/>
      <c r="G414" s="2"/>
    </row>
    <row r="415" spans="1:7" ht="12.5">
      <c r="A415" s="2"/>
      <c r="B415" s="2"/>
      <c r="C415" s="2"/>
      <c r="D415" s="2"/>
      <c r="E415" s="2"/>
      <c r="F415" s="2"/>
      <c r="G415" s="2"/>
    </row>
    <row r="416" spans="1:7" ht="12.5">
      <c r="A416" s="2"/>
      <c r="B416" s="2"/>
      <c r="C416" s="2"/>
      <c r="D416" s="2"/>
      <c r="E416" s="2"/>
      <c r="F416" s="2"/>
      <c r="G416" s="2"/>
    </row>
    <row r="417" spans="1:7" ht="12.5">
      <c r="A417" s="2"/>
      <c r="B417" s="2"/>
      <c r="C417" s="2"/>
      <c r="D417" s="2"/>
      <c r="E417" s="2"/>
      <c r="F417" s="2"/>
      <c r="G417" s="2"/>
    </row>
    <row r="418" spans="1:7" ht="12.5">
      <c r="A418" s="2"/>
      <c r="B418" s="2"/>
      <c r="C418" s="2"/>
      <c r="D418" s="2"/>
      <c r="E418" s="2"/>
      <c r="F418" s="2"/>
      <c r="G418" s="2"/>
    </row>
    <row r="419" spans="1:7" ht="12.5">
      <c r="A419" s="2"/>
      <c r="B419" s="2"/>
      <c r="C419" s="2"/>
      <c r="D419" s="2"/>
      <c r="E419" s="2"/>
      <c r="F419" s="2"/>
      <c r="G419" s="2"/>
    </row>
    <row r="420" spans="1:7" ht="12.5">
      <c r="A420" s="2"/>
      <c r="B420" s="2"/>
      <c r="C420" s="2"/>
      <c r="D420" s="2"/>
      <c r="E420" s="2"/>
      <c r="F420" s="2"/>
      <c r="G420" s="2"/>
    </row>
    <row r="421" spans="1:7" ht="12.5">
      <c r="A421" s="2"/>
      <c r="B421" s="2"/>
      <c r="C421" s="2"/>
      <c r="D421" s="2"/>
      <c r="E421" s="2"/>
      <c r="F421" s="2"/>
      <c r="G421" s="2"/>
    </row>
    <row r="422" spans="1:7" ht="12.5">
      <c r="A422" s="2"/>
      <c r="B422" s="2"/>
      <c r="C422" s="2"/>
      <c r="D422" s="2"/>
      <c r="E422" s="2"/>
      <c r="F422" s="2"/>
      <c r="G422" s="2"/>
    </row>
    <row r="423" spans="1:7" ht="12.5">
      <c r="A423" s="2"/>
      <c r="B423" s="2"/>
      <c r="C423" s="2"/>
      <c r="D423" s="2"/>
      <c r="E423" s="2"/>
      <c r="F423" s="2"/>
      <c r="G423" s="2"/>
    </row>
    <row r="424" spans="1:7" ht="12.5">
      <c r="A424" s="2"/>
      <c r="B424" s="2"/>
      <c r="C424" s="2"/>
      <c r="D424" s="2"/>
      <c r="E424" s="2"/>
      <c r="F424" s="2"/>
      <c r="G424" s="2"/>
    </row>
    <row r="425" spans="1:7" ht="12.5">
      <c r="A425" s="2"/>
      <c r="B425" s="2"/>
      <c r="C425" s="2"/>
      <c r="D425" s="2"/>
      <c r="E425" s="2"/>
      <c r="F425" s="2"/>
      <c r="G425" s="2"/>
    </row>
    <row r="426" spans="1:7" ht="12.5">
      <c r="A426" s="2"/>
      <c r="B426" s="2"/>
      <c r="C426" s="2"/>
      <c r="D426" s="2"/>
      <c r="E426" s="2"/>
      <c r="F426" s="2"/>
      <c r="G426" s="2"/>
    </row>
    <row r="427" spans="1:7" ht="12.5">
      <c r="A427" s="2"/>
      <c r="B427" s="2"/>
      <c r="C427" s="2"/>
      <c r="D427" s="2"/>
      <c r="E427" s="2"/>
      <c r="F427" s="2"/>
      <c r="G427" s="2"/>
    </row>
    <row r="428" spans="1:7" ht="12.5">
      <c r="A428" s="2"/>
      <c r="B428" s="2"/>
      <c r="C428" s="2"/>
      <c r="D428" s="2"/>
      <c r="E428" s="2"/>
      <c r="F428" s="2"/>
      <c r="G428" s="2"/>
    </row>
    <row r="429" spans="1:7" ht="12.5">
      <c r="A429" s="2"/>
      <c r="B429" s="2"/>
      <c r="C429" s="2"/>
      <c r="D429" s="2"/>
      <c r="E429" s="2"/>
      <c r="F429" s="2"/>
      <c r="G429" s="2"/>
    </row>
    <row r="430" spans="1:7" ht="12.5">
      <c r="A430" s="2"/>
      <c r="B430" s="2"/>
      <c r="C430" s="2"/>
      <c r="D430" s="2"/>
      <c r="E430" s="2"/>
      <c r="F430" s="2"/>
      <c r="G430" s="2"/>
    </row>
    <row r="431" spans="1:7" ht="12.5">
      <c r="A431" s="2"/>
      <c r="B431" s="2"/>
      <c r="C431" s="2"/>
      <c r="D431" s="2"/>
      <c r="E431" s="2"/>
      <c r="F431" s="2"/>
      <c r="G431" s="2"/>
    </row>
    <row r="432" spans="1:7" ht="12.5">
      <c r="A432" s="2"/>
      <c r="B432" s="2"/>
      <c r="C432" s="2"/>
      <c r="D432" s="2"/>
      <c r="E432" s="2"/>
      <c r="F432" s="2"/>
      <c r="G432" s="2"/>
    </row>
    <row r="433" spans="1:7" ht="12.5">
      <c r="A433" s="2"/>
      <c r="B433" s="2"/>
      <c r="C433" s="2"/>
      <c r="D433" s="2"/>
      <c r="E433" s="2"/>
      <c r="F433" s="2"/>
      <c r="G433" s="2"/>
    </row>
    <row r="434" spans="1:7" ht="12.5">
      <c r="A434" s="2"/>
      <c r="B434" s="2"/>
      <c r="C434" s="2"/>
      <c r="D434" s="2"/>
      <c r="E434" s="2"/>
      <c r="F434" s="2"/>
      <c r="G434" s="2"/>
    </row>
    <row r="435" spans="1:7" ht="12.5">
      <c r="A435" s="2"/>
      <c r="B435" s="2"/>
      <c r="C435" s="2"/>
      <c r="D435" s="2"/>
      <c r="E435" s="2"/>
      <c r="F435" s="2"/>
      <c r="G435" s="2"/>
    </row>
    <row r="436" spans="1:7" ht="12.5">
      <c r="A436" s="2"/>
      <c r="B436" s="2"/>
      <c r="C436" s="2"/>
      <c r="D436" s="2"/>
      <c r="E436" s="2"/>
      <c r="F436" s="2"/>
      <c r="G436" s="2"/>
    </row>
    <row r="437" spans="1:7" ht="12.5">
      <c r="A437" s="2"/>
      <c r="B437" s="2"/>
      <c r="C437" s="2"/>
      <c r="D437" s="2"/>
      <c r="E437" s="2"/>
      <c r="F437" s="2"/>
      <c r="G437" s="2"/>
    </row>
    <row r="438" spans="1:7" ht="12.5">
      <c r="A438" s="2"/>
      <c r="B438" s="2"/>
      <c r="C438" s="2"/>
      <c r="D438" s="2"/>
      <c r="E438" s="2"/>
      <c r="F438" s="2"/>
      <c r="G438" s="2"/>
    </row>
    <row r="439" spans="1:7" ht="12.5">
      <c r="A439" s="2"/>
      <c r="B439" s="2"/>
      <c r="C439" s="2"/>
      <c r="D439" s="2"/>
      <c r="E439" s="2"/>
      <c r="F439" s="2"/>
      <c r="G439" s="2"/>
    </row>
    <row r="440" spans="1:7" ht="12.5">
      <c r="A440" s="2"/>
      <c r="B440" s="2"/>
      <c r="C440" s="2"/>
      <c r="D440" s="2"/>
      <c r="E440" s="2"/>
      <c r="F440" s="2"/>
      <c r="G440" s="2"/>
    </row>
    <row r="441" spans="1:7" ht="12.5">
      <c r="A441" s="2"/>
      <c r="B441" s="2"/>
      <c r="C441" s="2"/>
      <c r="D441" s="2"/>
      <c r="E441" s="2"/>
      <c r="F441" s="2"/>
      <c r="G441" s="2"/>
    </row>
    <row r="442" spans="1:7" ht="12.5">
      <c r="A442" s="2"/>
      <c r="B442" s="2"/>
      <c r="C442" s="2"/>
      <c r="D442" s="2"/>
      <c r="E442" s="2"/>
      <c r="F442" s="2"/>
      <c r="G442" s="2"/>
    </row>
    <row r="443" spans="1:7" ht="12.5">
      <c r="A443" s="2"/>
      <c r="B443" s="2"/>
      <c r="C443" s="2"/>
      <c r="D443" s="2"/>
      <c r="E443" s="2"/>
      <c r="F443" s="2"/>
      <c r="G443" s="2"/>
    </row>
    <row r="444" spans="1:7" ht="12.5">
      <c r="A444" s="2"/>
      <c r="B444" s="2"/>
      <c r="C444" s="2"/>
      <c r="D444" s="2"/>
      <c r="E444" s="2"/>
      <c r="F444" s="2"/>
      <c r="G444" s="2"/>
    </row>
    <row r="445" spans="1:7" ht="12.5">
      <c r="A445" s="2"/>
      <c r="B445" s="2"/>
      <c r="C445" s="2"/>
      <c r="D445" s="2"/>
      <c r="E445" s="2"/>
      <c r="F445" s="2"/>
      <c r="G445" s="2"/>
    </row>
    <row r="446" spans="1:7" ht="12.5">
      <c r="A446" s="2"/>
      <c r="B446" s="2"/>
      <c r="C446" s="2"/>
      <c r="D446" s="2"/>
      <c r="E446" s="2"/>
      <c r="F446" s="2"/>
      <c r="G446" s="2"/>
    </row>
    <row r="447" spans="1:7" ht="12.5">
      <c r="A447" s="2"/>
      <c r="B447" s="2"/>
      <c r="C447" s="2"/>
      <c r="D447" s="2"/>
      <c r="E447" s="2"/>
      <c r="F447" s="2"/>
      <c r="G447" s="2"/>
    </row>
    <row r="448" spans="1:7" ht="12.5">
      <c r="A448" s="2"/>
      <c r="B448" s="2"/>
      <c r="C448" s="2"/>
      <c r="D448" s="2"/>
      <c r="E448" s="2"/>
      <c r="F448" s="2"/>
      <c r="G448" s="2"/>
    </row>
    <row r="449" spans="1:7" ht="12.5">
      <c r="A449" s="2"/>
      <c r="B449" s="2"/>
      <c r="C449" s="2"/>
      <c r="D449" s="2"/>
      <c r="E449" s="2"/>
      <c r="F449" s="2"/>
      <c r="G449" s="2"/>
    </row>
    <row r="450" spans="1:7" ht="12.5">
      <c r="A450" s="2"/>
      <c r="B450" s="2"/>
      <c r="C450" s="2"/>
      <c r="D450" s="2"/>
      <c r="E450" s="2"/>
      <c r="F450" s="2"/>
      <c r="G450" s="2"/>
    </row>
    <row r="451" spans="1:7" ht="12.5">
      <c r="A451" s="2"/>
      <c r="B451" s="2"/>
      <c r="C451" s="2"/>
      <c r="D451" s="2"/>
      <c r="E451" s="2"/>
      <c r="F451" s="2"/>
      <c r="G451" s="2"/>
    </row>
    <row r="452" spans="1:7" ht="12.5">
      <c r="A452" s="2"/>
      <c r="B452" s="2"/>
      <c r="C452" s="2"/>
      <c r="D452" s="2"/>
      <c r="E452" s="2"/>
      <c r="F452" s="2"/>
      <c r="G452" s="2"/>
    </row>
    <row r="453" spans="1:7" ht="12.5">
      <c r="A453" s="2"/>
      <c r="B453" s="2"/>
      <c r="C453" s="2"/>
      <c r="D453" s="2"/>
      <c r="E453" s="2"/>
      <c r="F453" s="2"/>
      <c r="G453" s="2"/>
    </row>
    <row r="454" spans="1:7" ht="12.5">
      <c r="A454" s="2"/>
      <c r="B454" s="2"/>
      <c r="C454" s="2"/>
      <c r="D454" s="2"/>
      <c r="E454" s="2"/>
      <c r="F454" s="2"/>
      <c r="G454" s="2"/>
    </row>
    <row r="455" spans="1:7" ht="12.5">
      <c r="A455" s="2"/>
      <c r="B455" s="2"/>
      <c r="C455" s="2"/>
      <c r="D455" s="2"/>
      <c r="E455" s="2"/>
      <c r="F455" s="2"/>
      <c r="G455" s="2"/>
    </row>
    <row r="456" spans="1:7" ht="12.5">
      <c r="A456" s="2"/>
      <c r="B456" s="2"/>
      <c r="C456" s="2"/>
      <c r="D456" s="2"/>
      <c r="E456" s="2"/>
      <c r="F456" s="2"/>
      <c r="G456" s="2"/>
    </row>
    <row r="457" spans="1:7" ht="12.5">
      <c r="A457" s="2"/>
      <c r="B457" s="2"/>
      <c r="C457" s="2"/>
      <c r="D457" s="2"/>
      <c r="E457" s="2"/>
      <c r="F457" s="2"/>
      <c r="G457" s="2"/>
    </row>
    <row r="458" spans="1:7" ht="12.5">
      <c r="A458" s="2"/>
      <c r="B458" s="2"/>
      <c r="C458" s="2"/>
      <c r="D458" s="2"/>
      <c r="E458" s="2"/>
      <c r="F458" s="2"/>
      <c r="G458" s="2"/>
    </row>
    <row r="459" spans="1:7" ht="12.5">
      <c r="A459" s="2"/>
      <c r="B459" s="2"/>
      <c r="C459" s="2"/>
      <c r="D459" s="2"/>
      <c r="E459" s="2"/>
      <c r="F459" s="2"/>
      <c r="G459" s="2"/>
    </row>
    <row r="460" spans="1:7" ht="12.5">
      <c r="A460" s="2"/>
      <c r="B460" s="2"/>
      <c r="C460" s="2"/>
      <c r="D460" s="2"/>
      <c r="E460" s="2"/>
      <c r="F460" s="2"/>
      <c r="G460" s="2"/>
    </row>
    <row r="461" spans="1:7" ht="12.5">
      <c r="A461" s="2"/>
      <c r="B461" s="2"/>
      <c r="C461" s="2"/>
      <c r="D461" s="2"/>
      <c r="E461" s="2"/>
      <c r="F461" s="2"/>
      <c r="G461" s="2"/>
    </row>
    <row r="462" spans="1:7" ht="12.5">
      <c r="A462" s="2"/>
      <c r="B462" s="2"/>
      <c r="C462" s="2"/>
      <c r="D462" s="2"/>
      <c r="E462" s="2"/>
      <c r="F462" s="2"/>
      <c r="G462" s="2"/>
    </row>
    <row r="463" spans="1:7" ht="12.5">
      <c r="A463" s="2"/>
      <c r="B463" s="2"/>
      <c r="C463" s="2"/>
      <c r="D463" s="2"/>
      <c r="E463" s="2"/>
      <c r="F463" s="2"/>
      <c r="G463" s="2"/>
    </row>
    <row r="464" spans="1:7" ht="12.5">
      <c r="A464" s="2"/>
      <c r="B464" s="2"/>
      <c r="C464" s="2"/>
      <c r="D464" s="2"/>
      <c r="E464" s="2"/>
      <c r="F464" s="2"/>
      <c r="G464" s="2"/>
    </row>
    <row r="465" spans="1:7" ht="12.5">
      <c r="A465" s="2"/>
      <c r="B465" s="2"/>
      <c r="C465" s="2"/>
      <c r="D465" s="2"/>
      <c r="E465" s="2"/>
      <c r="F465" s="2"/>
      <c r="G465" s="2"/>
    </row>
    <row r="466" spans="1:7" ht="12.5">
      <c r="A466" s="2"/>
      <c r="B466" s="2"/>
      <c r="C466" s="2"/>
      <c r="D466" s="2"/>
      <c r="E466" s="2"/>
      <c r="F466" s="2"/>
      <c r="G466" s="2"/>
    </row>
    <row r="467" spans="1:7" ht="12.5">
      <c r="A467" s="2"/>
      <c r="B467" s="2"/>
      <c r="C467" s="2"/>
      <c r="D467" s="2"/>
      <c r="E467" s="2"/>
      <c r="F467" s="2"/>
      <c r="G467" s="2"/>
    </row>
    <row r="468" spans="1:7" ht="12.5">
      <c r="A468" s="2"/>
      <c r="B468" s="2"/>
      <c r="C468" s="2"/>
      <c r="D468" s="2"/>
      <c r="E468" s="2"/>
      <c r="F468" s="2"/>
      <c r="G468" s="2"/>
    </row>
    <row r="469" spans="1:7" ht="12.5">
      <c r="A469" s="2"/>
      <c r="B469" s="2"/>
      <c r="C469" s="2"/>
      <c r="D469" s="2"/>
      <c r="E469" s="2"/>
      <c r="F469" s="2"/>
      <c r="G469" s="2"/>
    </row>
    <row r="470" spans="1:7" ht="12.5">
      <c r="A470" s="2"/>
      <c r="B470" s="2"/>
      <c r="C470" s="2"/>
      <c r="D470" s="2"/>
      <c r="E470" s="2"/>
      <c r="F470" s="2"/>
      <c r="G470" s="2"/>
    </row>
    <row r="471" spans="1:7" ht="12.5">
      <c r="A471" s="2"/>
      <c r="B471" s="2"/>
      <c r="C471" s="2"/>
      <c r="D471" s="2"/>
      <c r="E471" s="2"/>
      <c r="F471" s="2"/>
      <c r="G471" s="2"/>
    </row>
    <row r="472" spans="1:7" ht="12.5">
      <c r="A472" s="2"/>
      <c r="B472" s="2"/>
      <c r="C472" s="2"/>
      <c r="D472" s="2"/>
      <c r="E472" s="2"/>
      <c r="F472" s="2"/>
      <c r="G472" s="2"/>
    </row>
    <row r="473" spans="1:7" ht="12.5">
      <c r="A473" s="2"/>
      <c r="B473" s="2"/>
      <c r="C473" s="2"/>
      <c r="D473" s="2"/>
      <c r="E473" s="2"/>
      <c r="F473" s="2"/>
      <c r="G473" s="2"/>
    </row>
    <row r="474" spans="1:7" ht="12.5">
      <c r="A474" s="2"/>
      <c r="B474" s="2"/>
      <c r="C474" s="2"/>
      <c r="D474" s="2"/>
      <c r="E474" s="2"/>
      <c r="F474" s="2"/>
      <c r="G474" s="2"/>
    </row>
    <row r="475" spans="1:7" ht="12.5">
      <c r="A475" s="2"/>
      <c r="B475" s="2"/>
      <c r="C475" s="2"/>
      <c r="D475" s="2"/>
      <c r="E475" s="2"/>
      <c r="F475" s="2"/>
      <c r="G475" s="2"/>
    </row>
    <row r="476" spans="1:7" ht="12.5">
      <c r="A476" s="2"/>
      <c r="B476" s="2"/>
      <c r="C476" s="2"/>
      <c r="D476" s="2"/>
      <c r="E476" s="2"/>
      <c r="F476" s="2"/>
      <c r="G476" s="2"/>
    </row>
    <row r="477" spans="1:7" ht="12.5">
      <c r="A477" s="2"/>
      <c r="B477" s="2"/>
      <c r="C477" s="2"/>
      <c r="D477" s="2"/>
      <c r="E477" s="2"/>
      <c r="F477" s="2"/>
      <c r="G477" s="2"/>
    </row>
    <row r="478" spans="1:7" ht="12.5">
      <c r="A478" s="2"/>
      <c r="B478" s="2"/>
      <c r="C478" s="2"/>
      <c r="D478" s="2"/>
      <c r="E478" s="2"/>
      <c r="F478" s="2"/>
      <c r="G478" s="2"/>
    </row>
    <row r="479" spans="1:7" ht="12.5">
      <c r="A479" s="2"/>
      <c r="B479" s="2"/>
      <c r="C479" s="2"/>
      <c r="D479" s="2"/>
      <c r="E479" s="2"/>
      <c r="F479" s="2"/>
      <c r="G479" s="2"/>
    </row>
    <row r="480" spans="1:7" ht="12.5">
      <c r="A480" s="2"/>
      <c r="B480" s="2"/>
      <c r="C480" s="2"/>
      <c r="D480" s="2"/>
      <c r="E480" s="2"/>
      <c r="F480" s="2"/>
      <c r="G480" s="2"/>
    </row>
    <row r="481" spans="1:7" ht="12.5">
      <c r="A481" s="2"/>
      <c r="B481" s="2"/>
      <c r="C481" s="2"/>
      <c r="D481" s="2"/>
      <c r="E481" s="2"/>
      <c r="F481" s="2"/>
      <c r="G481" s="2"/>
    </row>
    <row r="482" spans="1:7" ht="12.5">
      <c r="A482" s="2"/>
      <c r="B482" s="2"/>
      <c r="C482" s="2"/>
      <c r="D482" s="2"/>
      <c r="E482" s="2"/>
      <c r="F482" s="2"/>
      <c r="G482" s="2"/>
    </row>
    <row r="483" spans="1:7" ht="12.5">
      <c r="A483" s="2"/>
      <c r="B483" s="2"/>
      <c r="C483" s="2"/>
      <c r="D483" s="2"/>
      <c r="E483" s="2"/>
      <c r="F483" s="2"/>
      <c r="G483" s="2"/>
    </row>
    <row r="484" spans="1:7" ht="12.5">
      <c r="A484" s="2"/>
      <c r="B484" s="2"/>
      <c r="C484" s="2"/>
      <c r="D484" s="2"/>
      <c r="E484" s="2"/>
      <c r="F484" s="2"/>
      <c r="G484" s="2"/>
    </row>
    <row r="485" spans="1:7" ht="12.5">
      <c r="A485" s="2"/>
      <c r="B485" s="2"/>
      <c r="C485" s="2"/>
      <c r="D485" s="2"/>
      <c r="E485" s="2"/>
      <c r="F485" s="2"/>
      <c r="G485" s="2"/>
    </row>
    <row r="486" spans="1:7" ht="12.5">
      <c r="A486" s="2"/>
      <c r="B486" s="2"/>
      <c r="C486" s="2"/>
      <c r="D486" s="2"/>
      <c r="E486" s="2"/>
      <c r="F486" s="2"/>
      <c r="G486" s="2"/>
    </row>
    <row r="487" spans="1:7" ht="12.5">
      <c r="A487" s="2"/>
      <c r="B487" s="2"/>
      <c r="C487" s="2"/>
      <c r="D487" s="2"/>
      <c r="E487" s="2"/>
      <c r="F487" s="2"/>
      <c r="G487" s="2"/>
    </row>
    <row r="488" spans="1:7" ht="12.5">
      <c r="A488" s="2"/>
      <c r="B488" s="2"/>
      <c r="C488" s="2"/>
      <c r="D488" s="2"/>
      <c r="E488" s="2"/>
      <c r="F488" s="2"/>
      <c r="G488" s="2"/>
    </row>
    <row r="489" spans="1:7" ht="12.5">
      <c r="A489" s="2"/>
      <c r="B489" s="2"/>
      <c r="C489" s="2"/>
      <c r="D489" s="2"/>
      <c r="E489" s="2"/>
      <c r="F489" s="2"/>
      <c r="G489" s="2"/>
    </row>
    <row r="490" spans="1:7" ht="12.5">
      <c r="A490" s="2"/>
      <c r="B490" s="2"/>
      <c r="C490" s="2"/>
      <c r="D490" s="2"/>
      <c r="E490" s="2"/>
      <c r="F490" s="2"/>
      <c r="G490" s="2"/>
    </row>
    <row r="491" spans="1:7" ht="12.5">
      <c r="A491" s="2"/>
      <c r="B491" s="2"/>
      <c r="C491" s="2"/>
      <c r="D491" s="2"/>
      <c r="E491" s="2"/>
      <c r="F491" s="2"/>
      <c r="G491" s="2"/>
    </row>
    <row r="492" spans="1:7" ht="12.5">
      <c r="A492" s="2"/>
      <c r="B492" s="2"/>
      <c r="C492" s="2"/>
      <c r="D492" s="2"/>
      <c r="E492" s="2"/>
      <c r="F492" s="2"/>
      <c r="G492" s="2"/>
    </row>
    <row r="493" spans="1:7" ht="12.5">
      <c r="A493" s="2"/>
      <c r="B493" s="2"/>
      <c r="C493" s="2"/>
      <c r="D493" s="2"/>
      <c r="E493" s="2"/>
      <c r="F493" s="2"/>
      <c r="G493" s="2"/>
    </row>
    <row r="494" spans="1:7" ht="12.5">
      <c r="A494" s="2"/>
      <c r="B494" s="2"/>
      <c r="C494" s="2"/>
      <c r="D494" s="2"/>
      <c r="E494" s="2"/>
      <c r="F494" s="2"/>
      <c r="G494" s="2"/>
    </row>
    <row r="495" spans="1:7" ht="12.5">
      <c r="A495" s="2"/>
      <c r="B495" s="2"/>
      <c r="C495" s="2"/>
      <c r="D495" s="2"/>
      <c r="E495" s="2"/>
      <c r="F495" s="2"/>
      <c r="G495" s="2"/>
    </row>
    <row r="496" spans="1:7" ht="12.5">
      <c r="A496" s="2"/>
      <c r="B496" s="2"/>
      <c r="C496" s="2"/>
      <c r="D496" s="2"/>
      <c r="E496" s="2"/>
      <c r="F496" s="2"/>
      <c r="G496" s="2"/>
    </row>
    <row r="497" spans="1:7" ht="12.5">
      <c r="A497" s="2"/>
      <c r="B497" s="2"/>
      <c r="C497" s="2"/>
      <c r="D497" s="2"/>
      <c r="E497" s="2"/>
      <c r="F497" s="2"/>
      <c r="G497" s="2"/>
    </row>
    <row r="498" spans="1:7" ht="12.5">
      <c r="A498" s="2"/>
      <c r="B498" s="2"/>
      <c r="C498" s="2"/>
      <c r="D498" s="2"/>
      <c r="E498" s="2"/>
      <c r="F498" s="2"/>
      <c r="G498" s="2"/>
    </row>
    <row r="499" spans="1:7" ht="12.5">
      <c r="A499" s="2"/>
      <c r="B499" s="2"/>
      <c r="C499" s="2"/>
      <c r="D499" s="2"/>
      <c r="E499" s="2"/>
      <c r="F499" s="2"/>
      <c r="G499" s="2"/>
    </row>
    <row r="500" spans="1:7" ht="12.5">
      <c r="A500" s="2"/>
      <c r="B500" s="2"/>
      <c r="C500" s="2"/>
      <c r="D500" s="2"/>
      <c r="E500" s="2"/>
      <c r="F500" s="2"/>
      <c r="G500" s="2"/>
    </row>
    <row r="501" spans="1:7" ht="12.5">
      <c r="A501" s="2"/>
      <c r="B501" s="2"/>
      <c r="C501" s="2"/>
      <c r="D501" s="2"/>
      <c r="E501" s="2"/>
      <c r="F501" s="2"/>
      <c r="G501" s="2"/>
    </row>
    <row r="502" spans="1:7" ht="12.5">
      <c r="A502" s="2"/>
      <c r="B502" s="2"/>
      <c r="C502" s="2"/>
      <c r="D502" s="2"/>
      <c r="E502" s="2"/>
      <c r="F502" s="2"/>
      <c r="G502" s="2"/>
    </row>
    <row r="503" spans="1:7" ht="12.5">
      <c r="A503" s="2"/>
      <c r="B503" s="2"/>
      <c r="C503" s="2"/>
      <c r="D503" s="2"/>
      <c r="E503" s="2"/>
      <c r="F503" s="2"/>
      <c r="G503" s="2"/>
    </row>
    <row r="504" spans="1:7" ht="12.5">
      <c r="A504" s="2"/>
      <c r="B504" s="2"/>
      <c r="C504" s="2"/>
      <c r="D504" s="2"/>
      <c r="E504" s="2"/>
      <c r="F504" s="2"/>
      <c r="G504" s="2"/>
    </row>
    <row r="505" spans="1:7" ht="12.5">
      <c r="A505" s="2"/>
      <c r="B505" s="2"/>
      <c r="C505" s="2"/>
      <c r="D505" s="2"/>
      <c r="E505" s="2"/>
      <c r="F505" s="2"/>
      <c r="G505" s="2"/>
    </row>
    <row r="506" spans="1:7" ht="12.5">
      <c r="A506" s="2"/>
      <c r="B506" s="2"/>
      <c r="C506" s="2"/>
      <c r="D506" s="2"/>
      <c r="E506" s="2"/>
      <c r="F506" s="2"/>
      <c r="G506" s="2"/>
    </row>
    <row r="507" spans="1:7" ht="12.5">
      <c r="A507" s="2"/>
      <c r="B507" s="2"/>
      <c r="C507" s="2"/>
      <c r="D507" s="2"/>
      <c r="E507" s="2"/>
      <c r="F507" s="2"/>
      <c r="G507" s="2"/>
    </row>
    <row r="508" spans="1:7" ht="12.5">
      <c r="A508" s="2"/>
      <c r="B508" s="2"/>
      <c r="C508" s="2"/>
      <c r="D508" s="2"/>
      <c r="E508" s="2"/>
      <c r="F508" s="2"/>
      <c r="G508" s="2"/>
    </row>
    <row r="509" spans="1:7" ht="12.5">
      <c r="A509" s="2"/>
      <c r="B509" s="2"/>
      <c r="C509" s="2"/>
      <c r="D509" s="2"/>
      <c r="E509" s="2"/>
      <c r="F509" s="2"/>
      <c r="G509" s="2"/>
    </row>
    <row r="510" spans="1:7" ht="12.5">
      <c r="A510" s="2"/>
      <c r="B510" s="2"/>
      <c r="C510" s="2"/>
      <c r="D510" s="2"/>
      <c r="E510" s="2"/>
      <c r="F510" s="2"/>
      <c r="G510" s="2"/>
    </row>
    <row r="511" spans="1:7" ht="12.5">
      <c r="A511" s="2"/>
      <c r="B511" s="2"/>
      <c r="C511" s="2"/>
      <c r="D511" s="2"/>
      <c r="E511" s="2"/>
      <c r="F511" s="2"/>
      <c r="G511" s="2"/>
    </row>
    <row r="512" spans="1:7" ht="12.5">
      <c r="A512" s="2"/>
      <c r="B512" s="2"/>
      <c r="C512" s="2"/>
      <c r="D512" s="2"/>
      <c r="E512" s="2"/>
      <c r="F512" s="2"/>
      <c r="G512" s="2"/>
    </row>
    <row r="513" spans="1:7" ht="12.5">
      <c r="A513" s="2"/>
      <c r="B513" s="2"/>
      <c r="C513" s="2"/>
      <c r="D513" s="2"/>
      <c r="E513" s="2"/>
      <c r="F513" s="2"/>
      <c r="G513" s="2"/>
    </row>
    <row r="514" spans="1:7" ht="12.5">
      <c r="A514" s="2"/>
      <c r="B514" s="2"/>
      <c r="C514" s="2"/>
      <c r="D514" s="2"/>
      <c r="E514" s="2"/>
      <c r="F514" s="2"/>
      <c r="G514" s="2"/>
    </row>
    <row r="515" spans="1:7" ht="12.5">
      <c r="A515" s="2"/>
      <c r="B515" s="2"/>
      <c r="C515" s="2"/>
      <c r="D515" s="2"/>
      <c r="E515" s="2"/>
      <c r="F515" s="2"/>
      <c r="G515" s="2"/>
    </row>
    <row r="516" spans="1:7" ht="12.5">
      <c r="A516" s="2"/>
      <c r="B516" s="2"/>
      <c r="C516" s="2"/>
      <c r="D516" s="2"/>
      <c r="E516" s="2"/>
      <c r="F516" s="2"/>
      <c r="G516" s="2"/>
    </row>
    <row r="517" spans="1:7" ht="12.5">
      <c r="A517" s="2"/>
      <c r="B517" s="2"/>
      <c r="C517" s="2"/>
      <c r="D517" s="2"/>
      <c r="E517" s="2"/>
      <c r="F517" s="2"/>
      <c r="G517" s="2"/>
    </row>
    <row r="518" spans="1:7" ht="12.5">
      <c r="A518" s="2"/>
      <c r="B518" s="2"/>
      <c r="C518" s="2"/>
      <c r="D518" s="2"/>
      <c r="E518" s="2"/>
      <c r="F518" s="2"/>
      <c r="G518" s="2"/>
    </row>
    <row r="519" spans="1:7" ht="12.5">
      <c r="A519" s="2"/>
      <c r="B519" s="2"/>
      <c r="C519" s="2"/>
      <c r="D519" s="2"/>
      <c r="E519" s="2"/>
      <c r="F519" s="2"/>
      <c r="G519" s="2"/>
    </row>
    <row r="520" spans="1:7" ht="12.5">
      <c r="A520" s="2"/>
      <c r="B520" s="2"/>
      <c r="C520" s="2"/>
      <c r="D520" s="2"/>
      <c r="E520" s="2"/>
      <c r="F520" s="2"/>
      <c r="G520" s="2"/>
    </row>
    <row r="521" spans="1:7" ht="12.5">
      <c r="A521" s="2"/>
      <c r="B521" s="2"/>
      <c r="C521" s="2"/>
      <c r="D521" s="2"/>
      <c r="E521" s="2"/>
      <c r="F521" s="2"/>
      <c r="G521" s="2"/>
    </row>
    <row r="522" spans="1:7" ht="12.5">
      <c r="A522" s="2"/>
      <c r="B522" s="2"/>
      <c r="C522" s="2"/>
      <c r="D522" s="2"/>
      <c r="E522" s="2"/>
      <c r="F522" s="2"/>
      <c r="G522" s="2"/>
    </row>
    <row r="523" spans="1:7" ht="12.5">
      <c r="A523" s="2"/>
      <c r="B523" s="2"/>
      <c r="C523" s="2"/>
      <c r="D523" s="2"/>
      <c r="E523" s="2"/>
      <c r="F523" s="2"/>
      <c r="G523" s="2"/>
    </row>
    <row r="524" spans="1:7" ht="12.5">
      <c r="A524" s="2"/>
      <c r="B524" s="2"/>
      <c r="C524" s="2"/>
      <c r="D524" s="2"/>
      <c r="E524" s="2"/>
      <c r="F524" s="2"/>
      <c r="G524" s="2"/>
    </row>
    <row r="525" spans="1:7" ht="12.5">
      <c r="A525" s="2"/>
      <c r="B525" s="2"/>
      <c r="C525" s="2"/>
      <c r="D525" s="2"/>
      <c r="E525" s="2"/>
      <c r="F525" s="2"/>
      <c r="G525" s="2"/>
    </row>
    <row r="526" spans="1:7" ht="12.5">
      <c r="A526" s="2"/>
      <c r="B526" s="2"/>
      <c r="C526" s="2"/>
      <c r="D526" s="2"/>
      <c r="E526" s="2"/>
      <c r="F526" s="2"/>
      <c r="G526" s="2"/>
    </row>
    <row r="527" spans="1:7" ht="12.5">
      <c r="A527" s="2"/>
      <c r="B527" s="2"/>
      <c r="C527" s="2"/>
      <c r="D527" s="2"/>
      <c r="E527" s="2"/>
      <c r="F527" s="2"/>
      <c r="G527" s="2"/>
    </row>
    <row r="528" spans="1:7" ht="12.5">
      <c r="A528" s="2"/>
      <c r="B528" s="2"/>
      <c r="C528" s="2"/>
      <c r="D528" s="2"/>
      <c r="E528" s="2"/>
      <c r="F528" s="2"/>
      <c r="G528" s="2"/>
    </row>
    <row r="529" spans="1:7" ht="12.5">
      <c r="A529" s="2"/>
      <c r="B529" s="2"/>
      <c r="C529" s="2"/>
      <c r="D529" s="2"/>
      <c r="E529" s="2"/>
      <c r="F529" s="2"/>
      <c r="G529" s="2"/>
    </row>
    <row r="530" spans="1:7" ht="12.5">
      <c r="A530" s="2"/>
      <c r="B530" s="2"/>
      <c r="C530" s="2"/>
      <c r="D530" s="2"/>
      <c r="E530" s="2"/>
      <c r="F530" s="2"/>
      <c r="G530" s="2"/>
    </row>
    <row r="531" spans="1:7" ht="12.5">
      <c r="A531" s="2"/>
      <c r="B531" s="2"/>
      <c r="C531" s="2"/>
      <c r="D531" s="2"/>
      <c r="E531" s="2"/>
      <c r="F531" s="2"/>
      <c r="G531" s="2"/>
    </row>
    <row r="532" spans="1:7" ht="12.5">
      <c r="A532" s="2"/>
      <c r="B532" s="2"/>
      <c r="C532" s="2"/>
      <c r="D532" s="2"/>
      <c r="E532" s="2"/>
      <c r="F532" s="2"/>
      <c r="G532" s="2"/>
    </row>
    <row r="533" spans="1:7" ht="12.5">
      <c r="A533" s="2"/>
      <c r="B533" s="2"/>
      <c r="C533" s="2"/>
      <c r="D533" s="2"/>
      <c r="E533" s="2"/>
      <c r="F533" s="2"/>
      <c r="G533" s="2"/>
    </row>
    <row r="534" spans="1:7" ht="12.5">
      <c r="A534" s="2"/>
      <c r="B534" s="2"/>
      <c r="C534" s="2"/>
      <c r="D534" s="2"/>
      <c r="E534" s="2"/>
      <c r="F534" s="2"/>
      <c r="G534" s="2"/>
    </row>
    <row r="535" spans="1:7" ht="12.5">
      <c r="A535" s="2"/>
      <c r="B535" s="2"/>
      <c r="C535" s="2"/>
      <c r="D535" s="2"/>
      <c r="E535" s="2"/>
      <c r="F535" s="2"/>
      <c r="G535" s="2"/>
    </row>
    <row r="536" spans="1:7" ht="12.5">
      <c r="A536" s="2"/>
      <c r="B536" s="2"/>
      <c r="C536" s="2"/>
      <c r="D536" s="2"/>
      <c r="E536" s="2"/>
      <c r="F536" s="2"/>
      <c r="G536" s="2"/>
    </row>
    <row r="537" spans="1:7" ht="12.5">
      <c r="A537" s="2"/>
      <c r="B537" s="2"/>
      <c r="C537" s="2"/>
      <c r="D537" s="2"/>
      <c r="E537" s="2"/>
      <c r="F537" s="2"/>
      <c r="G537" s="2"/>
    </row>
    <row r="538" spans="1:7" ht="12.5">
      <c r="A538" s="2"/>
      <c r="B538" s="2"/>
      <c r="C538" s="2"/>
      <c r="D538" s="2"/>
      <c r="E538" s="2"/>
      <c r="F538" s="2"/>
      <c r="G538" s="2"/>
    </row>
    <row r="539" spans="1:7" ht="12.5">
      <c r="A539" s="2"/>
      <c r="B539" s="2"/>
      <c r="C539" s="2"/>
      <c r="D539" s="2"/>
      <c r="E539" s="2"/>
      <c r="F539" s="2"/>
      <c r="G539" s="2"/>
    </row>
    <row r="540" spans="1:7" ht="12.5">
      <c r="A540" s="2"/>
      <c r="B540" s="2"/>
      <c r="C540" s="2"/>
      <c r="D540" s="2"/>
      <c r="E540" s="2"/>
      <c r="F540" s="2"/>
      <c r="G540" s="2"/>
    </row>
    <row r="541" spans="1:7" ht="12.5">
      <c r="A541" s="2"/>
      <c r="B541" s="2"/>
      <c r="C541" s="2"/>
      <c r="D541" s="2"/>
      <c r="E541" s="2"/>
      <c r="F541" s="2"/>
      <c r="G541" s="2"/>
    </row>
    <row r="542" spans="1:7" ht="12.5">
      <c r="A542" s="2"/>
      <c r="B542" s="2"/>
      <c r="C542" s="2"/>
      <c r="D542" s="2"/>
      <c r="E542" s="2"/>
      <c r="F542" s="2"/>
      <c r="G542" s="2"/>
    </row>
    <row r="543" spans="1:7" ht="12.5">
      <c r="A543" s="2"/>
      <c r="B543" s="2"/>
      <c r="C543" s="2"/>
      <c r="D543" s="2"/>
      <c r="E543" s="2"/>
      <c r="F543" s="2"/>
      <c r="G543" s="2"/>
    </row>
    <row r="544" spans="1:7" ht="12.5">
      <c r="A544" s="2"/>
      <c r="B544" s="2"/>
      <c r="C544" s="2"/>
      <c r="D544" s="2"/>
      <c r="E544" s="2"/>
      <c r="F544" s="2"/>
      <c r="G544" s="2"/>
    </row>
    <row r="545" spans="1:7" ht="12.5">
      <c r="A545" s="2"/>
      <c r="B545" s="2"/>
      <c r="C545" s="2"/>
      <c r="D545" s="2"/>
      <c r="E545" s="2"/>
      <c r="F545" s="2"/>
      <c r="G545" s="2"/>
    </row>
    <row r="546" spans="1:7" ht="12.5">
      <c r="A546" s="2"/>
      <c r="B546" s="2"/>
      <c r="C546" s="2"/>
      <c r="D546" s="2"/>
      <c r="E546" s="2"/>
      <c r="F546" s="2"/>
      <c r="G546" s="2"/>
    </row>
    <row r="547" spans="1:7" ht="12.5">
      <c r="A547" s="2"/>
      <c r="B547" s="2"/>
      <c r="C547" s="2"/>
      <c r="D547" s="2"/>
      <c r="E547" s="2"/>
      <c r="F547" s="2"/>
      <c r="G547" s="2"/>
    </row>
    <row r="548" spans="1:7" ht="12.5">
      <c r="A548" s="2"/>
      <c r="B548" s="2"/>
      <c r="C548" s="2"/>
      <c r="D548" s="2"/>
      <c r="E548" s="2"/>
      <c r="F548" s="2"/>
      <c r="G548" s="2"/>
    </row>
    <row r="549" spans="1:7" ht="12.5">
      <c r="A549" s="2"/>
      <c r="B549" s="2"/>
      <c r="C549" s="2"/>
      <c r="D549" s="2"/>
      <c r="E549" s="2"/>
      <c r="F549" s="2"/>
      <c r="G549" s="2"/>
    </row>
    <row r="550" spans="1:7" ht="12.5">
      <c r="A550" s="2"/>
      <c r="B550" s="2"/>
      <c r="C550" s="2"/>
      <c r="D550" s="2"/>
      <c r="E550" s="2"/>
      <c r="F550" s="2"/>
      <c r="G550" s="2"/>
    </row>
    <row r="551" spans="1:7" ht="12.5">
      <c r="A551" s="2"/>
      <c r="B551" s="2"/>
      <c r="C551" s="2"/>
      <c r="D551" s="2"/>
      <c r="E551" s="2"/>
      <c r="F551" s="2"/>
      <c r="G551" s="2"/>
    </row>
    <row r="552" spans="1:7" ht="12.5">
      <c r="A552" s="2"/>
      <c r="B552" s="2"/>
      <c r="C552" s="2"/>
      <c r="D552" s="2"/>
      <c r="E552" s="2"/>
      <c r="F552" s="2"/>
      <c r="G552" s="2"/>
    </row>
    <row r="553" spans="1:7" ht="12.5">
      <c r="A553" s="2"/>
      <c r="B553" s="2"/>
      <c r="C553" s="2"/>
      <c r="D553" s="2"/>
      <c r="E553" s="2"/>
      <c r="F553" s="2"/>
      <c r="G553" s="2"/>
    </row>
    <row r="554" spans="1:7" ht="12.5">
      <c r="A554" s="2"/>
      <c r="B554" s="2"/>
      <c r="C554" s="2"/>
      <c r="D554" s="2"/>
      <c r="E554" s="2"/>
      <c r="F554" s="2"/>
      <c r="G554" s="2"/>
    </row>
    <row r="555" spans="1:7" ht="12.5">
      <c r="A555" s="2"/>
      <c r="B555" s="2"/>
      <c r="C555" s="2"/>
      <c r="D555" s="2"/>
      <c r="E555" s="2"/>
      <c r="F555" s="2"/>
      <c r="G555" s="2"/>
    </row>
    <row r="556" spans="1:7" ht="12.5">
      <c r="A556" s="2"/>
      <c r="B556" s="2"/>
      <c r="C556" s="2"/>
      <c r="D556" s="2"/>
      <c r="E556" s="2"/>
      <c r="F556" s="2"/>
      <c r="G556" s="2"/>
    </row>
    <row r="557" spans="1:7" ht="12.5">
      <c r="A557" s="2"/>
      <c r="B557" s="2"/>
      <c r="C557" s="2"/>
      <c r="D557" s="2"/>
      <c r="E557" s="2"/>
      <c r="F557" s="2"/>
      <c r="G557" s="2"/>
    </row>
    <row r="558" spans="1:7" ht="12.5">
      <c r="A558" s="2"/>
      <c r="B558" s="2"/>
      <c r="C558" s="2"/>
      <c r="D558" s="2"/>
      <c r="E558" s="2"/>
      <c r="F558" s="2"/>
      <c r="G558" s="2"/>
    </row>
    <row r="559" spans="1:7" ht="12.5">
      <c r="A559" s="2"/>
      <c r="B559" s="2"/>
      <c r="C559" s="2"/>
      <c r="D559" s="2"/>
      <c r="E559" s="2"/>
      <c r="F559" s="2"/>
      <c r="G559" s="2"/>
    </row>
    <row r="560" spans="1:7" ht="12.5">
      <c r="A560" s="2"/>
      <c r="B560" s="2"/>
      <c r="C560" s="2"/>
      <c r="D560" s="2"/>
      <c r="E560" s="2"/>
      <c r="F560" s="2"/>
      <c r="G560" s="2"/>
    </row>
    <row r="561" spans="1:7" ht="12.5">
      <c r="A561" s="2"/>
      <c r="B561" s="2"/>
      <c r="C561" s="2"/>
      <c r="D561" s="2"/>
      <c r="E561" s="2"/>
      <c r="F561" s="2"/>
      <c r="G561" s="2"/>
    </row>
    <row r="562" spans="1:7" ht="12.5">
      <c r="A562" s="2"/>
      <c r="B562" s="2"/>
      <c r="C562" s="2"/>
      <c r="D562" s="2"/>
      <c r="E562" s="2"/>
      <c r="F562" s="2"/>
      <c r="G562" s="2"/>
    </row>
    <row r="563" spans="1:7" ht="12.5">
      <c r="A563" s="2"/>
      <c r="B563" s="2"/>
      <c r="C563" s="2"/>
      <c r="D563" s="2"/>
      <c r="E563" s="2"/>
      <c r="F563" s="2"/>
      <c r="G563" s="2"/>
    </row>
    <row r="564" spans="1:7" ht="12.5">
      <c r="A564" s="2"/>
      <c r="B564" s="2"/>
      <c r="C564" s="2"/>
      <c r="D564" s="2"/>
      <c r="E564" s="2"/>
      <c r="F564" s="2"/>
      <c r="G564" s="2"/>
    </row>
    <row r="565" spans="1:7" ht="12.5">
      <c r="A565" s="2"/>
      <c r="B565" s="2"/>
      <c r="C565" s="2"/>
      <c r="D565" s="2"/>
      <c r="E565" s="2"/>
      <c r="F565" s="2"/>
      <c r="G565" s="2"/>
    </row>
    <row r="566" spans="1:7" ht="12.5">
      <c r="A566" s="2"/>
      <c r="B566" s="2"/>
      <c r="C566" s="2"/>
      <c r="D566" s="2"/>
      <c r="E566" s="2"/>
      <c r="F566" s="2"/>
      <c r="G566" s="2"/>
    </row>
    <row r="567" spans="1:7" ht="12.5">
      <c r="A567" s="2"/>
      <c r="B567" s="2"/>
      <c r="C567" s="2"/>
      <c r="D567" s="2"/>
      <c r="E567" s="2"/>
      <c r="F567" s="2"/>
      <c r="G567" s="2"/>
    </row>
    <row r="568" spans="1:7" ht="12.5">
      <c r="A568" s="2"/>
      <c r="B568" s="2"/>
      <c r="C568" s="2"/>
      <c r="D568" s="2"/>
      <c r="E568" s="2"/>
      <c r="F568" s="2"/>
      <c r="G568" s="2"/>
    </row>
    <row r="569" spans="1:7" ht="12.5">
      <c r="A569" s="2"/>
      <c r="B569" s="2"/>
      <c r="C569" s="2"/>
      <c r="D569" s="2"/>
      <c r="E569" s="2"/>
      <c r="F569" s="2"/>
      <c r="G569" s="2"/>
    </row>
    <row r="570" spans="1:7" ht="12.5">
      <c r="A570" s="2"/>
      <c r="B570" s="2"/>
      <c r="C570" s="2"/>
      <c r="D570" s="2"/>
      <c r="E570" s="2"/>
      <c r="F570" s="2"/>
      <c r="G570" s="2"/>
    </row>
    <row r="571" spans="1:7" ht="12.5">
      <c r="A571" s="2"/>
      <c r="B571" s="2"/>
      <c r="C571" s="2"/>
      <c r="D571" s="2"/>
      <c r="E571" s="2"/>
      <c r="F571" s="2"/>
      <c r="G571" s="2"/>
    </row>
    <row r="572" spans="1:7" ht="12.5">
      <c r="A572" s="2"/>
      <c r="B572" s="2"/>
      <c r="C572" s="2"/>
      <c r="D572" s="2"/>
      <c r="E572" s="2"/>
      <c r="F572" s="2"/>
      <c r="G572" s="2"/>
    </row>
    <row r="573" spans="1:7" ht="12.5">
      <c r="A573" s="2"/>
      <c r="B573" s="2"/>
      <c r="C573" s="2"/>
      <c r="D573" s="2"/>
      <c r="E573" s="2"/>
      <c r="F573" s="2"/>
      <c r="G573" s="2"/>
    </row>
    <row r="574" spans="1:7" ht="12.5">
      <c r="A574" s="2"/>
      <c r="B574" s="2"/>
      <c r="C574" s="2"/>
      <c r="D574" s="2"/>
      <c r="E574" s="2"/>
      <c r="F574" s="2"/>
      <c r="G574" s="2"/>
    </row>
    <row r="575" spans="1:7" ht="12.5">
      <c r="A575" s="2"/>
      <c r="B575" s="2"/>
      <c r="C575" s="2"/>
      <c r="D575" s="2"/>
      <c r="E575" s="2"/>
      <c r="F575" s="2"/>
      <c r="G575" s="2"/>
    </row>
    <row r="576" spans="1:7" ht="12.5">
      <c r="A576" s="2"/>
      <c r="B576" s="2"/>
      <c r="C576" s="2"/>
      <c r="D576" s="2"/>
      <c r="E576" s="2"/>
      <c r="F576" s="2"/>
      <c r="G576" s="2"/>
    </row>
    <row r="577" spans="1:7" ht="12.5">
      <c r="A577" s="2"/>
      <c r="B577" s="2"/>
      <c r="C577" s="2"/>
      <c r="D577" s="2"/>
      <c r="E577" s="2"/>
      <c r="F577" s="2"/>
      <c r="G577" s="2"/>
    </row>
    <row r="578" spans="1:7" ht="12.5">
      <c r="A578" s="2"/>
      <c r="B578" s="2"/>
      <c r="C578" s="2"/>
      <c r="D578" s="2"/>
      <c r="E578" s="2"/>
      <c r="F578" s="2"/>
      <c r="G578" s="2"/>
    </row>
    <row r="579" spans="1:7" ht="12.5">
      <c r="A579" s="2"/>
      <c r="B579" s="2"/>
      <c r="C579" s="2"/>
      <c r="D579" s="2"/>
      <c r="E579" s="2"/>
      <c r="F579" s="2"/>
      <c r="G579" s="2"/>
    </row>
    <row r="580" spans="1:7" ht="12.5">
      <c r="A580" s="2"/>
      <c r="B580" s="2"/>
      <c r="C580" s="2"/>
      <c r="D580" s="2"/>
      <c r="E580" s="2"/>
      <c r="F580" s="2"/>
      <c r="G580" s="2"/>
    </row>
    <row r="581" spans="1:7" ht="12.5">
      <c r="A581" s="2"/>
      <c r="B581" s="2"/>
      <c r="C581" s="2"/>
      <c r="D581" s="2"/>
      <c r="E581" s="2"/>
      <c r="F581" s="2"/>
      <c r="G581" s="2"/>
    </row>
    <row r="582" spans="1:7" ht="12.5">
      <c r="A582" s="2"/>
      <c r="B582" s="2"/>
      <c r="C582" s="2"/>
      <c r="D582" s="2"/>
      <c r="E582" s="2"/>
      <c r="F582" s="2"/>
      <c r="G582" s="2"/>
    </row>
    <row r="583" spans="1:7" ht="12.5">
      <c r="A583" s="2"/>
      <c r="B583" s="2"/>
      <c r="C583" s="2"/>
      <c r="D583" s="2"/>
      <c r="E583" s="2"/>
      <c r="F583" s="2"/>
      <c r="G583" s="2"/>
    </row>
    <row r="584" spans="1:7" ht="12.5">
      <c r="A584" s="2"/>
      <c r="B584" s="2"/>
      <c r="C584" s="2"/>
      <c r="D584" s="2"/>
      <c r="E584" s="2"/>
      <c r="F584" s="2"/>
      <c r="G584" s="2"/>
    </row>
    <row r="585" spans="1:7" ht="12.5">
      <c r="A585" s="2"/>
      <c r="B585" s="2"/>
      <c r="C585" s="2"/>
      <c r="D585" s="2"/>
      <c r="E585" s="2"/>
      <c r="F585" s="2"/>
      <c r="G585" s="2"/>
    </row>
    <row r="586" spans="1:7" ht="12.5">
      <c r="A586" s="2"/>
      <c r="B586" s="2"/>
      <c r="C586" s="2"/>
      <c r="D586" s="2"/>
      <c r="E586" s="2"/>
      <c r="F586" s="2"/>
      <c r="G586" s="2"/>
    </row>
    <row r="587" spans="1:7" ht="12.5">
      <c r="A587" s="2"/>
      <c r="B587" s="2"/>
      <c r="C587" s="2"/>
      <c r="D587" s="2"/>
      <c r="E587" s="2"/>
      <c r="F587" s="2"/>
      <c r="G587" s="2"/>
    </row>
    <row r="588" spans="1:7" ht="12.5">
      <c r="A588" s="2"/>
      <c r="B588" s="2"/>
      <c r="C588" s="2"/>
      <c r="D588" s="2"/>
      <c r="E588" s="2"/>
      <c r="F588" s="2"/>
      <c r="G588" s="2"/>
    </row>
    <row r="589" spans="1:7" ht="12.5">
      <c r="A589" s="2"/>
      <c r="B589" s="2"/>
      <c r="C589" s="2"/>
      <c r="D589" s="2"/>
      <c r="E589" s="2"/>
      <c r="F589" s="2"/>
      <c r="G589" s="2"/>
    </row>
    <row r="590" spans="1:7" ht="12.5">
      <c r="A590" s="2"/>
      <c r="B590" s="2"/>
      <c r="C590" s="2"/>
      <c r="D590" s="2"/>
      <c r="E590" s="2"/>
      <c r="F590" s="2"/>
      <c r="G590" s="2"/>
    </row>
    <row r="591" spans="1:7" ht="12.5">
      <c r="A591" s="2"/>
      <c r="B591" s="2"/>
      <c r="C591" s="2"/>
      <c r="D591" s="2"/>
      <c r="E591" s="2"/>
      <c r="F591" s="2"/>
      <c r="G591" s="2"/>
    </row>
    <row r="592" spans="1:7" ht="12.5">
      <c r="A592" s="2"/>
      <c r="B592" s="2"/>
      <c r="C592" s="2"/>
      <c r="D592" s="2"/>
      <c r="E592" s="2"/>
      <c r="F592" s="2"/>
      <c r="G592" s="2"/>
    </row>
    <row r="593" spans="1:7" ht="12.5">
      <c r="A593" s="2"/>
      <c r="B593" s="2"/>
      <c r="C593" s="2"/>
      <c r="D593" s="2"/>
      <c r="E593" s="2"/>
      <c r="F593" s="2"/>
      <c r="G593" s="2"/>
    </row>
    <row r="594" spans="1:7" ht="12.5">
      <c r="A594" s="2"/>
      <c r="B594" s="2"/>
      <c r="C594" s="2"/>
      <c r="D594" s="2"/>
      <c r="E594" s="2"/>
      <c r="F594" s="2"/>
      <c r="G594" s="2"/>
    </row>
    <row r="595" spans="1:7" ht="12.5">
      <c r="A595" s="2"/>
      <c r="B595" s="2"/>
      <c r="C595" s="2"/>
      <c r="D595" s="2"/>
      <c r="E595" s="2"/>
      <c r="F595" s="2"/>
      <c r="G595" s="2"/>
    </row>
    <row r="596" spans="1:7" ht="12.5">
      <c r="A596" s="2"/>
      <c r="B596" s="2"/>
      <c r="C596" s="2"/>
      <c r="D596" s="2"/>
      <c r="E596" s="2"/>
      <c r="F596" s="2"/>
      <c r="G596" s="2"/>
    </row>
    <row r="597" spans="1:7" ht="12.5">
      <c r="A597" s="2"/>
      <c r="B597" s="2"/>
      <c r="C597" s="2"/>
      <c r="D597" s="2"/>
      <c r="E597" s="2"/>
      <c r="F597" s="2"/>
      <c r="G597" s="2"/>
    </row>
    <row r="598" spans="1:7" ht="12.5">
      <c r="A598" s="2"/>
      <c r="B598" s="2"/>
      <c r="C598" s="2"/>
      <c r="D598" s="2"/>
      <c r="E598" s="2"/>
      <c r="F598" s="2"/>
      <c r="G598" s="2"/>
    </row>
    <row r="599" spans="1:7" ht="12.5">
      <c r="A599" s="2"/>
      <c r="B599" s="2"/>
      <c r="C599" s="2"/>
      <c r="D599" s="2"/>
      <c r="E599" s="2"/>
      <c r="F599" s="2"/>
      <c r="G599" s="2"/>
    </row>
    <row r="600" spans="1:7" ht="12.5">
      <c r="A600" s="2"/>
      <c r="B600" s="2"/>
      <c r="C600" s="2"/>
      <c r="D600" s="2"/>
      <c r="E600" s="2"/>
      <c r="F600" s="2"/>
      <c r="G600" s="2"/>
    </row>
    <row r="601" spans="1:7" ht="12.5">
      <c r="A601" s="2"/>
      <c r="B601" s="2"/>
      <c r="C601" s="2"/>
      <c r="D601" s="2"/>
      <c r="E601" s="2"/>
      <c r="F601" s="2"/>
      <c r="G601" s="2"/>
    </row>
    <row r="602" spans="1:7" ht="12.5">
      <c r="A602" s="2"/>
      <c r="B602" s="2"/>
      <c r="C602" s="2"/>
      <c r="D602" s="2"/>
      <c r="E602" s="2"/>
      <c r="F602" s="2"/>
      <c r="G602" s="2"/>
    </row>
    <row r="603" spans="1:7" ht="12.5">
      <c r="A603" s="2"/>
      <c r="B603" s="2"/>
      <c r="C603" s="2"/>
      <c r="D603" s="2"/>
      <c r="E603" s="2"/>
      <c r="F603" s="2"/>
      <c r="G603" s="2"/>
    </row>
    <row r="604" spans="1:7" ht="12.5">
      <c r="A604" s="2"/>
      <c r="B604" s="2"/>
      <c r="C604" s="2"/>
      <c r="D604" s="2"/>
      <c r="E604" s="2"/>
      <c r="F604" s="2"/>
      <c r="G604" s="2"/>
    </row>
    <row r="605" spans="1:7" ht="12.5">
      <c r="A605" s="2"/>
      <c r="B605" s="2"/>
      <c r="C605" s="2"/>
      <c r="D605" s="2"/>
      <c r="E605" s="2"/>
      <c r="F605" s="2"/>
      <c r="G605" s="2"/>
    </row>
    <row r="606" spans="1:7" ht="12.5">
      <c r="A606" s="2"/>
      <c r="B606" s="2"/>
      <c r="C606" s="2"/>
      <c r="D606" s="2"/>
      <c r="E606" s="2"/>
      <c r="F606" s="2"/>
      <c r="G606" s="2"/>
    </row>
    <row r="607" spans="1:7" ht="12.5">
      <c r="A607" s="2"/>
      <c r="B607" s="2"/>
      <c r="C607" s="2"/>
      <c r="D607" s="2"/>
      <c r="E607" s="2"/>
      <c r="F607" s="2"/>
      <c r="G607" s="2"/>
    </row>
    <row r="608" spans="1:7" ht="12.5">
      <c r="A608" s="2"/>
      <c r="B608" s="2"/>
      <c r="C608" s="2"/>
      <c r="D608" s="2"/>
      <c r="E608" s="2"/>
      <c r="F608" s="2"/>
      <c r="G608" s="2"/>
    </row>
    <row r="609" spans="1:7" ht="12.5">
      <c r="A609" s="2"/>
      <c r="B609" s="2"/>
      <c r="C609" s="2"/>
      <c r="D609" s="2"/>
      <c r="E609" s="2"/>
      <c r="F609" s="2"/>
      <c r="G609" s="2"/>
    </row>
    <row r="610" spans="1:7" ht="12.5">
      <c r="A610" s="2"/>
      <c r="B610" s="2"/>
      <c r="C610" s="2"/>
      <c r="D610" s="2"/>
      <c r="E610" s="2"/>
      <c r="F610" s="2"/>
      <c r="G610" s="2"/>
    </row>
    <row r="611" spans="1:7" ht="12.5">
      <c r="A611" s="2"/>
      <c r="B611" s="2"/>
      <c r="C611" s="2"/>
      <c r="D611" s="2"/>
      <c r="E611" s="2"/>
      <c r="F611" s="2"/>
      <c r="G611" s="2"/>
    </row>
    <row r="612" spans="1:7" ht="12.5">
      <c r="A612" s="2"/>
      <c r="B612" s="2"/>
      <c r="C612" s="2"/>
      <c r="D612" s="2"/>
      <c r="E612" s="2"/>
      <c r="F612" s="2"/>
      <c r="G612" s="2"/>
    </row>
    <row r="613" spans="1:7" ht="12.5">
      <c r="A613" s="2"/>
      <c r="B613" s="2"/>
      <c r="C613" s="2"/>
      <c r="D613" s="2"/>
      <c r="E613" s="2"/>
      <c r="F613" s="2"/>
      <c r="G613" s="2"/>
    </row>
    <row r="614" spans="1:7" ht="12.5">
      <c r="A614" s="2"/>
      <c r="B614" s="2"/>
      <c r="C614" s="2"/>
      <c r="D614" s="2"/>
      <c r="E614" s="2"/>
      <c r="F614" s="2"/>
      <c r="G614" s="2"/>
    </row>
    <row r="615" spans="1:7" ht="12.5">
      <c r="A615" s="2"/>
      <c r="B615" s="2"/>
      <c r="C615" s="2"/>
      <c r="D615" s="2"/>
      <c r="E615" s="2"/>
      <c r="F615" s="2"/>
      <c r="G615" s="2"/>
    </row>
    <row r="616" spans="1:7" ht="12.5">
      <c r="A616" s="2"/>
      <c r="B616" s="2"/>
      <c r="C616" s="2"/>
      <c r="D616" s="2"/>
      <c r="E616" s="2"/>
      <c r="F616" s="2"/>
      <c r="G616" s="2"/>
    </row>
    <row r="617" spans="1:7" ht="12.5">
      <c r="A617" s="2"/>
      <c r="B617" s="2"/>
      <c r="C617" s="2"/>
      <c r="D617" s="2"/>
      <c r="E617" s="2"/>
      <c r="F617" s="2"/>
      <c r="G617" s="2"/>
    </row>
    <row r="618" spans="1:7" ht="12.5">
      <c r="A618" s="2"/>
      <c r="B618" s="2"/>
      <c r="C618" s="2"/>
      <c r="D618" s="2"/>
      <c r="E618" s="2"/>
      <c r="F618" s="2"/>
      <c r="G618" s="2"/>
    </row>
    <row r="619" spans="1:7" ht="12.5">
      <c r="A619" s="2"/>
      <c r="B619" s="2"/>
      <c r="C619" s="2"/>
      <c r="D619" s="2"/>
      <c r="E619" s="2"/>
      <c r="F619" s="2"/>
      <c r="G619" s="2"/>
    </row>
    <row r="620" spans="1:7" ht="12.5">
      <c r="A620" s="2"/>
      <c r="B620" s="2"/>
      <c r="C620" s="2"/>
      <c r="D620" s="2"/>
      <c r="E620" s="2"/>
      <c r="F620" s="2"/>
      <c r="G620" s="2"/>
    </row>
    <row r="621" spans="1:7" ht="12.5">
      <c r="A621" s="2"/>
      <c r="B621" s="2"/>
      <c r="C621" s="2"/>
      <c r="D621" s="2"/>
      <c r="E621" s="2"/>
      <c r="F621" s="2"/>
      <c r="G621" s="2"/>
    </row>
    <row r="622" spans="1:7" ht="12.5">
      <c r="A622" s="2"/>
      <c r="B622" s="2"/>
      <c r="C622" s="2"/>
      <c r="D622" s="2"/>
      <c r="E622" s="2"/>
      <c r="F622" s="2"/>
      <c r="G622" s="2"/>
    </row>
    <row r="623" spans="1:7" ht="12.5">
      <c r="A623" s="2"/>
      <c r="B623" s="2"/>
      <c r="C623" s="2"/>
      <c r="D623" s="2"/>
      <c r="E623" s="2"/>
      <c r="F623" s="2"/>
      <c r="G623" s="2"/>
    </row>
    <row r="624" spans="1:7" ht="12.5">
      <c r="A624" s="2"/>
      <c r="B624" s="2"/>
      <c r="C624" s="2"/>
      <c r="D624" s="2"/>
      <c r="E624" s="2"/>
      <c r="F624" s="2"/>
      <c r="G624" s="2"/>
    </row>
    <row r="625" spans="1:7" ht="12.5">
      <c r="A625" s="2"/>
      <c r="B625" s="2"/>
      <c r="C625" s="2"/>
      <c r="D625" s="2"/>
      <c r="E625" s="2"/>
      <c r="F625" s="2"/>
      <c r="G625" s="2"/>
    </row>
    <row r="626" spans="1:7" ht="12.5">
      <c r="A626" s="2"/>
      <c r="B626" s="2"/>
      <c r="C626" s="2"/>
      <c r="D626" s="2"/>
      <c r="E626" s="2"/>
      <c r="F626" s="2"/>
      <c r="G626" s="2"/>
    </row>
    <row r="627" spans="1:7" ht="12.5">
      <c r="A627" s="2"/>
      <c r="B627" s="2"/>
      <c r="C627" s="2"/>
      <c r="D627" s="2"/>
      <c r="E627" s="2"/>
      <c r="F627" s="2"/>
      <c r="G627" s="2"/>
    </row>
    <row r="628" spans="1:7" ht="12.5">
      <c r="A628" s="2"/>
      <c r="B628" s="2"/>
      <c r="C628" s="2"/>
      <c r="D628" s="2"/>
      <c r="E628" s="2"/>
      <c r="F628" s="2"/>
      <c r="G628" s="2"/>
    </row>
    <row r="629" spans="1:7" ht="12.5">
      <c r="A629" s="2"/>
      <c r="B629" s="2"/>
      <c r="C629" s="2"/>
      <c r="D629" s="2"/>
      <c r="E629" s="2"/>
      <c r="F629" s="2"/>
      <c r="G629" s="2"/>
    </row>
    <row r="630" spans="1:7" ht="12.5">
      <c r="A630" s="2"/>
      <c r="B630" s="2"/>
      <c r="C630" s="2"/>
      <c r="D630" s="2"/>
      <c r="E630" s="2"/>
      <c r="F630" s="2"/>
      <c r="G630" s="2"/>
    </row>
    <row r="631" spans="1:7" ht="12.5">
      <c r="A631" s="2"/>
      <c r="B631" s="2"/>
      <c r="C631" s="2"/>
      <c r="D631" s="2"/>
      <c r="E631" s="2"/>
      <c r="F631" s="2"/>
      <c r="G631" s="2"/>
    </row>
    <row r="632" spans="1:7" ht="12.5">
      <c r="A632" s="2"/>
      <c r="B632" s="2"/>
      <c r="C632" s="2"/>
      <c r="D632" s="2"/>
      <c r="E632" s="2"/>
      <c r="F632" s="2"/>
      <c r="G632" s="2"/>
    </row>
    <row r="633" spans="1:7" ht="12.5">
      <c r="A633" s="2"/>
      <c r="B633" s="2"/>
      <c r="C633" s="2"/>
      <c r="D633" s="2"/>
      <c r="E633" s="2"/>
      <c r="F633" s="2"/>
      <c r="G633" s="2"/>
    </row>
    <row r="634" spans="1:7" ht="12.5">
      <c r="A634" s="2"/>
      <c r="B634" s="2"/>
      <c r="C634" s="2"/>
      <c r="D634" s="2"/>
      <c r="E634" s="2"/>
      <c r="F634" s="2"/>
      <c r="G634" s="2"/>
    </row>
    <row r="635" spans="1:7" ht="12.5">
      <c r="A635" s="2"/>
      <c r="B635" s="2"/>
      <c r="C635" s="2"/>
      <c r="D635" s="2"/>
      <c r="E635" s="2"/>
      <c r="F635" s="2"/>
      <c r="G635" s="2"/>
    </row>
    <row r="636" spans="1:7" ht="12.5">
      <c r="A636" s="2"/>
      <c r="B636" s="2"/>
      <c r="C636" s="2"/>
      <c r="D636" s="2"/>
      <c r="E636" s="2"/>
      <c r="F636" s="2"/>
      <c r="G636" s="2"/>
    </row>
    <row r="637" spans="1:7" ht="12.5">
      <c r="A637" s="2"/>
      <c r="B637" s="2"/>
      <c r="C637" s="2"/>
      <c r="D637" s="2"/>
      <c r="E637" s="2"/>
      <c r="F637" s="2"/>
      <c r="G637" s="2"/>
    </row>
    <row r="638" spans="1:7" ht="12.5">
      <c r="A638" s="2"/>
      <c r="B638" s="2"/>
      <c r="C638" s="2"/>
      <c r="D638" s="2"/>
      <c r="E638" s="2"/>
      <c r="F638" s="2"/>
      <c r="G638" s="2"/>
    </row>
    <row r="639" spans="1:7" ht="12.5">
      <c r="A639" s="2"/>
      <c r="B639" s="2"/>
      <c r="C639" s="2"/>
      <c r="D639" s="2"/>
      <c r="E639" s="2"/>
      <c r="F639" s="2"/>
      <c r="G639" s="2"/>
    </row>
    <row r="640" spans="1:7" ht="12.5">
      <c r="A640" s="2"/>
      <c r="B640" s="2"/>
      <c r="C640" s="2"/>
      <c r="D640" s="2"/>
      <c r="E640" s="2"/>
      <c r="F640" s="2"/>
      <c r="G640" s="2"/>
    </row>
    <row r="641" spans="1:7" ht="12.5">
      <c r="A641" s="2"/>
      <c r="B641" s="2"/>
      <c r="C641" s="2"/>
      <c r="D641" s="2"/>
      <c r="E641" s="2"/>
      <c r="F641" s="2"/>
      <c r="G641" s="2"/>
    </row>
    <row r="642" spans="1:7" ht="12.5">
      <c r="A642" s="2"/>
      <c r="B642" s="2"/>
      <c r="C642" s="2"/>
      <c r="D642" s="2"/>
      <c r="E642" s="2"/>
      <c r="F642" s="2"/>
      <c r="G642" s="2"/>
    </row>
    <row r="643" spans="1:7" ht="12.5">
      <c r="A643" s="2"/>
      <c r="B643" s="2"/>
      <c r="C643" s="2"/>
      <c r="D643" s="2"/>
      <c r="E643" s="2"/>
      <c r="F643" s="2"/>
      <c r="G643" s="2"/>
    </row>
    <row r="644" spans="1:7" ht="12.5">
      <c r="A644" s="2"/>
      <c r="B644" s="2"/>
      <c r="C644" s="2"/>
      <c r="D644" s="2"/>
      <c r="E644" s="2"/>
      <c r="F644" s="2"/>
      <c r="G644" s="2"/>
    </row>
    <row r="645" spans="1:7" ht="12.5">
      <c r="A645" s="2"/>
      <c r="B645" s="2"/>
      <c r="C645" s="2"/>
      <c r="D645" s="2"/>
      <c r="E645" s="2"/>
      <c r="F645" s="2"/>
      <c r="G645" s="2"/>
    </row>
    <row r="646" spans="1:7" ht="12.5">
      <c r="A646" s="2"/>
      <c r="B646" s="2"/>
      <c r="C646" s="2"/>
      <c r="D646" s="2"/>
      <c r="E646" s="2"/>
      <c r="F646" s="2"/>
      <c r="G646" s="2"/>
    </row>
    <row r="647" spans="1:7" ht="12.5">
      <c r="A647" s="2"/>
      <c r="B647" s="2"/>
      <c r="C647" s="2"/>
      <c r="D647" s="2"/>
      <c r="E647" s="2"/>
      <c r="F647" s="2"/>
      <c r="G647" s="2"/>
    </row>
    <row r="648" spans="1:7" ht="12.5">
      <c r="A648" s="2"/>
      <c r="B648" s="2"/>
      <c r="C648" s="2"/>
      <c r="D648" s="2"/>
      <c r="E648" s="2"/>
      <c r="F648" s="2"/>
      <c r="G648" s="2"/>
    </row>
    <row r="649" spans="1:7" ht="12.5">
      <c r="A649" s="2"/>
      <c r="B649" s="2"/>
      <c r="C649" s="2"/>
      <c r="D649" s="2"/>
      <c r="E649" s="2"/>
      <c r="F649" s="2"/>
      <c r="G649" s="2"/>
    </row>
    <row r="650" spans="1:7" ht="12.5">
      <c r="A650" s="2"/>
      <c r="B650" s="2"/>
      <c r="C650" s="2"/>
      <c r="D650" s="2"/>
      <c r="E650" s="2"/>
      <c r="F650" s="2"/>
      <c r="G650" s="2"/>
    </row>
    <row r="651" spans="1:7" ht="12.5">
      <c r="A651" s="2"/>
      <c r="B651" s="2"/>
      <c r="C651" s="2"/>
      <c r="D651" s="2"/>
      <c r="E651" s="2"/>
      <c r="F651" s="2"/>
      <c r="G651" s="2"/>
    </row>
    <row r="652" spans="1:7" ht="12.5">
      <c r="A652" s="2"/>
      <c r="B652" s="2"/>
      <c r="C652" s="2"/>
      <c r="D652" s="2"/>
      <c r="E652" s="2"/>
      <c r="F652" s="2"/>
      <c r="G652" s="2"/>
    </row>
    <row r="653" spans="1:7" ht="12.5">
      <c r="A653" s="2"/>
      <c r="B653" s="2"/>
      <c r="C653" s="2"/>
      <c r="D653" s="2"/>
      <c r="E653" s="2"/>
      <c r="F653" s="2"/>
      <c r="G653" s="2"/>
    </row>
    <row r="654" spans="1:7" ht="12.5">
      <c r="A654" s="2"/>
      <c r="B654" s="2"/>
      <c r="C654" s="2"/>
      <c r="D654" s="2"/>
      <c r="E654" s="2"/>
      <c r="F654" s="2"/>
      <c r="G654" s="2"/>
    </row>
    <row r="655" spans="1:7" ht="12.5">
      <c r="A655" s="2"/>
      <c r="B655" s="2"/>
      <c r="C655" s="2"/>
      <c r="D655" s="2"/>
      <c r="E655" s="2"/>
      <c r="F655" s="2"/>
      <c r="G655" s="2"/>
    </row>
    <row r="656" spans="1:7" ht="12.5">
      <c r="A656" s="2"/>
      <c r="B656" s="2"/>
      <c r="C656" s="2"/>
      <c r="D656" s="2"/>
      <c r="E656" s="2"/>
      <c r="F656" s="2"/>
      <c r="G656" s="2"/>
    </row>
    <row r="657" spans="1:7" ht="12.5">
      <c r="A657" s="2"/>
      <c r="B657" s="2"/>
      <c r="C657" s="2"/>
      <c r="D657" s="2"/>
      <c r="E657" s="2"/>
      <c r="F657" s="2"/>
      <c r="G657" s="2"/>
    </row>
    <row r="658" spans="1:7" ht="12.5">
      <c r="A658" s="2"/>
      <c r="B658" s="2"/>
      <c r="C658" s="2"/>
      <c r="D658" s="2"/>
      <c r="E658" s="2"/>
      <c r="F658" s="2"/>
      <c r="G658" s="2"/>
    </row>
    <row r="659" spans="1:7" ht="12.5">
      <c r="A659" s="2"/>
      <c r="B659" s="2"/>
      <c r="C659" s="2"/>
      <c r="D659" s="2"/>
      <c r="E659" s="2"/>
      <c r="F659" s="2"/>
      <c r="G659" s="2"/>
    </row>
    <row r="660" spans="1:7" ht="12.5">
      <c r="A660" s="2"/>
      <c r="B660" s="2"/>
      <c r="C660" s="2"/>
      <c r="D660" s="2"/>
      <c r="E660" s="2"/>
      <c r="F660" s="2"/>
      <c r="G660" s="2"/>
    </row>
    <row r="661" spans="1:7" ht="12.5">
      <c r="A661" s="2"/>
      <c r="B661" s="2"/>
      <c r="C661" s="2"/>
      <c r="D661" s="2"/>
      <c r="E661" s="2"/>
      <c r="F661" s="2"/>
      <c r="G661" s="2"/>
    </row>
    <row r="662" spans="1:7" ht="12.5">
      <c r="A662" s="2"/>
      <c r="B662" s="2"/>
      <c r="C662" s="2"/>
      <c r="D662" s="2"/>
      <c r="E662" s="2"/>
      <c r="F662" s="2"/>
      <c r="G662" s="2"/>
    </row>
    <row r="663" spans="1:7" ht="12.5">
      <c r="A663" s="2"/>
      <c r="B663" s="2"/>
      <c r="C663" s="2"/>
      <c r="D663" s="2"/>
      <c r="E663" s="2"/>
      <c r="F663" s="2"/>
      <c r="G663" s="2"/>
    </row>
    <row r="664" spans="1:7" ht="12.5">
      <c r="A664" s="2"/>
      <c r="B664" s="2"/>
      <c r="C664" s="2"/>
      <c r="D664" s="2"/>
      <c r="E664" s="2"/>
      <c r="F664" s="2"/>
      <c r="G664" s="2"/>
    </row>
    <row r="665" spans="1:7" ht="12.5">
      <c r="A665" s="2"/>
      <c r="B665" s="2"/>
      <c r="C665" s="2"/>
      <c r="D665" s="2"/>
      <c r="E665" s="2"/>
      <c r="F665" s="2"/>
      <c r="G665" s="2"/>
    </row>
    <row r="666" spans="1:7" ht="12.5">
      <c r="A666" s="2"/>
      <c r="B666" s="2"/>
      <c r="C666" s="2"/>
      <c r="D666" s="2"/>
      <c r="E666" s="2"/>
      <c r="F666" s="2"/>
      <c r="G666" s="2"/>
    </row>
    <row r="667" spans="1:7" ht="12.5">
      <c r="A667" s="2"/>
      <c r="B667" s="2"/>
      <c r="C667" s="2"/>
      <c r="D667" s="2"/>
      <c r="E667" s="2"/>
      <c r="F667" s="2"/>
      <c r="G667" s="2"/>
    </row>
    <row r="668" spans="1:7" ht="12.5">
      <c r="A668" s="2"/>
      <c r="B668" s="2"/>
      <c r="C668" s="2"/>
      <c r="D668" s="2"/>
      <c r="E668" s="2"/>
      <c r="F668" s="2"/>
      <c r="G668" s="2"/>
    </row>
    <row r="669" spans="1:7" ht="12.5">
      <c r="A669" s="2"/>
      <c r="B669" s="2"/>
      <c r="C669" s="2"/>
      <c r="D669" s="2"/>
      <c r="E669" s="2"/>
      <c r="F669" s="2"/>
      <c r="G669" s="2"/>
    </row>
    <row r="670" spans="1:7" ht="12.5">
      <c r="A670" s="2"/>
      <c r="B670" s="2"/>
      <c r="C670" s="2"/>
      <c r="D670" s="2"/>
      <c r="E670" s="2"/>
      <c r="F670" s="2"/>
      <c r="G670" s="2"/>
    </row>
    <row r="671" spans="1:7" ht="12.5">
      <c r="A671" s="2"/>
      <c r="B671" s="2"/>
      <c r="C671" s="2"/>
      <c r="D671" s="2"/>
      <c r="E671" s="2"/>
      <c r="F671" s="2"/>
      <c r="G671" s="2"/>
    </row>
    <row r="672" spans="1:7" ht="12.5">
      <c r="A672" s="2"/>
      <c r="B672" s="2"/>
      <c r="C672" s="2"/>
      <c r="D672" s="2"/>
      <c r="E672" s="2"/>
      <c r="F672" s="2"/>
      <c r="G672" s="2"/>
    </row>
    <row r="673" spans="1:7" ht="12.5">
      <c r="A673" s="2"/>
      <c r="B673" s="2"/>
      <c r="C673" s="2"/>
      <c r="D673" s="2"/>
      <c r="E673" s="2"/>
      <c r="F673" s="2"/>
      <c r="G673" s="2"/>
    </row>
    <row r="674" spans="1:7" ht="12.5">
      <c r="A674" s="2"/>
      <c r="B674" s="2"/>
      <c r="C674" s="2"/>
      <c r="D674" s="2"/>
      <c r="E674" s="2"/>
      <c r="F674" s="2"/>
      <c r="G674" s="2"/>
    </row>
    <row r="675" spans="1:7" ht="12.5">
      <c r="A675" s="2"/>
      <c r="B675" s="2"/>
      <c r="C675" s="2"/>
      <c r="D675" s="2"/>
      <c r="E675" s="2"/>
      <c r="F675" s="2"/>
      <c r="G675" s="2"/>
    </row>
    <row r="676" spans="1:7" ht="12.5">
      <c r="A676" s="2"/>
      <c r="B676" s="2"/>
      <c r="C676" s="2"/>
      <c r="D676" s="2"/>
      <c r="E676" s="2"/>
      <c r="F676" s="2"/>
      <c r="G676" s="2"/>
    </row>
    <row r="677" spans="1:7" ht="12.5">
      <c r="A677" s="2"/>
      <c r="B677" s="2"/>
      <c r="C677" s="2"/>
      <c r="D677" s="2"/>
      <c r="E677" s="2"/>
      <c r="F677" s="2"/>
      <c r="G677" s="2"/>
    </row>
    <row r="678" spans="1:7" ht="12.5">
      <c r="A678" s="2"/>
      <c r="B678" s="2"/>
      <c r="C678" s="2"/>
      <c r="D678" s="2"/>
      <c r="E678" s="2"/>
      <c r="F678" s="2"/>
      <c r="G678" s="2"/>
    </row>
    <row r="679" spans="1:7" ht="12.5">
      <c r="A679" s="2"/>
      <c r="B679" s="2"/>
      <c r="C679" s="2"/>
      <c r="D679" s="2"/>
      <c r="E679" s="2"/>
      <c r="F679" s="2"/>
      <c r="G679" s="2"/>
    </row>
    <row r="680" spans="1:7" ht="12.5">
      <c r="A680" s="2"/>
      <c r="B680" s="2"/>
      <c r="C680" s="2"/>
      <c r="D680" s="2"/>
      <c r="E680" s="2"/>
      <c r="F680" s="2"/>
      <c r="G680" s="2"/>
    </row>
    <row r="681" spans="1:7" ht="12.5">
      <c r="A681" s="2"/>
      <c r="B681" s="2"/>
      <c r="C681" s="2"/>
      <c r="D681" s="2"/>
      <c r="E681" s="2"/>
      <c r="F681" s="2"/>
      <c r="G681" s="2"/>
    </row>
    <row r="682" spans="1:7" ht="12.5">
      <c r="A682" s="2"/>
      <c r="B682" s="2"/>
      <c r="C682" s="2"/>
      <c r="D682" s="2"/>
      <c r="E682" s="2"/>
      <c r="F682" s="2"/>
      <c r="G682" s="2"/>
    </row>
    <row r="683" spans="1:7" ht="12.5">
      <c r="A683" s="2"/>
      <c r="B683" s="2"/>
      <c r="C683" s="2"/>
      <c r="D683" s="2"/>
      <c r="E683" s="2"/>
      <c r="F683" s="2"/>
      <c r="G683" s="2"/>
    </row>
    <row r="684" spans="1:7" ht="12.5">
      <c r="A684" s="2"/>
      <c r="B684" s="2"/>
      <c r="C684" s="2"/>
      <c r="D684" s="2"/>
      <c r="E684" s="2"/>
      <c r="F684" s="2"/>
      <c r="G684" s="2"/>
    </row>
    <row r="685" spans="1:7" ht="12.5">
      <c r="A685" s="2"/>
      <c r="B685" s="2"/>
      <c r="C685" s="2"/>
      <c r="D685" s="2"/>
      <c r="E685" s="2"/>
      <c r="F685" s="2"/>
      <c r="G685" s="2"/>
    </row>
    <row r="686" spans="1:7" ht="12.5">
      <c r="A686" s="2"/>
      <c r="B686" s="2"/>
      <c r="C686" s="2"/>
      <c r="D686" s="2"/>
      <c r="E686" s="2"/>
      <c r="F686" s="2"/>
      <c r="G686" s="2"/>
    </row>
    <row r="687" spans="1:7" ht="12.5">
      <c r="A687" s="2"/>
      <c r="B687" s="2"/>
      <c r="C687" s="2"/>
      <c r="D687" s="2"/>
      <c r="E687" s="2"/>
      <c r="F687" s="2"/>
      <c r="G687" s="2"/>
    </row>
    <row r="688" spans="1:7" ht="12.5">
      <c r="A688" s="2"/>
      <c r="B688" s="2"/>
      <c r="C688" s="2"/>
      <c r="D688" s="2"/>
      <c r="E688" s="2"/>
      <c r="F688" s="2"/>
      <c r="G688" s="2"/>
    </row>
    <row r="689" spans="1:7" ht="12.5">
      <c r="A689" s="2"/>
      <c r="B689" s="2"/>
      <c r="C689" s="2"/>
      <c r="D689" s="2"/>
      <c r="E689" s="2"/>
      <c r="F689" s="2"/>
      <c r="G689" s="2"/>
    </row>
    <row r="690" spans="1:7" ht="12.5">
      <c r="A690" s="2"/>
      <c r="B690" s="2"/>
      <c r="C690" s="2"/>
      <c r="D690" s="2"/>
      <c r="E690" s="2"/>
      <c r="F690" s="2"/>
      <c r="G690" s="2"/>
    </row>
    <row r="691" spans="1:7" ht="12.5">
      <c r="A691" s="2"/>
      <c r="B691" s="2"/>
      <c r="C691" s="2"/>
      <c r="D691" s="2"/>
      <c r="E691" s="2"/>
      <c r="F691" s="2"/>
      <c r="G691" s="2"/>
    </row>
    <row r="692" spans="1:7" ht="12.5">
      <c r="A692" s="2"/>
      <c r="B692" s="2"/>
      <c r="C692" s="2"/>
      <c r="D692" s="2"/>
      <c r="E692" s="2"/>
      <c r="F692" s="2"/>
      <c r="G692" s="2"/>
    </row>
    <row r="693" spans="1:7" ht="12.5">
      <c r="A693" s="2"/>
      <c r="B693" s="2"/>
      <c r="C693" s="2"/>
      <c r="D693" s="2"/>
      <c r="E693" s="2"/>
      <c r="F693" s="2"/>
      <c r="G693" s="2"/>
    </row>
    <row r="694" spans="1:7" ht="12.5">
      <c r="A694" s="2"/>
      <c r="B694" s="2"/>
      <c r="C694" s="2"/>
      <c r="D694" s="2"/>
      <c r="E694" s="2"/>
      <c r="F694" s="2"/>
      <c r="G694" s="2"/>
    </row>
    <row r="695" spans="1:7" ht="12.5">
      <c r="A695" s="2"/>
      <c r="B695" s="2"/>
      <c r="C695" s="2"/>
      <c r="D695" s="2"/>
      <c r="E695" s="2"/>
      <c r="F695" s="2"/>
      <c r="G695" s="2"/>
    </row>
    <row r="696" spans="1:7" ht="12.5">
      <c r="A696" s="2"/>
      <c r="B696" s="2"/>
      <c r="C696" s="2"/>
      <c r="D696" s="2"/>
      <c r="E696" s="2"/>
      <c r="F696" s="2"/>
      <c r="G696" s="2"/>
    </row>
    <row r="697" spans="1:7" ht="12.5">
      <c r="A697" s="2"/>
      <c r="B697" s="2"/>
      <c r="C697" s="2"/>
      <c r="D697" s="2"/>
      <c r="E697" s="2"/>
      <c r="F697" s="2"/>
      <c r="G697" s="2"/>
    </row>
    <row r="698" spans="1:7" ht="12.5">
      <c r="A698" s="2"/>
      <c r="B698" s="2"/>
      <c r="C698" s="2"/>
      <c r="D698" s="2"/>
      <c r="E698" s="2"/>
      <c r="F698" s="2"/>
      <c r="G698" s="2"/>
    </row>
    <row r="699" spans="1:7" ht="12.5">
      <c r="A699" s="2"/>
      <c r="B699" s="2"/>
      <c r="C699" s="2"/>
      <c r="D699" s="2"/>
      <c r="E699" s="2"/>
      <c r="F699" s="2"/>
      <c r="G699" s="2"/>
    </row>
    <row r="700" spans="1:7" ht="12.5">
      <c r="A700" s="2"/>
      <c r="B700" s="2"/>
      <c r="C700" s="2"/>
      <c r="D700" s="2"/>
      <c r="E700" s="2"/>
      <c r="F700" s="2"/>
      <c r="G700" s="2"/>
    </row>
    <row r="701" spans="1:7" ht="12.5">
      <c r="A701" s="2"/>
      <c r="B701" s="2"/>
      <c r="C701" s="2"/>
      <c r="D701" s="2"/>
      <c r="E701" s="2"/>
      <c r="F701" s="2"/>
      <c r="G701" s="2"/>
    </row>
    <row r="702" spans="1:7" ht="12.5">
      <c r="A702" s="2"/>
      <c r="B702" s="2"/>
      <c r="C702" s="2"/>
      <c r="D702" s="2"/>
      <c r="E702" s="2"/>
      <c r="F702" s="2"/>
      <c r="G702" s="2"/>
    </row>
    <row r="703" spans="1:7" ht="12.5">
      <c r="A703" s="2"/>
      <c r="B703" s="2"/>
      <c r="C703" s="2"/>
      <c r="D703" s="2"/>
      <c r="E703" s="2"/>
      <c r="F703" s="2"/>
      <c r="G703" s="2"/>
    </row>
    <row r="704" spans="1:7" ht="12.5">
      <c r="A704" s="2"/>
      <c r="B704" s="2"/>
      <c r="C704" s="2"/>
      <c r="D704" s="2"/>
      <c r="E704" s="2"/>
      <c r="F704" s="2"/>
      <c r="G704" s="2"/>
    </row>
    <row r="705" spans="1:7" ht="12.5">
      <c r="A705" s="2"/>
      <c r="B705" s="2"/>
      <c r="C705" s="2"/>
      <c r="D705" s="2"/>
      <c r="E705" s="2"/>
      <c r="F705" s="2"/>
      <c r="G705" s="2"/>
    </row>
    <row r="706" spans="1:7" ht="12.5">
      <c r="A706" s="2"/>
      <c r="B706" s="2"/>
      <c r="C706" s="2"/>
      <c r="D706" s="2"/>
      <c r="E706" s="2"/>
      <c r="F706" s="2"/>
      <c r="G706" s="2"/>
    </row>
    <row r="707" spans="1:7" ht="12.5">
      <c r="A707" s="2"/>
      <c r="B707" s="2"/>
      <c r="C707" s="2"/>
      <c r="D707" s="2"/>
      <c r="E707" s="2"/>
      <c r="F707" s="2"/>
      <c r="G707" s="2"/>
    </row>
    <row r="708" spans="1:7" ht="12.5">
      <c r="A708" s="2"/>
      <c r="B708" s="2"/>
      <c r="C708" s="2"/>
      <c r="D708" s="2"/>
      <c r="E708" s="2"/>
      <c r="F708" s="2"/>
      <c r="G708" s="2"/>
    </row>
    <row r="709" spans="1:7" ht="12.5">
      <c r="A709" s="2"/>
      <c r="B709" s="2"/>
      <c r="C709" s="2"/>
      <c r="D709" s="2"/>
      <c r="E709" s="2"/>
      <c r="F709" s="2"/>
      <c r="G709" s="2"/>
    </row>
    <row r="710" spans="1:7" ht="12.5">
      <c r="A710" s="2"/>
      <c r="B710" s="2"/>
      <c r="C710" s="2"/>
      <c r="D710" s="2"/>
      <c r="E710" s="2"/>
      <c r="F710" s="2"/>
      <c r="G710" s="2"/>
    </row>
    <row r="711" spans="1:7" ht="12.5">
      <c r="A711" s="2"/>
      <c r="B711" s="2"/>
      <c r="C711" s="2"/>
      <c r="D711" s="2"/>
      <c r="E711" s="2"/>
      <c r="F711" s="2"/>
      <c r="G711" s="2"/>
    </row>
    <row r="712" spans="1:7" ht="12.5">
      <c r="A712" s="2"/>
      <c r="B712" s="2"/>
      <c r="C712" s="2"/>
      <c r="D712" s="2"/>
      <c r="E712" s="2"/>
      <c r="F712" s="2"/>
      <c r="G712" s="2"/>
    </row>
    <row r="713" spans="1:7" ht="12.5">
      <c r="A713" s="2"/>
      <c r="B713" s="2"/>
      <c r="C713" s="2"/>
      <c r="D713" s="2"/>
      <c r="E713" s="2"/>
      <c r="F713" s="2"/>
      <c r="G713" s="2"/>
    </row>
    <row r="714" spans="1:7" ht="12.5">
      <c r="A714" s="2"/>
      <c r="B714" s="2"/>
      <c r="C714" s="2"/>
      <c r="D714" s="2"/>
      <c r="E714" s="2"/>
      <c r="F714" s="2"/>
      <c r="G714" s="2"/>
    </row>
    <row r="715" spans="1:7" ht="12.5">
      <c r="A715" s="2"/>
      <c r="B715" s="2"/>
      <c r="C715" s="2"/>
      <c r="D715" s="2"/>
      <c r="E715" s="2"/>
      <c r="F715" s="2"/>
      <c r="G715" s="2"/>
    </row>
    <row r="716" spans="1:7" ht="12.5">
      <c r="A716" s="2"/>
      <c r="B716" s="2"/>
      <c r="C716" s="2"/>
      <c r="D716" s="2"/>
      <c r="E716" s="2"/>
      <c r="F716" s="2"/>
      <c r="G716" s="2"/>
    </row>
    <row r="717" spans="1:7" ht="12.5">
      <c r="A717" s="2"/>
      <c r="B717" s="2"/>
      <c r="C717" s="2"/>
      <c r="D717" s="2"/>
      <c r="E717" s="2"/>
      <c r="F717" s="2"/>
      <c r="G717" s="2"/>
    </row>
    <row r="718" spans="1:7" ht="12.5">
      <c r="A718" s="2"/>
      <c r="B718" s="2"/>
      <c r="C718" s="2"/>
      <c r="D718" s="2"/>
      <c r="E718" s="2"/>
      <c r="F718" s="2"/>
      <c r="G718" s="2"/>
    </row>
    <row r="719" spans="1:7" ht="12.5">
      <c r="A719" s="2"/>
      <c r="B719" s="2"/>
      <c r="C719" s="2"/>
      <c r="D719" s="2"/>
      <c r="E719" s="2"/>
      <c r="F719" s="2"/>
      <c r="G719" s="2"/>
    </row>
    <row r="720" spans="1:7" ht="12.5">
      <c r="A720" s="2"/>
      <c r="B720" s="2"/>
      <c r="C720" s="2"/>
      <c r="D720" s="2"/>
      <c r="E720" s="2"/>
      <c r="F720" s="2"/>
      <c r="G720" s="2"/>
    </row>
    <row r="721" spans="1:7" ht="12.5">
      <c r="A721" s="2"/>
      <c r="B721" s="2"/>
      <c r="C721" s="2"/>
      <c r="D721" s="2"/>
      <c r="E721" s="2"/>
      <c r="F721" s="2"/>
      <c r="G721" s="2"/>
    </row>
    <row r="722" spans="1:7" ht="12.5">
      <c r="A722" s="2"/>
      <c r="B722" s="2"/>
      <c r="C722" s="2"/>
      <c r="D722" s="2"/>
      <c r="E722" s="2"/>
      <c r="F722" s="2"/>
      <c r="G722" s="2"/>
    </row>
    <row r="723" spans="1:7" ht="12.5">
      <c r="A723" s="2"/>
      <c r="B723" s="2"/>
      <c r="C723" s="2"/>
      <c r="D723" s="2"/>
      <c r="E723" s="2"/>
      <c r="F723" s="2"/>
      <c r="G723" s="2"/>
    </row>
    <row r="724" spans="1:7" ht="12.5">
      <c r="A724" s="2"/>
      <c r="B724" s="2"/>
      <c r="C724" s="2"/>
      <c r="D724" s="2"/>
      <c r="E724" s="2"/>
      <c r="F724" s="2"/>
      <c r="G724" s="2"/>
    </row>
    <row r="725" spans="1:7" ht="12.5">
      <c r="A725" s="2"/>
      <c r="B725" s="2"/>
      <c r="C725" s="2"/>
      <c r="D725" s="2"/>
      <c r="E725" s="2"/>
      <c r="F725" s="2"/>
      <c r="G725" s="2"/>
    </row>
    <row r="726" spans="1:7" ht="12.5">
      <c r="A726" s="2"/>
      <c r="B726" s="2"/>
      <c r="C726" s="2"/>
      <c r="D726" s="2"/>
      <c r="E726" s="2"/>
      <c r="F726" s="2"/>
      <c r="G726" s="2"/>
    </row>
    <row r="727" spans="1:7" ht="12.5">
      <c r="A727" s="2"/>
      <c r="B727" s="2"/>
      <c r="C727" s="2"/>
      <c r="D727" s="2"/>
      <c r="E727" s="2"/>
      <c r="F727" s="2"/>
      <c r="G727" s="2"/>
    </row>
    <row r="728" spans="1:7" ht="12.5">
      <c r="A728" s="2"/>
      <c r="B728" s="2"/>
      <c r="C728" s="2"/>
      <c r="D728" s="2"/>
      <c r="E728" s="2"/>
      <c r="F728" s="2"/>
      <c r="G728" s="2"/>
    </row>
    <row r="729" spans="1:7" ht="12.5">
      <c r="A729" s="2"/>
      <c r="B729" s="2"/>
      <c r="C729" s="2"/>
      <c r="D729" s="2"/>
      <c r="E729" s="2"/>
      <c r="F729" s="2"/>
      <c r="G729" s="2"/>
    </row>
    <row r="730" spans="1:7" ht="12.5">
      <c r="A730" s="2"/>
      <c r="B730" s="2"/>
      <c r="C730" s="2"/>
      <c r="D730" s="2"/>
      <c r="E730" s="2"/>
      <c r="F730" s="2"/>
      <c r="G730" s="2"/>
    </row>
    <row r="731" spans="1:7" ht="12.5">
      <c r="A731" s="2"/>
      <c r="B731" s="2"/>
      <c r="C731" s="2"/>
      <c r="D731" s="2"/>
      <c r="E731" s="2"/>
      <c r="F731" s="2"/>
      <c r="G731" s="2"/>
    </row>
    <row r="732" spans="1:7" ht="12.5">
      <c r="A732" s="2"/>
      <c r="B732" s="2"/>
      <c r="C732" s="2"/>
      <c r="D732" s="2"/>
      <c r="E732" s="2"/>
      <c r="F732" s="2"/>
      <c r="G732" s="2"/>
    </row>
    <row r="733" spans="1:7" ht="12.5">
      <c r="A733" s="2"/>
      <c r="B733" s="2"/>
      <c r="C733" s="2"/>
      <c r="D733" s="2"/>
      <c r="E733" s="2"/>
      <c r="F733" s="2"/>
      <c r="G733" s="2"/>
    </row>
    <row r="734" spans="1:7" ht="12.5">
      <c r="A734" s="2"/>
      <c r="B734" s="2"/>
      <c r="C734" s="2"/>
      <c r="D734" s="2"/>
      <c r="E734" s="2"/>
      <c r="F734" s="2"/>
      <c r="G734" s="2"/>
    </row>
    <row r="735" spans="1:7" ht="12.5">
      <c r="A735" s="2"/>
      <c r="B735" s="2"/>
      <c r="C735" s="2"/>
      <c r="D735" s="2"/>
      <c r="E735" s="2"/>
      <c r="F735" s="2"/>
      <c r="G735" s="2"/>
    </row>
    <row r="736" spans="1:7" ht="12.5">
      <c r="A736" s="2"/>
      <c r="B736" s="2"/>
      <c r="C736" s="2"/>
      <c r="D736" s="2"/>
      <c r="E736" s="2"/>
      <c r="F736" s="2"/>
      <c r="G736" s="2"/>
    </row>
    <row r="737" spans="1:7" ht="12.5">
      <c r="A737" s="2"/>
      <c r="B737" s="2"/>
      <c r="C737" s="2"/>
      <c r="D737" s="2"/>
      <c r="E737" s="2"/>
      <c r="F737" s="2"/>
      <c r="G737" s="2"/>
    </row>
    <row r="738" spans="1:7" ht="12.5">
      <c r="A738" s="2"/>
      <c r="B738" s="2"/>
      <c r="C738" s="2"/>
      <c r="D738" s="2"/>
      <c r="E738" s="2"/>
      <c r="F738" s="2"/>
      <c r="G738" s="2"/>
    </row>
    <row r="739" spans="1:7" ht="12.5">
      <c r="A739" s="2"/>
      <c r="B739" s="2"/>
      <c r="C739" s="2"/>
      <c r="D739" s="2"/>
      <c r="E739" s="2"/>
      <c r="F739" s="2"/>
      <c r="G739" s="2"/>
    </row>
    <row r="740" spans="1:7" ht="12.5">
      <c r="A740" s="2"/>
      <c r="B740" s="2"/>
      <c r="C740" s="2"/>
      <c r="D740" s="2"/>
      <c r="E740" s="2"/>
      <c r="F740" s="2"/>
      <c r="G740" s="2"/>
    </row>
    <row r="741" spans="1:7" ht="12.5">
      <c r="A741" s="2"/>
      <c r="B741" s="2"/>
      <c r="C741" s="2"/>
      <c r="D741" s="2"/>
      <c r="E741" s="2"/>
      <c r="F741" s="2"/>
      <c r="G741" s="2"/>
    </row>
    <row r="742" spans="1:7" ht="12.5">
      <c r="A742" s="2"/>
      <c r="B742" s="2"/>
      <c r="C742" s="2"/>
      <c r="D742" s="2"/>
      <c r="E742" s="2"/>
      <c r="F742" s="2"/>
      <c r="G742" s="2"/>
    </row>
    <row r="743" spans="1:7" ht="12.5">
      <c r="A743" s="2"/>
      <c r="B743" s="2"/>
      <c r="C743" s="2"/>
      <c r="D743" s="2"/>
      <c r="E743" s="2"/>
      <c r="F743" s="2"/>
      <c r="G743" s="2"/>
    </row>
    <row r="744" spans="1:7" ht="12.5">
      <c r="A744" s="2"/>
      <c r="B744" s="2"/>
      <c r="C744" s="2"/>
      <c r="D744" s="2"/>
      <c r="E744" s="2"/>
      <c r="F744" s="2"/>
      <c r="G744" s="2"/>
    </row>
    <row r="745" spans="1:7" ht="12.5">
      <c r="A745" s="2"/>
      <c r="B745" s="2"/>
      <c r="C745" s="2"/>
      <c r="D745" s="2"/>
      <c r="E745" s="2"/>
      <c r="F745" s="2"/>
      <c r="G745" s="2"/>
    </row>
    <row r="746" spans="1:7" ht="12.5">
      <c r="A746" s="2"/>
      <c r="B746" s="2"/>
      <c r="C746" s="2"/>
      <c r="D746" s="2"/>
      <c r="E746" s="2"/>
      <c r="F746" s="2"/>
      <c r="G746" s="2"/>
    </row>
    <row r="747" spans="1:7" ht="12.5">
      <c r="A747" s="2"/>
      <c r="B747" s="2"/>
      <c r="C747" s="2"/>
      <c r="D747" s="2"/>
      <c r="E747" s="2"/>
      <c r="F747" s="2"/>
      <c r="G747" s="2"/>
    </row>
    <row r="748" spans="1:7" ht="12.5">
      <c r="A748" s="2"/>
      <c r="B748" s="2"/>
      <c r="C748" s="2"/>
      <c r="D748" s="2"/>
      <c r="E748" s="2"/>
      <c r="F748" s="2"/>
      <c r="G748" s="2"/>
    </row>
    <row r="749" spans="1:7" ht="12.5">
      <c r="A749" s="2"/>
      <c r="B749" s="2"/>
      <c r="C749" s="2"/>
      <c r="D749" s="2"/>
      <c r="E749" s="2"/>
      <c r="F749" s="2"/>
      <c r="G749" s="2"/>
    </row>
    <row r="750" spans="1:7" ht="12.5">
      <c r="A750" s="2"/>
      <c r="B750" s="2"/>
      <c r="C750" s="2"/>
      <c r="D750" s="2"/>
      <c r="E750" s="2"/>
      <c r="F750" s="2"/>
      <c r="G750" s="2"/>
    </row>
    <row r="751" spans="1:7" ht="12.5">
      <c r="A751" s="2"/>
      <c r="B751" s="2"/>
      <c r="C751" s="2"/>
      <c r="D751" s="2"/>
      <c r="E751" s="2"/>
      <c r="F751" s="2"/>
      <c r="G751" s="2"/>
    </row>
    <row r="752" spans="1:7" ht="12.5">
      <c r="A752" s="2"/>
      <c r="B752" s="2"/>
      <c r="C752" s="2"/>
      <c r="D752" s="2"/>
      <c r="E752" s="2"/>
      <c r="F752" s="2"/>
      <c r="G752" s="2"/>
    </row>
    <row r="753" spans="1:7" ht="12.5">
      <c r="A753" s="2"/>
      <c r="B753" s="2"/>
      <c r="C753" s="2"/>
      <c r="D753" s="2"/>
      <c r="E753" s="2"/>
      <c r="F753" s="2"/>
      <c r="G753" s="2"/>
    </row>
    <row r="754" spans="1:7" ht="12.5">
      <c r="A754" s="2"/>
      <c r="B754" s="2"/>
      <c r="C754" s="2"/>
      <c r="D754" s="2"/>
      <c r="E754" s="2"/>
      <c r="F754" s="2"/>
      <c r="G754" s="2"/>
    </row>
    <row r="755" spans="1:7" ht="12.5">
      <c r="A755" s="2"/>
      <c r="B755" s="2"/>
      <c r="C755" s="2"/>
      <c r="D755" s="2"/>
      <c r="E755" s="2"/>
      <c r="F755" s="2"/>
      <c r="G755" s="2"/>
    </row>
    <row r="756" spans="1:7" ht="12.5">
      <c r="A756" s="2"/>
      <c r="B756" s="2"/>
      <c r="C756" s="2"/>
      <c r="D756" s="2"/>
      <c r="E756" s="2"/>
      <c r="F756" s="2"/>
      <c r="G756" s="2"/>
    </row>
    <row r="757" spans="1:7" ht="12.5">
      <c r="A757" s="2"/>
      <c r="B757" s="2"/>
      <c r="C757" s="2"/>
      <c r="D757" s="2"/>
      <c r="E757" s="2"/>
      <c r="F757" s="2"/>
      <c r="G757" s="2"/>
    </row>
    <row r="758" spans="1:7" ht="12.5">
      <c r="A758" s="2"/>
      <c r="B758" s="2"/>
      <c r="C758" s="2"/>
      <c r="D758" s="2"/>
      <c r="E758" s="2"/>
      <c r="F758" s="2"/>
      <c r="G758" s="2"/>
    </row>
    <row r="759" spans="1:7" ht="12.5">
      <c r="A759" s="2"/>
      <c r="B759" s="2"/>
      <c r="C759" s="2"/>
      <c r="D759" s="2"/>
      <c r="E759" s="2"/>
      <c r="F759" s="2"/>
      <c r="G759" s="2"/>
    </row>
    <row r="760" spans="1:7" ht="12.5">
      <c r="A760" s="2"/>
      <c r="B760" s="2"/>
      <c r="C760" s="2"/>
      <c r="D760" s="2"/>
      <c r="E760" s="2"/>
      <c r="F760" s="2"/>
      <c r="G760" s="2"/>
    </row>
    <row r="761" spans="1:7" ht="12.5">
      <c r="A761" s="2"/>
      <c r="B761" s="2"/>
      <c r="C761" s="2"/>
      <c r="D761" s="2"/>
      <c r="E761" s="2"/>
      <c r="F761" s="2"/>
      <c r="G761" s="2"/>
    </row>
    <row r="762" spans="1:7" ht="12.5">
      <c r="A762" s="2"/>
      <c r="B762" s="2"/>
      <c r="C762" s="2"/>
      <c r="D762" s="2"/>
      <c r="E762" s="2"/>
      <c r="F762" s="2"/>
      <c r="G762" s="2"/>
    </row>
    <row r="763" spans="1:7" ht="12.5">
      <c r="A763" s="2"/>
      <c r="B763" s="2"/>
      <c r="C763" s="2"/>
      <c r="D763" s="2"/>
      <c r="E763" s="2"/>
      <c r="F763" s="2"/>
      <c r="G763" s="2"/>
    </row>
    <row r="764" spans="1:7" ht="12.5">
      <c r="A764" s="2"/>
      <c r="B764" s="2"/>
      <c r="C764" s="2"/>
      <c r="D764" s="2"/>
      <c r="E764" s="2"/>
      <c r="F764" s="2"/>
      <c r="G764" s="2"/>
    </row>
    <row r="765" spans="1:7" ht="12.5">
      <c r="A765" s="2"/>
      <c r="B765" s="2"/>
      <c r="C765" s="2"/>
      <c r="D765" s="2"/>
      <c r="E765" s="2"/>
      <c r="F765" s="2"/>
      <c r="G765" s="2"/>
    </row>
    <row r="766" spans="1:7" ht="12.5">
      <c r="A766" s="2"/>
      <c r="B766" s="2"/>
      <c r="C766" s="2"/>
      <c r="D766" s="2"/>
      <c r="E766" s="2"/>
      <c r="F766" s="2"/>
      <c r="G766" s="2"/>
    </row>
    <row r="767" spans="1:7" ht="12.5">
      <c r="A767" s="2"/>
      <c r="B767" s="2"/>
      <c r="C767" s="2"/>
      <c r="D767" s="2"/>
      <c r="E767" s="2"/>
      <c r="F767" s="2"/>
      <c r="G767" s="2"/>
    </row>
    <row r="768" spans="1:7" ht="12.5">
      <c r="A768" s="2"/>
      <c r="B768" s="2"/>
      <c r="C768" s="2"/>
      <c r="D768" s="2"/>
      <c r="E768" s="2"/>
      <c r="F768" s="2"/>
      <c r="G768" s="2"/>
    </row>
    <row r="769" spans="1:7" ht="12.5">
      <c r="A769" s="2"/>
      <c r="B769" s="2"/>
      <c r="C769" s="2"/>
      <c r="D769" s="2"/>
      <c r="E769" s="2"/>
      <c r="F769" s="2"/>
      <c r="G769" s="2"/>
    </row>
    <row r="770" spans="1:7" ht="12.5">
      <c r="A770" s="2"/>
      <c r="B770" s="2"/>
      <c r="C770" s="2"/>
      <c r="D770" s="2"/>
      <c r="E770" s="2"/>
      <c r="F770" s="2"/>
      <c r="G770" s="2"/>
    </row>
    <row r="771" spans="1:7" ht="12.5">
      <c r="A771" s="2"/>
      <c r="B771" s="2"/>
      <c r="C771" s="2"/>
      <c r="D771" s="2"/>
      <c r="E771" s="2"/>
      <c r="F771" s="2"/>
      <c r="G771" s="2"/>
    </row>
    <row r="772" spans="1:7" ht="12.5">
      <c r="A772" s="2"/>
      <c r="B772" s="2"/>
      <c r="C772" s="2"/>
      <c r="D772" s="2"/>
      <c r="E772" s="2"/>
      <c r="F772" s="2"/>
      <c r="G772" s="2"/>
    </row>
    <row r="773" spans="1:7" ht="12.5">
      <c r="A773" s="2"/>
      <c r="B773" s="2"/>
      <c r="C773" s="2"/>
      <c r="D773" s="2"/>
      <c r="E773" s="2"/>
      <c r="F773" s="2"/>
      <c r="G773" s="2"/>
    </row>
    <row r="774" spans="1:7" ht="12.5">
      <c r="A774" s="2"/>
      <c r="B774" s="2"/>
      <c r="C774" s="2"/>
      <c r="D774" s="2"/>
      <c r="E774" s="2"/>
      <c r="F774" s="2"/>
      <c r="G774" s="2"/>
    </row>
    <row r="775" spans="1:7" ht="12.5">
      <c r="A775" s="2"/>
      <c r="B775" s="2"/>
      <c r="C775" s="2"/>
      <c r="D775" s="2"/>
      <c r="E775" s="2"/>
      <c r="F775" s="2"/>
      <c r="G775" s="2"/>
    </row>
    <row r="776" spans="1:7" ht="12.5">
      <c r="A776" s="2"/>
      <c r="B776" s="2"/>
      <c r="C776" s="2"/>
      <c r="D776" s="2"/>
      <c r="E776" s="2"/>
      <c r="F776" s="2"/>
      <c r="G776" s="2"/>
    </row>
    <row r="777" spans="1:7" ht="12.5">
      <c r="A777" s="2"/>
      <c r="B777" s="2"/>
      <c r="C777" s="2"/>
      <c r="D777" s="2"/>
      <c r="E777" s="2"/>
      <c r="F777" s="2"/>
      <c r="G777" s="2"/>
    </row>
    <row r="778" spans="1:7" ht="12.5">
      <c r="A778" s="2"/>
      <c r="B778" s="2"/>
      <c r="C778" s="2"/>
      <c r="D778" s="2"/>
      <c r="E778" s="2"/>
      <c r="F778" s="2"/>
      <c r="G778" s="2"/>
    </row>
    <row r="779" spans="1:7" ht="12.5">
      <c r="A779" s="2"/>
      <c r="B779" s="2"/>
      <c r="C779" s="2"/>
      <c r="D779" s="2"/>
      <c r="E779" s="2"/>
      <c r="F779" s="2"/>
      <c r="G779" s="2"/>
    </row>
    <row r="780" spans="1:7" ht="12.5">
      <c r="A780" s="2"/>
      <c r="B780" s="2"/>
      <c r="C780" s="2"/>
      <c r="D780" s="2"/>
      <c r="E780" s="2"/>
      <c r="F780" s="2"/>
      <c r="G780" s="2"/>
    </row>
    <row r="781" spans="1:7" ht="12.5">
      <c r="A781" s="2"/>
      <c r="B781" s="2"/>
      <c r="C781" s="2"/>
      <c r="D781" s="2"/>
      <c r="E781" s="2"/>
      <c r="F781" s="2"/>
      <c r="G781" s="2"/>
    </row>
    <row r="782" spans="1:7" ht="12.5">
      <c r="A782" s="2"/>
      <c r="B782" s="2"/>
      <c r="C782" s="2"/>
      <c r="D782" s="2"/>
      <c r="E782" s="2"/>
      <c r="F782" s="2"/>
      <c r="G782" s="2"/>
    </row>
    <row r="783" spans="1:7" ht="12.5">
      <c r="A783" s="2"/>
      <c r="B783" s="2"/>
      <c r="C783" s="2"/>
      <c r="D783" s="2"/>
      <c r="E783" s="2"/>
      <c r="F783" s="2"/>
      <c r="G783" s="2"/>
    </row>
    <row r="784" spans="1:7" ht="12.5">
      <c r="A784" s="2"/>
      <c r="B784" s="2"/>
      <c r="C784" s="2"/>
      <c r="D784" s="2"/>
      <c r="E784" s="2"/>
      <c r="F784" s="2"/>
      <c r="G784" s="2"/>
    </row>
    <row r="785" spans="1:7" ht="12.5">
      <c r="A785" s="2"/>
      <c r="B785" s="2"/>
      <c r="C785" s="2"/>
      <c r="D785" s="2"/>
      <c r="E785" s="2"/>
      <c r="F785" s="2"/>
      <c r="G785" s="2"/>
    </row>
    <row r="786" spans="1:7" ht="12.5">
      <c r="A786" s="2"/>
      <c r="B786" s="2"/>
      <c r="C786" s="2"/>
      <c r="D786" s="2"/>
      <c r="E786" s="2"/>
      <c r="F786" s="2"/>
      <c r="G786" s="2"/>
    </row>
    <row r="787" spans="1:7" ht="12.5">
      <c r="A787" s="2"/>
      <c r="B787" s="2"/>
      <c r="C787" s="2"/>
      <c r="D787" s="2"/>
      <c r="E787" s="2"/>
      <c r="F787" s="2"/>
      <c r="G787" s="2"/>
    </row>
    <row r="788" spans="1:7" ht="12.5">
      <c r="A788" s="2"/>
      <c r="B788" s="2"/>
      <c r="C788" s="2"/>
      <c r="D788" s="2"/>
      <c r="E788" s="2"/>
      <c r="F788" s="2"/>
      <c r="G788" s="2"/>
    </row>
    <row r="789" spans="1:7" ht="12.5">
      <c r="A789" s="2"/>
      <c r="B789" s="2"/>
      <c r="C789" s="2"/>
      <c r="D789" s="2"/>
      <c r="E789" s="2"/>
      <c r="F789" s="2"/>
      <c r="G789" s="2"/>
    </row>
    <row r="790" spans="1:7" ht="12.5">
      <c r="A790" s="2"/>
      <c r="B790" s="2"/>
      <c r="C790" s="2"/>
      <c r="D790" s="2"/>
      <c r="E790" s="2"/>
      <c r="F790" s="2"/>
      <c r="G790" s="2"/>
    </row>
    <row r="791" spans="1:7" ht="12.5">
      <c r="A791" s="2"/>
      <c r="B791" s="2"/>
      <c r="C791" s="2"/>
      <c r="D791" s="2"/>
      <c r="E791" s="2"/>
      <c r="F791" s="2"/>
      <c r="G791" s="2"/>
    </row>
    <row r="792" spans="1:7" ht="12.5">
      <c r="A792" s="2"/>
      <c r="B792" s="2"/>
      <c r="C792" s="2"/>
      <c r="D792" s="2"/>
      <c r="E792" s="2"/>
      <c r="F792" s="2"/>
      <c r="G792" s="2"/>
    </row>
    <row r="793" spans="1:7" ht="12.5">
      <c r="A793" s="2"/>
      <c r="B793" s="2"/>
      <c r="C793" s="2"/>
      <c r="D793" s="2"/>
      <c r="E793" s="2"/>
      <c r="F793" s="2"/>
      <c r="G793" s="2"/>
    </row>
    <row r="794" spans="1:7" ht="12.5">
      <c r="A794" s="2"/>
      <c r="B794" s="2"/>
      <c r="C794" s="2"/>
      <c r="D794" s="2"/>
      <c r="E794" s="2"/>
      <c r="F794" s="2"/>
      <c r="G794" s="2"/>
    </row>
    <row r="795" spans="1:7" ht="12.5">
      <c r="A795" s="2"/>
      <c r="B795" s="2"/>
      <c r="C795" s="2"/>
      <c r="D795" s="2"/>
      <c r="E795" s="2"/>
      <c r="F795" s="2"/>
      <c r="G795" s="2"/>
    </row>
    <row r="796" spans="1:7" ht="12.5">
      <c r="A796" s="2"/>
      <c r="B796" s="2"/>
      <c r="C796" s="2"/>
      <c r="D796" s="2"/>
      <c r="E796" s="2"/>
      <c r="F796" s="2"/>
      <c r="G796" s="2"/>
    </row>
    <row r="797" spans="1:7" ht="12.5">
      <c r="A797" s="2"/>
      <c r="B797" s="2"/>
      <c r="C797" s="2"/>
      <c r="D797" s="2"/>
      <c r="E797" s="2"/>
      <c r="F797" s="2"/>
      <c r="G797" s="2"/>
    </row>
    <row r="798" spans="1:7" ht="12.5">
      <c r="A798" s="2"/>
      <c r="B798" s="2"/>
      <c r="C798" s="2"/>
      <c r="D798" s="2"/>
      <c r="E798" s="2"/>
      <c r="F798" s="2"/>
      <c r="G798" s="2"/>
    </row>
    <row r="799" spans="1:7" ht="12.5">
      <c r="A799" s="2"/>
      <c r="B799" s="2"/>
      <c r="C799" s="2"/>
      <c r="D799" s="2"/>
      <c r="E799" s="2"/>
      <c r="F799" s="2"/>
      <c r="G799" s="2"/>
    </row>
    <row r="800" spans="1:7" ht="12.5">
      <c r="A800" s="2"/>
      <c r="B800" s="2"/>
      <c r="C800" s="2"/>
      <c r="D800" s="2"/>
      <c r="E800" s="2"/>
      <c r="F800" s="2"/>
      <c r="G800" s="2"/>
    </row>
    <row r="801" spans="1:7" ht="12.5">
      <c r="A801" s="2"/>
      <c r="B801" s="2"/>
      <c r="C801" s="2"/>
      <c r="D801" s="2"/>
      <c r="E801" s="2"/>
      <c r="F801" s="2"/>
      <c r="G801" s="2"/>
    </row>
    <row r="802" spans="1:7" ht="12.5">
      <c r="A802" s="2"/>
      <c r="B802" s="2"/>
      <c r="C802" s="2"/>
      <c r="D802" s="2"/>
      <c r="E802" s="2"/>
      <c r="F802" s="2"/>
      <c r="G802" s="2"/>
    </row>
    <row r="803" spans="1:7" ht="12.5">
      <c r="A803" s="2"/>
      <c r="B803" s="2"/>
      <c r="C803" s="2"/>
      <c r="D803" s="2"/>
      <c r="E803" s="2"/>
      <c r="F803" s="2"/>
      <c r="G803" s="2"/>
    </row>
    <row r="804" spans="1:7" ht="12.5">
      <c r="A804" s="2"/>
      <c r="B804" s="2"/>
      <c r="C804" s="2"/>
      <c r="D804" s="2"/>
      <c r="E804" s="2"/>
      <c r="F804" s="2"/>
      <c r="G804" s="2"/>
    </row>
    <row r="805" spans="1:7" ht="12.5">
      <c r="A805" s="2"/>
      <c r="B805" s="2"/>
      <c r="C805" s="2"/>
      <c r="D805" s="2"/>
      <c r="E805" s="2"/>
      <c r="F805" s="2"/>
      <c r="G805" s="2"/>
    </row>
    <row r="806" spans="1:7" ht="12.5">
      <c r="A806" s="2"/>
      <c r="B806" s="2"/>
      <c r="C806" s="2"/>
      <c r="D806" s="2"/>
      <c r="E806" s="2"/>
      <c r="F806" s="2"/>
      <c r="G806" s="2"/>
    </row>
    <row r="807" spans="1:7" ht="12.5">
      <c r="A807" s="2"/>
      <c r="B807" s="2"/>
      <c r="C807" s="2"/>
      <c r="D807" s="2"/>
      <c r="E807" s="2"/>
      <c r="F807" s="2"/>
      <c r="G807" s="2"/>
    </row>
    <row r="808" spans="1:7" ht="12.5">
      <c r="A808" s="2"/>
      <c r="B808" s="2"/>
      <c r="C808" s="2"/>
      <c r="D808" s="2"/>
      <c r="E808" s="2"/>
      <c r="F808" s="2"/>
      <c r="G808" s="2"/>
    </row>
    <row r="809" spans="1:7" ht="12.5">
      <c r="A809" s="2"/>
      <c r="B809" s="2"/>
      <c r="C809" s="2"/>
      <c r="D809" s="2"/>
      <c r="E809" s="2"/>
      <c r="F809" s="2"/>
      <c r="G809" s="2"/>
    </row>
    <row r="810" spans="1:7" ht="12.5">
      <c r="A810" s="2"/>
      <c r="B810" s="2"/>
      <c r="C810" s="2"/>
      <c r="D810" s="2"/>
      <c r="E810" s="2"/>
      <c r="F810" s="2"/>
      <c r="G810" s="2"/>
    </row>
    <row r="811" spans="1:7" ht="12.5">
      <c r="A811" s="2"/>
      <c r="B811" s="2"/>
      <c r="C811" s="2"/>
      <c r="D811" s="2"/>
      <c r="E811" s="2"/>
      <c r="F811" s="2"/>
      <c r="G811" s="2"/>
    </row>
    <row r="812" spans="1:7" ht="12.5">
      <c r="A812" s="2"/>
      <c r="B812" s="2"/>
      <c r="C812" s="2"/>
      <c r="D812" s="2"/>
      <c r="E812" s="2"/>
      <c r="F812" s="2"/>
      <c r="G812" s="2"/>
    </row>
    <row r="813" spans="1:7" ht="12.5">
      <c r="A813" s="2"/>
      <c r="B813" s="2"/>
      <c r="C813" s="2"/>
      <c r="D813" s="2"/>
      <c r="E813" s="2"/>
      <c r="F813" s="2"/>
      <c r="G813" s="2"/>
    </row>
    <row r="814" spans="1:7" ht="12.5">
      <c r="A814" s="2"/>
      <c r="B814" s="2"/>
      <c r="C814" s="2"/>
      <c r="D814" s="2"/>
      <c r="E814" s="2"/>
      <c r="F814" s="2"/>
      <c r="G814" s="2"/>
    </row>
    <row r="815" spans="1:7" ht="12.5">
      <c r="A815" s="2"/>
      <c r="B815" s="2"/>
      <c r="C815" s="2"/>
      <c r="D815" s="2"/>
      <c r="E815" s="2"/>
      <c r="F815" s="2"/>
      <c r="G815" s="2"/>
    </row>
    <row r="816" spans="1:7" ht="12.5">
      <c r="A816" s="2"/>
      <c r="B816" s="2"/>
      <c r="C816" s="2"/>
      <c r="D816" s="2"/>
      <c r="E816" s="2"/>
      <c r="F816" s="2"/>
      <c r="G816" s="2"/>
    </row>
    <row r="817" spans="1:7" ht="12.5">
      <c r="A817" s="2"/>
      <c r="B817" s="2"/>
      <c r="C817" s="2"/>
      <c r="D817" s="2"/>
      <c r="E817" s="2"/>
      <c r="F817" s="2"/>
      <c r="G817" s="2"/>
    </row>
    <row r="818" spans="1:7" ht="12.5">
      <c r="A818" s="2"/>
      <c r="B818" s="2"/>
      <c r="C818" s="2"/>
      <c r="D818" s="2"/>
      <c r="E818" s="2"/>
      <c r="F818" s="2"/>
      <c r="G818" s="2"/>
    </row>
    <row r="819" spans="1:7" ht="12.5">
      <c r="A819" s="2"/>
      <c r="B819" s="2"/>
      <c r="C819" s="2"/>
      <c r="D819" s="2"/>
      <c r="E819" s="2"/>
      <c r="F819" s="2"/>
      <c r="G819" s="2"/>
    </row>
    <row r="820" spans="1:7" ht="12.5">
      <c r="A820" s="2"/>
      <c r="B820" s="2"/>
      <c r="C820" s="2"/>
      <c r="D820" s="2"/>
      <c r="E820" s="2"/>
      <c r="F820" s="2"/>
      <c r="G820" s="2"/>
    </row>
    <row r="821" spans="1:7" ht="12.5">
      <c r="A821" s="2"/>
      <c r="B821" s="2"/>
      <c r="C821" s="2"/>
      <c r="D821" s="2"/>
      <c r="E821" s="2"/>
      <c r="F821" s="2"/>
      <c r="G821" s="2"/>
    </row>
    <row r="822" spans="1:7" ht="12.5">
      <c r="A822" s="2"/>
      <c r="B822" s="2"/>
      <c r="C822" s="2"/>
      <c r="D822" s="2"/>
      <c r="E822" s="2"/>
      <c r="F822" s="2"/>
      <c r="G822" s="2"/>
    </row>
    <row r="823" spans="1:7" ht="12.5">
      <c r="A823" s="2"/>
      <c r="B823" s="2"/>
      <c r="C823" s="2"/>
      <c r="D823" s="2"/>
      <c r="E823" s="2"/>
      <c r="F823" s="2"/>
      <c r="G823" s="2"/>
    </row>
    <row r="824" spans="1:7" ht="12.5">
      <c r="A824" s="2"/>
      <c r="B824" s="2"/>
      <c r="C824" s="2"/>
      <c r="D824" s="2"/>
      <c r="E824" s="2"/>
      <c r="F824" s="2"/>
      <c r="G824" s="2"/>
    </row>
    <row r="825" spans="1:7" ht="12.5">
      <c r="A825" s="2"/>
      <c r="B825" s="2"/>
      <c r="C825" s="2"/>
      <c r="D825" s="2"/>
      <c r="E825" s="2"/>
      <c r="F825" s="2"/>
      <c r="G825" s="2"/>
    </row>
    <row r="826" spans="1:7" ht="12.5">
      <c r="A826" s="2"/>
      <c r="B826" s="2"/>
      <c r="C826" s="2"/>
      <c r="D826" s="2"/>
      <c r="E826" s="2"/>
      <c r="F826" s="2"/>
      <c r="G826" s="2"/>
    </row>
    <row r="827" spans="1:7" ht="12.5">
      <c r="A827" s="2"/>
      <c r="B827" s="2"/>
      <c r="C827" s="2"/>
      <c r="D827" s="2"/>
      <c r="E827" s="2"/>
      <c r="F827" s="2"/>
      <c r="G827" s="2"/>
    </row>
    <row r="828" spans="1:7" ht="12.5">
      <c r="A828" s="2"/>
      <c r="B828" s="2"/>
      <c r="C828" s="2"/>
      <c r="D828" s="2"/>
      <c r="E828" s="2"/>
      <c r="F828" s="2"/>
      <c r="G828" s="2"/>
    </row>
    <row r="829" spans="1:7" ht="12.5">
      <c r="A829" s="2"/>
      <c r="B829" s="2"/>
      <c r="C829" s="2"/>
      <c r="D829" s="2"/>
      <c r="E829" s="2"/>
      <c r="F829" s="2"/>
      <c r="G829" s="2"/>
    </row>
    <row r="830" spans="1:7" ht="12.5">
      <c r="A830" s="2"/>
      <c r="B830" s="2"/>
      <c r="C830" s="2"/>
      <c r="D830" s="2"/>
      <c r="E830" s="2"/>
      <c r="F830" s="2"/>
      <c r="G830" s="2"/>
    </row>
    <row r="831" spans="1:7" ht="12.5">
      <c r="A831" s="2"/>
      <c r="B831" s="2"/>
      <c r="C831" s="2"/>
      <c r="D831" s="2"/>
      <c r="E831" s="2"/>
      <c r="F831" s="2"/>
      <c r="G831" s="2"/>
    </row>
    <row r="832" spans="1:7" ht="12.5">
      <c r="A832" s="2"/>
      <c r="B832" s="2"/>
      <c r="C832" s="2"/>
      <c r="D832" s="2"/>
      <c r="E832" s="2"/>
      <c r="F832" s="2"/>
      <c r="G832" s="2"/>
    </row>
    <row r="833" spans="1:7" ht="12.5">
      <c r="A833" s="2"/>
      <c r="B833" s="2"/>
      <c r="C833" s="2"/>
      <c r="D833" s="2"/>
      <c r="E833" s="2"/>
      <c r="F833" s="2"/>
      <c r="G833" s="2"/>
    </row>
    <row r="834" spans="1:7" ht="12.5">
      <c r="A834" s="2"/>
      <c r="B834" s="2"/>
      <c r="C834" s="2"/>
      <c r="D834" s="2"/>
      <c r="E834" s="2"/>
      <c r="F834" s="2"/>
      <c r="G834" s="2"/>
    </row>
    <row r="835" spans="1:7" ht="12.5">
      <c r="A835" s="2"/>
      <c r="B835" s="2"/>
      <c r="C835" s="2"/>
      <c r="D835" s="2"/>
      <c r="E835" s="2"/>
      <c r="F835" s="2"/>
      <c r="G835" s="2"/>
    </row>
    <row r="836" spans="1:7" ht="12.5">
      <c r="A836" s="2"/>
      <c r="B836" s="2"/>
      <c r="C836" s="2"/>
      <c r="D836" s="2"/>
      <c r="E836" s="2"/>
      <c r="F836" s="2"/>
      <c r="G836" s="2"/>
    </row>
    <row r="837" spans="1:7" ht="12.5">
      <c r="A837" s="2"/>
      <c r="B837" s="2"/>
      <c r="C837" s="2"/>
      <c r="D837" s="2"/>
      <c r="E837" s="2"/>
      <c r="F837" s="2"/>
      <c r="G837" s="2"/>
    </row>
    <row r="838" spans="1:7" ht="12.5">
      <c r="A838" s="2"/>
      <c r="B838" s="2"/>
      <c r="C838" s="2"/>
      <c r="D838" s="2"/>
      <c r="E838" s="2"/>
      <c r="F838" s="2"/>
      <c r="G838" s="2"/>
    </row>
    <row r="839" spans="1:7" ht="12.5">
      <c r="A839" s="2"/>
      <c r="B839" s="2"/>
      <c r="C839" s="2"/>
      <c r="D839" s="2"/>
      <c r="E839" s="2"/>
      <c r="F839" s="2"/>
      <c r="G839" s="2"/>
    </row>
    <row r="840" spans="1:7" ht="12.5">
      <c r="A840" s="2"/>
      <c r="B840" s="2"/>
      <c r="C840" s="2"/>
      <c r="D840" s="2"/>
      <c r="E840" s="2"/>
      <c r="F840" s="2"/>
      <c r="G840" s="2"/>
    </row>
    <row r="841" spans="1:7" ht="12.5">
      <c r="A841" s="2"/>
      <c r="B841" s="2"/>
      <c r="C841" s="2"/>
      <c r="D841" s="2"/>
      <c r="E841" s="2"/>
      <c r="F841" s="2"/>
      <c r="G841" s="2"/>
    </row>
    <row r="842" spans="1:7" ht="12.5">
      <c r="A842" s="2"/>
      <c r="B842" s="2"/>
      <c r="C842" s="2"/>
      <c r="D842" s="2"/>
      <c r="E842" s="2"/>
      <c r="F842" s="2"/>
      <c r="G842" s="2"/>
    </row>
    <row r="843" spans="1:7" ht="12.5">
      <c r="A843" s="2"/>
      <c r="B843" s="2"/>
      <c r="C843" s="2"/>
      <c r="D843" s="2"/>
      <c r="E843" s="2"/>
      <c r="F843" s="2"/>
      <c r="G843" s="2"/>
    </row>
    <row r="844" spans="1:7" ht="12.5">
      <c r="A844" s="2"/>
      <c r="B844" s="2"/>
      <c r="C844" s="2"/>
      <c r="D844" s="2"/>
      <c r="E844" s="2"/>
      <c r="F844" s="2"/>
      <c r="G844" s="2"/>
    </row>
    <row r="845" spans="1:7" ht="12.5">
      <c r="A845" s="2"/>
      <c r="B845" s="2"/>
      <c r="C845" s="2"/>
      <c r="D845" s="2"/>
      <c r="E845" s="2"/>
      <c r="F845" s="2"/>
      <c r="G845" s="2"/>
    </row>
    <row r="846" spans="1:7" ht="12.5">
      <c r="A846" s="2"/>
      <c r="B846" s="2"/>
      <c r="C846" s="2"/>
      <c r="D846" s="2"/>
      <c r="E846" s="2"/>
      <c r="F846" s="2"/>
      <c r="G846" s="2"/>
    </row>
    <row r="847" spans="1:7" ht="12.5">
      <c r="A847" s="2"/>
      <c r="B847" s="2"/>
      <c r="C847" s="2"/>
      <c r="D847" s="2"/>
      <c r="E847" s="2"/>
      <c r="F847" s="2"/>
      <c r="G847" s="2"/>
    </row>
    <row r="848" spans="1:7" ht="12.5">
      <c r="A848" s="2"/>
      <c r="B848" s="2"/>
      <c r="C848" s="2"/>
      <c r="D848" s="2"/>
      <c r="E848" s="2"/>
      <c r="F848" s="2"/>
      <c r="G848" s="2"/>
    </row>
    <row r="849" spans="1:7" ht="12.5">
      <c r="A849" s="2"/>
      <c r="B849" s="2"/>
      <c r="C849" s="2"/>
      <c r="D849" s="2"/>
      <c r="E849" s="2"/>
      <c r="F849" s="2"/>
      <c r="G849" s="2"/>
    </row>
    <row r="850" spans="1:7" ht="12.5">
      <c r="A850" s="2"/>
      <c r="B850" s="2"/>
      <c r="C850" s="2"/>
      <c r="D850" s="2"/>
      <c r="E850" s="2"/>
      <c r="F850" s="2"/>
      <c r="G850" s="2"/>
    </row>
    <row r="851" spans="1:7" ht="12.5">
      <c r="A851" s="2"/>
      <c r="B851" s="2"/>
      <c r="C851" s="2"/>
      <c r="D851" s="2"/>
      <c r="E851" s="2"/>
      <c r="F851" s="2"/>
      <c r="G851" s="2"/>
    </row>
    <row r="852" spans="1:7" ht="12.5">
      <c r="A852" s="2"/>
      <c r="B852" s="2"/>
      <c r="C852" s="2"/>
      <c r="D852" s="2"/>
      <c r="E852" s="2"/>
      <c r="F852" s="2"/>
      <c r="G852" s="2"/>
    </row>
    <row r="853" spans="1:7" ht="12.5">
      <c r="A853" s="2"/>
      <c r="B853" s="2"/>
      <c r="C853" s="2"/>
      <c r="D853" s="2"/>
      <c r="E853" s="2"/>
      <c r="F853" s="2"/>
      <c r="G853" s="2"/>
    </row>
    <row r="854" spans="1:7" ht="12.5">
      <c r="A854" s="2"/>
      <c r="B854" s="2"/>
      <c r="C854" s="2"/>
      <c r="D854" s="2"/>
      <c r="E854" s="2"/>
      <c r="F854" s="2"/>
      <c r="G854" s="2"/>
    </row>
    <row r="855" spans="1:7" ht="12.5">
      <c r="A855" s="2"/>
      <c r="B855" s="2"/>
      <c r="C855" s="2"/>
      <c r="D855" s="2"/>
      <c r="E855" s="2"/>
      <c r="F855" s="2"/>
      <c r="G855" s="2"/>
    </row>
    <row r="856" spans="1:7" ht="12.5">
      <c r="A856" s="2"/>
      <c r="B856" s="2"/>
      <c r="C856" s="2"/>
      <c r="D856" s="2"/>
      <c r="E856" s="2"/>
      <c r="F856" s="2"/>
      <c r="G856" s="2"/>
    </row>
    <row r="857" spans="1:7" ht="12.5">
      <c r="A857" s="2"/>
      <c r="B857" s="2"/>
      <c r="C857" s="2"/>
      <c r="D857" s="2"/>
      <c r="E857" s="2"/>
      <c r="F857" s="2"/>
      <c r="G857" s="2"/>
    </row>
    <row r="858" spans="1:7" ht="12.5">
      <c r="A858" s="2"/>
      <c r="B858" s="2"/>
      <c r="C858" s="2"/>
      <c r="D858" s="2"/>
      <c r="E858" s="2"/>
      <c r="F858" s="2"/>
      <c r="G858" s="2"/>
    </row>
    <row r="859" spans="1:7" ht="12.5">
      <c r="A859" s="2"/>
      <c r="B859" s="2"/>
      <c r="C859" s="2"/>
      <c r="D859" s="2"/>
      <c r="E859" s="2"/>
      <c r="F859" s="2"/>
      <c r="G859" s="2"/>
    </row>
    <row r="860" spans="1:7" ht="12.5">
      <c r="A860" s="2"/>
      <c r="B860" s="2"/>
      <c r="C860" s="2"/>
      <c r="D860" s="2"/>
      <c r="E860" s="2"/>
      <c r="F860" s="2"/>
      <c r="G860" s="2"/>
    </row>
    <row r="861" spans="1:7" ht="12.5">
      <c r="A861" s="2"/>
      <c r="B861" s="2"/>
      <c r="C861" s="2"/>
      <c r="D861" s="2"/>
      <c r="E861" s="2"/>
      <c r="F861" s="2"/>
      <c r="G861" s="2"/>
    </row>
    <row r="862" spans="1:7" ht="12.5">
      <c r="A862" s="2"/>
      <c r="B862" s="2"/>
      <c r="C862" s="2"/>
      <c r="D862" s="2"/>
      <c r="E862" s="2"/>
      <c r="F862" s="2"/>
      <c r="G862" s="2"/>
    </row>
    <row r="863" spans="1:7" ht="12.5">
      <c r="A863" s="2"/>
      <c r="B863" s="2"/>
      <c r="C863" s="2"/>
      <c r="D863" s="2"/>
      <c r="E863" s="2"/>
      <c r="F863" s="2"/>
      <c r="G863" s="2"/>
    </row>
    <row r="864" spans="1:7" ht="12.5">
      <c r="A864" s="2"/>
      <c r="B864" s="2"/>
      <c r="C864" s="2"/>
      <c r="D864" s="2"/>
      <c r="E864" s="2"/>
      <c r="F864" s="2"/>
      <c r="G864" s="2"/>
    </row>
    <row r="865" spans="1:7" ht="12.5">
      <c r="A865" s="2"/>
      <c r="B865" s="2"/>
      <c r="C865" s="2"/>
      <c r="D865" s="2"/>
      <c r="E865" s="2"/>
      <c r="F865" s="2"/>
      <c r="G865" s="2"/>
    </row>
    <row r="866" spans="1:7" ht="12.5">
      <c r="A866" s="2"/>
      <c r="B866" s="2"/>
      <c r="C866" s="2"/>
      <c r="D866" s="2"/>
      <c r="E866" s="2"/>
      <c r="F866" s="2"/>
      <c r="G866" s="2"/>
    </row>
    <row r="867" spans="1:7" ht="12.5">
      <c r="A867" s="2"/>
      <c r="B867" s="2"/>
      <c r="C867" s="2"/>
      <c r="D867" s="2"/>
      <c r="E867" s="2"/>
      <c r="F867" s="2"/>
      <c r="G867" s="2"/>
    </row>
    <row r="868" spans="1:7" ht="12.5">
      <c r="A868" s="2"/>
      <c r="B868" s="2"/>
      <c r="C868" s="2"/>
      <c r="D868" s="2"/>
      <c r="E868" s="2"/>
      <c r="F868" s="2"/>
      <c r="G868" s="2"/>
    </row>
    <row r="869" spans="1:7" ht="12.5">
      <c r="A869" s="2"/>
      <c r="B869" s="2"/>
      <c r="C869" s="2"/>
      <c r="D869" s="2"/>
      <c r="E869" s="2"/>
      <c r="F869" s="2"/>
      <c r="G869" s="2"/>
    </row>
    <row r="870" spans="1:7" ht="12.5">
      <c r="A870" s="2"/>
      <c r="B870" s="2"/>
      <c r="C870" s="2"/>
      <c r="D870" s="2"/>
      <c r="E870" s="2"/>
      <c r="F870" s="2"/>
      <c r="G870" s="2"/>
    </row>
    <row r="871" spans="1:7" ht="12.5">
      <c r="A871" s="2"/>
      <c r="B871" s="2"/>
      <c r="C871" s="2"/>
      <c r="D871" s="2"/>
      <c r="E871" s="2"/>
      <c r="F871" s="2"/>
      <c r="G871" s="2"/>
    </row>
    <row r="872" spans="1:7" ht="12.5">
      <c r="A872" s="2"/>
      <c r="B872" s="2"/>
      <c r="C872" s="2"/>
      <c r="D872" s="2"/>
      <c r="E872" s="2"/>
      <c r="F872" s="2"/>
      <c r="G872" s="2"/>
    </row>
    <row r="873" spans="1:7" ht="12.5">
      <c r="A873" s="2"/>
      <c r="B873" s="2"/>
      <c r="C873" s="2"/>
      <c r="D873" s="2"/>
      <c r="E873" s="2"/>
      <c r="F873" s="2"/>
      <c r="G873" s="2"/>
    </row>
    <row r="874" spans="1:7" ht="12.5">
      <c r="A874" s="2"/>
      <c r="B874" s="2"/>
      <c r="C874" s="2"/>
      <c r="D874" s="2"/>
      <c r="E874" s="2"/>
      <c r="F874" s="2"/>
      <c r="G874" s="2"/>
    </row>
    <row r="875" spans="1:7" ht="12.5">
      <c r="A875" s="2"/>
      <c r="B875" s="2"/>
      <c r="C875" s="2"/>
      <c r="D875" s="2"/>
      <c r="E875" s="2"/>
      <c r="F875" s="2"/>
      <c r="G875" s="2"/>
    </row>
    <row r="876" spans="1:7" ht="12.5">
      <c r="A876" s="2"/>
      <c r="B876" s="2"/>
      <c r="C876" s="2"/>
      <c r="D876" s="2"/>
      <c r="E876" s="2"/>
      <c r="F876" s="2"/>
      <c r="G876" s="2"/>
    </row>
    <row r="877" spans="1:7" ht="12.5">
      <c r="A877" s="2"/>
      <c r="B877" s="2"/>
      <c r="C877" s="2"/>
      <c r="D877" s="2"/>
      <c r="E877" s="2"/>
      <c r="F877" s="2"/>
      <c r="G877" s="2"/>
    </row>
    <row r="878" spans="1:7" ht="12.5">
      <c r="A878" s="2"/>
      <c r="B878" s="2"/>
      <c r="C878" s="2"/>
      <c r="D878" s="2"/>
      <c r="E878" s="2"/>
      <c r="F878" s="2"/>
      <c r="G878" s="2"/>
    </row>
    <row r="879" spans="1:7" ht="12.5">
      <c r="A879" s="2"/>
      <c r="B879" s="2"/>
      <c r="C879" s="2"/>
      <c r="D879" s="2"/>
      <c r="E879" s="2"/>
      <c r="F879" s="2"/>
      <c r="G879" s="2"/>
    </row>
    <row r="880" spans="1:7" ht="12.5">
      <c r="A880" s="2"/>
      <c r="B880" s="2"/>
      <c r="C880" s="2"/>
      <c r="D880" s="2"/>
      <c r="E880" s="2"/>
      <c r="F880" s="2"/>
      <c r="G880" s="2"/>
    </row>
    <row r="881" spans="1:7" ht="12.5">
      <c r="A881" s="2"/>
      <c r="B881" s="2"/>
      <c r="C881" s="2"/>
      <c r="D881" s="2"/>
      <c r="E881" s="2"/>
      <c r="F881" s="2"/>
      <c r="G881" s="2"/>
    </row>
    <row r="882" spans="1:7" ht="12.5">
      <c r="A882" s="2"/>
      <c r="B882" s="2"/>
      <c r="C882" s="2"/>
      <c r="D882" s="2"/>
      <c r="E882" s="2"/>
      <c r="F882" s="2"/>
      <c r="G882" s="2"/>
    </row>
    <row r="883" spans="1:7" ht="12.5">
      <c r="A883" s="2"/>
      <c r="B883" s="2"/>
      <c r="C883" s="2"/>
      <c r="D883" s="2"/>
      <c r="E883" s="2"/>
      <c r="F883" s="2"/>
      <c r="G883" s="2"/>
    </row>
    <row r="884" spans="1:7" ht="12.5">
      <c r="A884" s="2"/>
      <c r="B884" s="2"/>
      <c r="C884" s="2"/>
      <c r="D884" s="2"/>
      <c r="E884" s="2"/>
      <c r="F884" s="2"/>
      <c r="G884" s="2"/>
    </row>
    <row r="885" spans="1:7" ht="12.5">
      <c r="A885" s="2"/>
      <c r="B885" s="2"/>
      <c r="C885" s="2"/>
      <c r="D885" s="2"/>
      <c r="E885" s="2"/>
      <c r="F885" s="2"/>
      <c r="G885" s="2"/>
    </row>
    <row r="886" spans="1:7" ht="12.5">
      <c r="A886" s="2"/>
      <c r="B886" s="2"/>
      <c r="C886" s="2"/>
      <c r="D886" s="2"/>
      <c r="E886" s="2"/>
      <c r="F886" s="2"/>
      <c r="G886" s="2"/>
    </row>
    <row r="887" spans="1:7" ht="12.5">
      <c r="A887" s="2"/>
      <c r="B887" s="2"/>
      <c r="C887" s="2"/>
      <c r="D887" s="2"/>
      <c r="E887" s="2"/>
      <c r="F887" s="2"/>
      <c r="G887" s="2"/>
    </row>
    <row r="888" spans="1:7" ht="12.5">
      <c r="A888" s="2"/>
      <c r="B888" s="2"/>
      <c r="C888" s="2"/>
      <c r="D888" s="2"/>
      <c r="E888" s="2"/>
      <c r="F888" s="2"/>
      <c r="G888" s="2"/>
    </row>
    <row r="889" spans="1:7" ht="12.5">
      <c r="A889" s="2"/>
      <c r="B889" s="2"/>
      <c r="C889" s="2"/>
      <c r="D889" s="2"/>
      <c r="E889" s="2"/>
      <c r="F889" s="2"/>
      <c r="G889" s="2"/>
    </row>
    <row r="890" spans="1:7" ht="12.5">
      <c r="A890" s="2"/>
      <c r="B890" s="2"/>
      <c r="C890" s="2"/>
      <c r="D890" s="2"/>
      <c r="E890" s="2"/>
      <c r="F890" s="2"/>
      <c r="G890" s="2"/>
    </row>
    <row r="891" spans="1:7" ht="12.5">
      <c r="A891" s="2"/>
      <c r="B891" s="2"/>
      <c r="C891" s="2"/>
      <c r="D891" s="2"/>
      <c r="E891" s="2"/>
      <c r="F891" s="2"/>
      <c r="G891" s="2"/>
    </row>
    <row r="892" spans="1:7" ht="12.5">
      <c r="A892" s="2"/>
      <c r="B892" s="2"/>
      <c r="C892" s="2"/>
      <c r="D892" s="2"/>
      <c r="E892" s="2"/>
      <c r="F892" s="2"/>
      <c r="G892" s="2"/>
    </row>
    <row r="893" spans="1:7" ht="12.5">
      <c r="A893" s="2"/>
      <c r="B893" s="2"/>
      <c r="C893" s="2"/>
      <c r="D893" s="2"/>
      <c r="E893" s="2"/>
      <c r="F893" s="2"/>
      <c r="G893" s="2"/>
    </row>
    <row r="894" spans="1:7" ht="12.5">
      <c r="A894" s="2"/>
      <c r="B894" s="2"/>
      <c r="C894" s="2"/>
      <c r="D894" s="2"/>
      <c r="E894" s="2"/>
      <c r="F894" s="2"/>
      <c r="G894" s="2"/>
    </row>
    <row r="895" spans="1:7" ht="12.5">
      <c r="A895" s="2"/>
      <c r="B895" s="2"/>
      <c r="C895" s="2"/>
      <c r="D895" s="2"/>
      <c r="E895" s="2"/>
      <c r="F895" s="2"/>
      <c r="G895" s="2"/>
    </row>
    <row r="896" spans="1:7" ht="12.5">
      <c r="A896" s="2"/>
      <c r="B896" s="2"/>
      <c r="C896" s="2"/>
      <c r="D896" s="2"/>
      <c r="E896" s="2"/>
      <c r="F896" s="2"/>
      <c r="G896" s="2"/>
    </row>
    <row r="897" spans="1:7" ht="12.5">
      <c r="A897" s="2"/>
      <c r="B897" s="2"/>
      <c r="C897" s="2"/>
      <c r="D897" s="2"/>
      <c r="E897" s="2"/>
      <c r="F897" s="2"/>
      <c r="G897" s="2"/>
    </row>
    <row r="898" spans="1:7" ht="12.5">
      <c r="A898" s="2"/>
      <c r="B898" s="2"/>
      <c r="C898" s="2"/>
      <c r="D898" s="2"/>
      <c r="E898" s="2"/>
      <c r="F898" s="2"/>
      <c r="G898" s="2"/>
    </row>
    <row r="899" spans="1:7" ht="12.5">
      <c r="A899" s="2"/>
      <c r="B899" s="2"/>
      <c r="C899" s="2"/>
      <c r="D899" s="2"/>
      <c r="E899" s="2"/>
      <c r="F899" s="2"/>
      <c r="G899" s="2"/>
    </row>
    <row r="900" spans="1:7" ht="12.5">
      <c r="A900" s="2"/>
      <c r="B900" s="2"/>
      <c r="C900" s="2"/>
      <c r="D900" s="2"/>
      <c r="E900" s="2"/>
      <c r="F900" s="2"/>
      <c r="G900" s="2"/>
    </row>
    <row r="901" spans="1:7" ht="12.5">
      <c r="A901" s="2"/>
      <c r="B901" s="2"/>
      <c r="C901" s="2"/>
      <c r="D901" s="2"/>
      <c r="E901" s="2"/>
      <c r="F901" s="2"/>
      <c r="G901" s="2"/>
    </row>
    <row r="902" spans="1:7" ht="12.5">
      <c r="A902" s="2"/>
      <c r="B902" s="2"/>
      <c r="C902" s="2"/>
      <c r="D902" s="2"/>
      <c r="E902" s="2"/>
      <c r="F902" s="2"/>
      <c r="G902" s="2"/>
    </row>
    <row r="903" spans="1:7" ht="12.5">
      <c r="A903" s="2"/>
      <c r="B903" s="2"/>
      <c r="C903" s="2"/>
      <c r="D903" s="2"/>
      <c r="E903" s="2"/>
      <c r="F903" s="2"/>
      <c r="G903" s="2"/>
    </row>
    <row r="904" spans="1:7" ht="12.5">
      <c r="A904" s="2"/>
      <c r="B904" s="2"/>
      <c r="C904" s="2"/>
      <c r="D904" s="2"/>
      <c r="E904" s="2"/>
      <c r="F904" s="2"/>
      <c r="G904" s="2"/>
    </row>
    <row r="905" spans="1:7" ht="12.5">
      <c r="A905" s="2"/>
      <c r="B905" s="2"/>
      <c r="C905" s="2"/>
      <c r="D905" s="2"/>
      <c r="E905" s="2"/>
      <c r="F905" s="2"/>
      <c r="G905" s="2"/>
    </row>
    <row r="906" spans="1:7" ht="12.5">
      <c r="A906" s="2"/>
      <c r="B906" s="2"/>
      <c r="C906" s="2"/>
      <c r="D906" s="2"/>
      <c r="E906" s="2"/>
      <c r="F906" s="2"/>
      <c r="G906" s="2"/>
    </row>
    <row r="907" spans="1:7" ht="12.5">
      <c r="A907" s="2"/>
      <c r="B907" s="2"/>
      <c r="C907" s="2"/>
      <c r="D907" s="2"/>
      <c r="E907" s="2"/>
      <c r="F907" s="2"/>
      <c r="G907" s="2"/>
    </row>
    <row r="908" spans="1:7" ht="12.5">
      <c r="A908" s="2"/>
      <c r="B908" s="2"/>
      <c r="C908" s="2"/>
      <c r="D908" s="2"/>
      <c r="E908" s="2"/>
      <c r="F908" s="2"/>
      <c r="G908" s="2"/>
    </row>
    <row r="909" spans="1:7" ht="12.5">
      <c r="A909" s="2"/>
      <c r="B909" s="2"/>
      <c r="C909" s="2"/>
      <c r="D909" s="2"/>
      <c r="E909" s="2"/>
      <c r="F909" s="2"/>
      <c r="G909" s="2"/>
    </row>
    <row r="910" spans="1:7" ht="12.5">
      <c r="A910" s="2"/>
      <c r="B910" s="2"/>
      <c r="C910" s="2"/>
      <c r="D910" s="2"/>
      <c r="E910" s="2"/>
      <c r="F910" s="2"/>
      <c r="G910" s="2"/>
    </row>
    <row r="911" spans="1:7" ht="12.5">
      <c r="A911" s="2"/>
      <c r="B911" s="2"/>
      <c r="C911" s="2"/>
      <c r="D911" s="2"/>
      <c r="E911" s="2"/>
      <c r="F911" s="2"/>
      <c r="G911" s="2"/>
    </row>
    <row r="912" spans="1:7" ht="12.5">
      <c r="A912" s="2"/>
      <c r="B912" s="2"/>
      <c r="C912" s="2"/>
      <c r="D912" s="2"/>
      <c r="E912" s="2"/>
      <c r="F912" s="2"/>
      <c r="G912" s="2"/>
    </row>
    <row r="913" spans="1:7" ht="12.5">
      <c r="A913" s="2"/>
      <c r="B913" s="2"/>
      <c r="C913" s="2"/>
      <c r="D913" s="2"/>
      <c r="E913" s="2"/>
      <c r="F913" s="2"/>
      <c r="G913" s="2"/>
    </row>
    <row r="914" spans="1:7" ht="12.5">
      <c r="A914" s="2"/>
      <c r="B914" s="2"/>
      <c r="C914" s="2"/>
      <c r="D914" s="2"/>
      <c r="E914" s="2"/>
      <c r="F914" s="2"/>
      <c r="G914" s="2"/>
    </row>
    <row r="915" spans="1:7" ht="12.5">
      <c r="A915" s="2"/>
      <c r="B915" s="2"/>
      <c r="C915" s="2"/>
      <c r="D915" s="2"/>
      <c r="E915" s="2"/>
      <c r="F915" s="2"/>
      <c r="G915" s="2"/>
    </row>
    <row r="916" spans="1:7" ht="12.5">
      <c r="A916" s="2"/>
      <c r="B916" s="2"/>
      <c r="C916" s="2"/>
      <c r="D916" s="2"/>
      <c r="E916" s="2"/>
      <c r="F916" s="2"/>
      <c r="G916" s="2"/>
    </row>
    <row r="917" spans="1:7" ht="12.5">
      <c r="A917" s="2"/>
      <c r="B917" s="2"/>
      <c r="C917" s="2"/>
      <c r="D917" s="2"/>
      <c r="E917" s="2"/>
      <c r="F917" s="2"/>
      <c r="G917" s="2"/>
    </row>
    <row r="918" spans="1:7" ht="12.5">
      <c r="A918" s="2"/>
      <c r="B918" s="2"/>
      <c r="C918" s="2"/>
      <c r="D918" s="2"/>
      <c r="E918" s="2"/>
      <c r="F918" s="2"/>
      <c r="G918" s="2"/>
    </row>
    <row r="919" spans="1:7" ht="12.5">
      <c r="A919" s="2"/>
      <c r="B919" s="2"/>
      <c r="C919" s="2"/>
      <c r="D919" s="2"/>
      <c r="E919" s="2"/>
      <c r="F919" s="2"/>
      <c r="G919" s="2"/>
    </row>
    <row r="920" spans="1:7" ht="12.5">
      <c r="A920" s="2"/>
      <c r="B920" s="2"/>
      <c r="C920" s="2"/>
      <c r="D920" s="2"/>
      <c r="E920" s="2"/>
      <c r="F920" s="2"/>
      <c r="G920" s="2"/>
    </row>
    <row r="921" spans="1:7" ht="12.5">
      <c r="A921" s="2"/>
      <c r="B921" s="2"/>
      <c r="C921" s="2"/>
      <c r="D921" s="2"/>
      <c r="E921" s="2"/>
      <c r="F921" s="2"/>
      <c r="G921" s="2"/>
    </row>
    <row r="922" spans="1:7" ht="12.5">
      <c r="A922" s="2"/>
      <c r="B922" s="2"/>
      <c r="C922" s="2"/>
      <c r="D922" s="2"/>
      <c r="E922" s="2"/>
      <c r="F922" s="2"/>
      <c r="G922" s="2"/>
    </row>
    <row r="923" spans="1:7" ht="12.5">
      <c r="A923" s="2"/>
      <c r="B923" s="2"/>
      <c r="C923" s="2"/>
      <c r="D923" s="2"/>
      <c r="E923" s="2"/>
      <c r="F923" s="2"/>
      <c r="G923" s="2"/>
    </row>
    <row r="924" spans="1:7" ht="12.5">
      <c r="A924" s="2"/>
      <c r="B924" s="2"/>
      <c r="C924" s="2"/>
      <c r="D924" s="2"/>
      <c r="E924" s="2"/>
      <c r="F924" s="2"/>
      <c r="G924" s="2"/>
    </row>
    <row r="925" spans="1:7" ht="12.5">
      <c r="A925" s="2"/>
      <c r="B925" s="2"/>
      <c r="C925" s="2"/>
      <c r="D925" s="2"/>
      <c r="E925" s="2"/>
      <c r="F925" s="2"/>
      <c r="G925" s="2"/>
    </row>
    <row r="926" spans="1:7" ht="12.5">
      <c r="A926" s="2"/>
      <c r="B926" s="2"/>
      <c r="C926" s="2"/>
      <c r="D926" s="2"/>
      <c r="E926" s="2"/>
      <c r="F926" s="2"/>
      <c r="G926" s="2"/>
    </row>
    <row r="927" spans="1:7" ht="12.5">
      <c r="A927" s="2"/>
      <c r="B927" s="2"/>
      <c r="C927" s="2"/>
      <c r="D927" s="2"/>
      <c r="E927" s="2"/>
      <c r="F927" s="2"/>
      <c r="G927" s="2"/>
    </row>
    <row r="928" spans="1:7" ht="12.5">
      <c r="A928" s="2"/>
      <c r="B928" s="2"/>
      <c r="C928" s="2"/>
      <c r="D928" s="2"/>
      <c r="E928" s="2"/>
      <c r="F928" s="2"/>
      <c r="G928" s="2"/>
    </row>
    <row r="929" spans="1:7" ht="12.5">
      <c r="A929" s="2"/>
      <c r="B929" s="2"/>
      <c r="C929" s="2"/>
      <c r="D929" s="2"/>
      <c r="E929" s="2"/>
      <c r="F929" s="2"/>
      <c r="G929" s="2"/>
    </row>
    <row r="930" spans="1:7" ht="12.5">
      <c r="A930" s="2"/>
      <c r="B930" s="2"/>
      <c r="C930" s="2"/>
      <c r="D930" s="2"/>
      <c r="E930" s="2"/>
      <c r="F930" s="2"/>
      <c r="G930" s="2"/>
    </row>
    <row r="931" spans="1:7" ht="12.5">
      <c r="A931" s="2"/>
      <c r="B931" s="2"/>
      <c r="C931" s="2"/>
      <c r="D931" s="2"/>
      <c r="E931" s="2"/>
      <c r="F931" s="2"/>
      <c r="G931" s="2"/>
    </row>
    <row r="932" spans="1:7" ht="12.5">
      <c r="A932" s="2"/>
      <c r="B932" s="2"/>
      <c r="C932" s="2"/>
      <c r="D932" s="2"/>
      <c r="E932" s="2"/>
      <c r="F932" s="2"/>
      <c r="G932" s="2"/>
    </row>
    <row r="933" spans="1:7" ht="12.5">
      <c r="A933" s="2"/>
      <c r="B933" s="2"/>
      <c r="C933" s="2"/>
      <c r="D933" s="2"/>
      <c r="E933" s="2"/>
      <c r="F933" s="2"/>
      <c r="G933" s="2"/>
    </row>
    <row r="934" spans="1:7" ht="12.5">
      <c r="A934" s="2"/>
      <c r="B934" s="2"/>
      <c r="C934" s="2"/>
      <c r="D934" s="2"/>
      <c r="E934" s="2"/>
      <c r="F934" s="2"/>
      <c r="G934" s="2"/>
    </row>
    <row r="935" spans="1:7" ht="12.5">
      <c r="A935" s="2"/>
      <c r="B935" s="2"/>
      <c r="C935" s="2"/>
      <c r="D935" s="2"/>
      <c r="E935" s="2"/>
      <c r="F935" s="2"/>
      <c r="G935" s="2"/>
    </row>
    <row r="936" spans="1:7" ht="12.5">
      <c r="A936" s="2"/>
      <c r="B936" s="2"/>
      <c r="C936" s="2"/>
      <c r="D936" s="2"/>
      <c r="E936" s="2"/>
      <c r="F936" s="2"/>
      <c r="G936" s="2"/>
    </row>
    <row r="937" spans="1:7" ht="12.5">
      <c r="A937" s="2"/>
      <c r="B937" s="2"/>
      <c r="C937" s="2"/>
      <c r="D937" s="2"/>
      <c r="E937" s="2"/>
      <c r="F937" s="2"/>
      <c r="G937" s="2"/>
    </row>
    <row r="938" spans="1:7" ht="12.5">
      <c r="A938" s="2"/>
      <c r="B938" s="2"/>
      <c r="C938" s="2"/>
      <c r="D938" s="2"/>
      <c r="E938" s="2"/>
      <c r="F938" s="2"/>
      <c r="G938" s="2"/>
    </row>
    <row r="939" spans="1:7" ht="12.5">
      <c r="A939" s="2"/>
      <c r="B939" s="2"/>
      <c r="C939" s="2"/>
      <c r="D939" s="2"/>
      <c r="E939" s="2"/>
      <c r="F939" s="2"/>
      <c r="G939" s="2"/>
    </row>
    <row r="940" spans="1:7" ht="12.5">
      <c r="A940" s="2"/>
      <c r="B940" s="2"/>
      <c r="C940" s="2"/>
      <c r="D940" s="2"/>
      <c r="E940" s="2"/>
      <c r="F940" s="2"/>
      <c r="G940" s="2"/>
    </row>
    <row r="941" spans="1:7" ht="12.5">
      <c r="A941" s="2"/>
      <c r="B941" s="2"/>
      <c r="C941" s="2"/>
      <c r="D941" s="2"/>
      <c r="E941" s="2"/>
      <c r="F941" s="2"/>
      <c r="G941" s="2"/>
    </row>
    <row r="942" spans="1:7" ht="12.5">
      <c r="A942" s="2"/>
      <c r="B942" s="2"/>
      <c r="C942" s="2"/>
      <c r="D942" s="2"/>
      <c r="E942" s="2"/>
      <c r="F942" s="2"/>
      <c r="G942" s="2"/>
    </row>
    <row r="943" spans="1:7" ht="12.5">
      <c r="A943" s="2"/>
      <c r="B943" s="2"/>
      <c r="C943" s="2"/>
      <c r="D943" s="2"/>
      <c r="E943" s="2"/>
      <c r="F943" s="2"/>
      <c r="G943" s="2"/>
    </row>
    <row r="944" spans="1:7" ht="12.5">
      <c r="A944" s="2"/>
      <c r="B944" s="2"/>
      <c r="C944" s="2"/>
      <c r="D944" s="2"/>
      <c r="E944" s="2"/>
      <c r="F944" s="2"/>
      <c r="G944" s="2"/>
    </row>
    <row r="945" spans="1:7" ht="12.5">
      <c r="A945" s="2"/>
      <c r="B945" s="2"/>
      <c r="C945" s="2"/>
      <c r="D945" s="2"/>
      <c r="E945" s="2"/>
      <c r="F945" s="2"/>
      <c r="G945" s="2"/>
    </row>
    <row r="946" spans="1:7" ht="12.5">
      <c r="A946" s="2"/>
      <c r="B946" s="2"/>
      <c r="C946" s="2"/>
      <c r="D946" s="2"/>
      <c r="E946" s="2"/>
      <c r="F946" s="2"/>
      <c r="G946" s="2"/>
    </row>
    <row r="947" spans="1:7" ht="12.5">
      <c r="A947" s="2"/>
      <c r="B947" s="2"/>
      <c r="C947" s="2"/>
      <c r="D947" s="2"/>
      <c r="E947" s="2"/>
      <c r="F947" s="2"/>
      <c r="G947" s="2"/>
    </row>
    <row r="948" spans="1:7" ht="12.5">
      <c r="A948" s="2"/>
      <c r="B948" s="2"/>
      <c r="C948" s="2"/>
      <c r="D948" s="2"/>
      <c r="E948" s="2"/>
      <c r="F948" s="2"/>
      <c r="G948" s="2"/>
    </row>
    <row r="949" spans="1:7" ht="12.5">
      <c r="A949" s="2"/>
      <c r="B949" s="2"/>
      <c r="C949" s="2"/>
      <c r="D949" s="2"/>
      <c r="E949" s="2"/>
      <c r="F949" s="2"/>
      <c r="G949" s="2"/>
    </row>
    <row r="950" spans="1:7" ht="12.5">
      <c r="A950" s="2"/>
      <c r="B950" s="2"/>
      <c r="C950" s="2"/>
      <c r="D950" s="2"/>
      <c r="E950" s="2"/>
      <c r="F950" s="2"/>
      <c r="G950" s="2"/>
    </row>
    <row r="951" spans="1:7" ht="12.5">
      <c r="A951" s="2"/>
      <c r="B951" s="2"/>
      <c r="C951" s="2"/>
      <c r="D951" s="2"/>
      <c r="E951" s="2"/>
      <c r="F951" s="2"/>
      <c r="G951" s="2"/>
    </row>
    <row r="952" spans="1:7" ht="12.5">
      <c r="A952" s="2"/>
      <c r="B952" s="2"/>
      <c r="C952" s="2"/>
      <c r="D952" s="2"/>
      <c r="E952" s="2"/>
      <c r="F952" s="2"/>
      <c r="G952" s="2"/>
    </row>
    <row r="953" spans="1:7" ht="12.5">
      <c r="A953" s="2"/>
      <c r="B953" s="2"/>
      <c r="C953" s="2"/>
      <c r="D953" s="2"/>
      <c r="E953" s="2"/>
      <c r="F953" s="2"/>
      <c r="G953" s="2"/>
    </row>
    <row r="954" spans="1:7" ht="12.5">
      <c r="A954" s="2"/>
      <c r="B954" s="2"/>
      <c r="C954" s="2"/>
      <c r="D954" s="2"/>
      <c r="E954" s="2"/>
      <c r="F954" s="2"/>
      <c r="G954" s="2"/>
    </row>
    <row r="955" spans="1:7" ht="12.5">
      <c r="A955" s="2"/>
      <c r="B955" s="2"/>
      <c r="C955" s="2"/>
      <c r="D955" s="2"/>
      <c r="E955" s="2"/>
      <c r="F955" s="2"/>
      <c r="G955" s="2"/>
    </row>
    <row r="956" spans="1:7" ht="12.5">
      <c r="A956" s="2"/>
      <c r="B956" s="2"/>
      <c r="C956" s="2"/>
      <c r="D956" s="2"/>
      <c r="E956" s="2"/>
      <c r="F956" s="2"/>
      <c r="G956" s="2"/>
    </row>
    <row r="957" spans="1:7" ht="12.5">
      <c r="A957" s="2"/>
      <c r="B957" s="2"/>
      <c r="C957" s="2"/>
      <c r="D957" s="2"/>
      <c r="E957" s="2"/>
      <c r="F957" s="2"/>
      <c r="G957" s="2"/>
    </row>
    <row r="958" spans="1:7" ht="12.5">
      <c r="A958" s="2"/>
      <c r="B958" s="2"/>
      <c r="C958" s="2"/>
      <c r="D958" s="2"/>
      <c r="E958" s="2"/>
      <c r="F958" s="2"/>
      <c r="G958" s="2"/>
    </row>
    <row r="959" spans="1:7" ht="12.5">
      <c r="A959" s="2"/>
      <c r="B959" s="2"/>
      <c r="C959" s="2"/>
      <c r="D959" s="2"/>
      <c r="E959" s="2"/>
      <c r="F959" s="2"/>
      <c r="G959" s="2"/>
    </row>
    <row r="960" spans="1:7" ht="12.5">
      <c r="A960" s="2"/>
      <c r="B960" s="2"/>
      <c r="C960" s="2"/>
      <c r="D960" s="2"/>
      <c r="E960" s="2"/>
      <c r="F960" s="2"/>
      <c r="G960" s="2"/>
    </row>
    <row r="961" spans="1:7" ht="12.5">
      <c r="A961" s="2"/>
      <c r="B961" s="2"/>
      <c r="C961" s="2"/>
      <c r="D961" s="2"/>
      <c r="E961" s="2"/>
      <c r="F961" s="2"/>
      <c r="G961" s="2"/>
    </row>
    <row r="962" spans="1:7" ht="12.5">
      <c r="A962" s="2"/>
      <c r="B962" s="2"/>
      <c r="C962" s="2"/>
      <c r="D962" s="2"/>
      <c r="E962" s="2"/>
      <c r="F962" s="2"/>
      <c r="G962" s="2"/>
    </row>
    <row r="963" spans="1:7" ht="12.5">
      <c r="A963" s="2"/>
      <c r="B963" s="2"/>
      <c r="C963" s="2"/>
      <c r="D963" s="2"/>
      <c r="E963" s="2"/>
      <c r="F963" s="2"/>
      <c r="G963" s="2"/>
    </row>
    <row r="964" spans="1:7" ht="12.5">
      <c r="A964" s="2"/>
      <c r="B964" s="2"/>
      <c r="C964" s="2"/>
      <c r="D964" s="2"/>
      <c r="E964" s="2"/>
      <c r="F964" s="2"/>
      <c r="G964" s="2"/>
    </row>
    <row r="965" spans="1:7" ht="12.5">
      <c r="A965" s="2"/>
      <c r="B965" s="2"/>
      <c r="C965" s="2"/>
      <c r="D965" s="2"/>
      <c r="E965" s="2"/>
      <c r="F965" s="2"/>
      <c r="G965" s="2"/>
    </row>
    <row r="966" spans="1:7" ht="12.5">
      <c r="A966" s="2"/>
      <c r="B966" s="2"/>
      <c r="C966" s="2"/>
      <c r="D966" s="2"/>
      <c r="E966" s="2"/>
      <c r="F966" s="2"/>
      <c r="G966" s="2"/>
    </row>
    <row r="967" spans="1:7" ht="12.5">
      <c r="A967" s="2"/>
      <c r="B967" s="2"/>
      <c r="C967" s="2"/>
      <c r="D967" s="2"/>
      <c r="E967" s="2"/>
      <c r="F967" s="2"/>
      <c r="G967" s="2"/>
    </row>
    <row r="968" spans="1:7" ht="12.5">
      <c r="A968" s="2"/>
      <c r="B968" s="2"/>
      <c r="C968" s="2"/>
      <c r="D968" s="2"/>
      <c r="E968" s="2"/>
      <c r="F968" s="2"/>
      <c r="G968" s="2"/>
    </row>
    <row r="969" spans="1:7" ht="12.5">
      <c r="A969" s="2"/>
      <c r="B969" s="2"/>
      <c r="C969" s="2"/>
      <c r="D969" s="2"/>
      <c r="E969" s="2"/>
      <c r="F969" s="2"/>
      <c r="G969" s="2"/>
    </row>
    <row r="970" spans="1:7" ht="12.5">
      <c r="A970" s="2"/>
      <c r="B970" s="2"/>
      <c r="C970" s="2"/>
      <c r="D970" s="2"/>
      <c r="E970" s="2"/>
      <c r="F970" s="2"/>
      <c r="G970" s="2"/>
    </row>
    <row r="971" spans="1:7" ht="12.5">
      <c r="A971" s="2"/>
      <c r="B971" s="2"/>
      <c r="C971" s="2"/>
      <c r="D971" s="2"/>
      <c r="E971" s="2"/>
      <c r="F971" s="2"/>
      <c r="G971" s="2"/>
    </row>
    <row r="972" spans="1:7" ht="12.5">
      <c r="A972" s="2"/>
      <c r="B972" s="2"/>
      <c r="C972" s="2"/>
      <c r="D972" s="2"/>
      <c r="E972" s="2"/>
      <c r="F972" s="2"/>
      <c r="G972" s="2"/>
    </row>
    <row r="973" spans="1:7" ht="12.5">
      <c r="A973" s="2"/>
      <c r="B973" s="2"/>
      <c r="C973" s="2"/>
      <c r="D973" s="2"/>
      <c r="E973" s="2"/>
      <c r="F973" s="2"/>
      <c r="G973" s="2"/>
    </row>
    <row r="974" spans="1:7" ht="12.5">
      <c r="A974" s="2"/>
      <c r="B974" s="2"/>
      <c r="C974" s="2"/>
      <c r="D974" s="2"/>
      <c r="E974" s="2"/>
      <c r="F974" s="2"/>
      <c r="G974" s="2"/>
    </row>
    <row r="975" spans="1:7" ht="12.5">
      <c r="A975" s="2"/>
      <c r="B975" s="2"/>
      <c r="C975" s="2"/>
      <c r="D975" s="2"/>
      <c r="E975" s="2"/>
      <c r="F975" s="2"/>
      <c r="G975" s="2"/>
    </row>
    <row r="976" spans="1:7" ht="12.5">
      <c r="A976" s="2"/>
      <c r="B976" s="2"/>
      <c r="C976" s="2"/>
      <c r="D976" s="2"/>
      <c r="E976" s="2"/>
      <c r="F976" s="2"/>
      <c r="G976" s="2"/>
    </row>
    <row r="977" spans="1:7" ht="12.5">
      <c r="A977" s="2"/>
      <c r="B977" s="2"/>
      <c r="C977" s="2"/>
      <c r="D977" s="2"/>
      <c r="E977" s="2"/>
      <c r="F977" s="2"/>
      <c r="G977" s="2"/>
    </row>
    <row r="978" spans="1:7" ht="12.5">
      <c r="A978" s="2"/>
      <c r="B978" s="2"/>
      <c r="C978" s="2"/>
      <c r="D978" s="2"/>
      <c r="E978" s="2"/>
      <c r="F978" s="2"/>
      <c r="G978" s="2"/>
    </row>
    <row r="979" spans="1:7" ht="12.5">
      <c r="A979" s="2"/>
      <c r="B979" s="2"/>
      <c r="C979" s="2"/>
      <c r="D979" s="2"/>
      <c r="E979" s="2"/>
      <c r="F979" s="2"/>
      <c r="G979" s="2"/>
    </row>
    <row r="980" spans="1:7" ht="12.5">
      <c r="A980" s="2"/>
      <c r="B980" s="2"/>
      <c r="C980" s="2"/>
      <c r="D980" s="2"/>
      <c r="E980" s="2"/>
      <c r="F980" s="2"/>
      <c r="G980" s="2"/>
    </row>
    <row r="981" spans="1:7" ht="12.5">
      <c r="A981" s="2"/>
      <c r="B981" s="2"/>
      <c r="C981" s="2"/>
      <c r="D981" s="2"/>
      <c r="E981" s="2"/>
      <c r="F981" s="2"/>
      <c r="G981" s="2"/>
    </row>
    <row r="982" spans="1:7" ht="12.5">
      <c r="A982" s="2"/>
      <c r="B982" s="2"/>
      <c r="C982" s="2"/>
      <c r="D982" s="2"/>
      <c r="E982" s="2"/>
      <c r="F982" s="2"/>
      <c r="G982" s="2"/>
    </row>
    <row r="983" spans="1:7" ht="12.5">
      <c r="A983" s="2"/>
      <c r="B983" s="2"/>
      <c r="C983" s="2"/>
      <c r="D983" s="2"/>
      <c r="E983" s="2"/>
      <c r="F983" s="2"/>
      <c r="G983" s="2"/>
    </row>
    <row r="984" spans="1:7" ht="12.5">
      <c r="A984" s="2"/>
      <c r="B984" s="2"/>
      <c r="C984" s="2"/>
      <c r="D984" s="2"/>
      <c r="E984" s="2"/>
      <c r="F984" s="2"/>
      <c r="G984" s="2"/>
    </row>
    <row r="985" spans="1:7" ht="12.5">
      <c r="A985" s="2"/>
      <c r="B985" s="2"/>
      <c r="C985" s="2"/>
      <c r="D985" s="2"/>
      <c r="E985" s="2"/>
      <c r="F985" s="2"/>
      <c r="G985" s="2"/>
    </row>
    <row r="986" spans="1:7" ht="12.5">
      <c r="A986" s="2"/>
      <c r="B986" s="2"/>
      <c r="C986" s="2"/>
      <c r="D986" s="2"/>
      <c r="E986" s="2"/>
      <c r="F986" s="2"/>
      <c r="G986" s="2"/>
    </row>
    <row r="987" spans="1:7" ht="12.5">
      <c r="A987" s="2"/>
      <c r="B987" s="2"/>
      <c r="C987" s="2"/>
      <c r="D987" s="2"/>
      <c r="E987" s="2"/>
      <c r="F987" s="2"/>
      <c r="G987" s="2"/>
    </row>
    <row r="988" spans="1:7" ht="12.5">
      <c r="A988" s="2"/>
      <c r="B988" s="2"/>
      <c r="C988" s="2"/>
      <c r="D988" s="2"/>
      <c r="E988" s="2"/>
      <c r="F988" s="2"/>
      <c r="G988" s="2"/>
    </row>
    <row r="989" spans="1:7" ht="12.5">
      <c r="A989" s="2"/>
      <c r="B989" s="2"/>
      <c r="C989" s="2"/>
      <c r="D989" s="2"/>
      <c r="E989" s="2"/>
      <c r="F989" s="2"/>
      <c r="G989" s="2"/>
    </row>
    <row r="990" spans="1:7" ht="12.5">
      <c r="A990" s="2"/>
      <c r="B990" s="2"/>
      <c r="C990" s="2"/>
      <c r="D990" s="2"/>
      <c r="E990" s="2"/>
      <c r="F990" s="2"/>
      <c r="G990" s="2"/>
    </row>
    <row r="991" spans="1:7" ht="12.5">
      <c r="A991" s="2"/>
      <c r="B991" s="2"/>
      <c r="C991" s="2"/>
      <c r="D991" s="2"/>
      <c r="E991" s="2"/>
      <c r="F991" s="2"/>
      <c r="G991" s="2"/>
    </row>
    <row r="992" spans="1:7" ht="12.5">
      <c r="A992" s="2"/>
      <c r="B992" s="2"/>
      <c r="C992" s="2"/>
      <c r="D992" s="2"/>
      <c r="E992" s="2"/>
      <c r="F992" s="2"/>
      <c r="G992" s="2"/>
    </row>
    <row r="993" spans="1:7" ht="12.5">
      <c r="A993" s="2"/>
      <c r="B993" s="2"/>
      <c r="C993" s="2"/>
      <c r="D993" s="2"/>
      <c r="E993" s="2"/>
      <c r="F993" s="2"/>
      <c r="G993" s="2"/>
    </row>
    <row r="994" spans="1:7" ht="12.5">
      <c r="A994" s="2"/>
      <c r="B994" s="2"/>
      <c r="C994" s="2"/>
      <c r="D994" s="2"/>
      <c r="E994" s="2"/>
      <c r="F994" s="2"/>
      <c r="G994" s="2"/>
    </row>
    <row r="995" spans="1:7" ht="12.5">
      <c r="A995" s="2"/>
      <c r="B995" s="2"/>
      <c r="C995" s="2"/>
      <c r="D995" s="2"/>
      <c r="E995" s="2"/>
      <c r="F995" s="2"/>
      <c r="G995" s="2"/>
    </row>
    <row r="996" spans="1:7" ht="12.5">
      <c r="A996" s="2"/>
      <c r="B996" s="2"/>
      <c r="C996" s="2"/>
      <c r="D996" s="2"/>
      <c r="E996" s="2"/>
      <c r="F996" s="2"/>
      <c r="G996" s="2"/>
    </row>
    <row r="997" spans="1:7" ht="12.5">
      <c r="A997" s="2"/>
      <c r="B997" s="2"/>
      <c r="C997" s="2"/>
      <c r="D997" s="2"/>
      <c r="E997" s="2"/>
      <c r="F997" s="2"/>
      <c r="G997" s="2"/>
    </row>
    <row r="998" spans="1:7" ht="12.5">
      <c r="A998" s="2"/>
      <c r="B998" s="2"/>
      <c r="C998" s="2"/>
      <c r="D998" s="2"/>
      <c r="E998" s="2"/>
      <c r="F998" s="2"/>
      <c r="G998" s="2"/>
    </row>
    <row r="999" spans="1:7" ht="12.5">
      <c r="A999" s="2"/>
      <c r="B999" s="2"/>
      <c r="C999" s="2"/>
      <c r="D999" s="2"/>
      <c r="E999" s="2"/>
      <c r="F999" s="2"/>
      <c r="G999" s="2"/>
    </row>
    <row r="1000" spans="1:7" ht="12.5">
      <c r="A1000" s="2"/>
      <c r="B1000" s="2"/>
      <c r="C1000" s="2"/>
      <c r="D1000" s="2"/>
      <c r="E1000" s="2"/>
      <c r="F1000" s="2"/>
      <c r="G1000" s="2"/>
    </row>
    <row r="1001" spans="1:7" ht="12.5">
      <c r="A1001" s="2"/>
      <c r="B1001" s="2"/>
      <c r="C1001" s="2"/>
      <c r="D1001" s="2"/>
      <c r="E1001" s="2"/>
      <c r="F1001" s="2"/>
      <c r="G1001" s="2"/>
    </row>
    <row r="1002" spans="1:7" ht="12.5">
      <c r="A1002" s="2"/>
      <c r="B1002" s="2"/>
      <c r="C1002" s="2"/>
      <c r="D1002" s="2"/>
      <c r="E1002" s="2"/>
      <c r="F1002" s="2"/>
      <c r="G1002" s="2"/>
    </row>
    <row r="1003" spans="1:7" ht="12.5">
      <c r="A1003" s="2"/>
      <c r="B1003" s="2"/>
      <c r="C1003" s="2"/>
      <c r="D1003" s="2"/>
      <c r="E1003" s="2"/>
      <c r="F1003" s="2"/>
      <c r="G1003" s="2"/>
    </row>
    <row r="1004" spans="1:7" ht="12.5">
      <c r="A1004" s="2"/>
      <c r="B1004" s="2"/>
      <c r="C1004" s="2"/>
      <c r="D1004" s="2"/>
      <c r="E1004" s="2"/>
      <c r="F1004" s="2"/>
      <c r="G1004" s="2"/>
    </row>
    <row r="1005" spans="1:7" ht="12.5">
      <c r="A1005" s="2"/>
      <c r="B1005" s="2"/>
      <c r="C1005" s="2"/>
      <c r="D1005" s="2"/>
      <c r="E1005" s="2"/>
      <c r="F1005" s="2"/>
      <c r="G1005" s="2"/>
    </row>
    <row r="1006" spans="1:7" ht="12.5">
      <c r="A1006" s="2"/>
      <c r="B1006" s="2"/>
      <c r="C1006" s="2"/>
      <c r="D1006" s="2"/>
      <c r="E1006" s="2"/>
      <c r="F1006" s="2"/>
      <c r="G1006" s="2"/>
    </row>
    <row r="1007" spans="1:7" ht="12.5">
      <c r="A1007" s="2"/>
      <c r="B1007" s="2"/>
      <c r="C1007" s="2"/>
      <c r="D1007" s="2"/>
      <c r="E1007" s="2"/>
      <c r="F1007" s="2"/>
      <c r="G1007" s="2"/>
    </row>
    <row r="1008" spans="1:7" ht="12.5">
      <c r="A1008" s="2"/>
      <c r="B1008" s="2"/>
      <c r="C1008" s="2"/>
      <c r="D1008" s="2"/>
      <c r="E1008" s="2"/>
      <c r="F1008" s="2"/>
      <c r="G1008" s="2"/>
    </row>
    <row r="1009" spans="1:7" ht="12.5">
      <c r="A1009" s="2"/>
      <c r="B1009" s="2"/>
      <c r="C1009" s="2"/>
      <c r="D1009" s="2"/>
      <c r="E1009" s="2"/>
      <c r="F1009" s="2"/>
      <c r="G1009" s="2"/>
    </row>
    <row r="1010" spans="1:7" ht="12.5">
      <c r="A1010" s="2"/>
      <c r="B1010" s="2"/>
      <c r="C1010" s="2"/>
      <c r="D1010" s="2"/>
      <c r="E1010" s="2"/>
      <c r="F1010" s="2"/>
      <c r="G1010" s="2"/>
    </row>
    <row r="1011" spans="1:7" ht="12.5">
      <c r="A1011" s="2"/>
      <c r="B1011" s="2"/>
      <c r="C1011" s="2"/>
      <c r="D1011" s="2"/>
      <c r="E1011" s="2"/>
      <c r="F1011" s="2"/>
      <c r="G1011" s="2"/>
    </row>
    <row r="1012" spans="1:7" ht="12.5">
      <c r="A1012" s="2"/>
      <c r="B1012" s="2"/>
      <c r="C1012" s="2"/>
      <c r="D1012" s="2"/>
      <c r="E1012" s="2"/>
      <c r="F1012" s="2"/>
      <c r="G1012" s="2"/>
    </row>
    <row r="1013" spans="1:7" ht="12.5">
      <c r="A1013" s="2"/>
      <c r="B1013" s="2"/>
      <c r="C1013" s="2"/>
      <c r="D1013" s="2"/>
      <c r="E1013" s="2"/>
      <c r="F1013" s="2"/>
      <c r="G1013" s="2"/>
    </row>
    <row r="1014" spans="1:7" ht="12.5">
      <c r="A1014" s="2"/>
      <c r="B1014" s="2"/>
      <c r="C1014" s="2"/>
      <c r="D1014" s="2"/>
      <c r="E1014" s="2"/>
      <c r="F1014" s="2"/>
      <c r="G1014" s="2"/>
    </row>
    <row r="1015" spans="1:7" ht="12.5">
      <c r="A1015" s="2"/>
      <c r="B1015" s="2"/>
      <c r="C1015" s="2"/>
      <c r="D1015" s="2"/>
      <c r="E1015" s="2"/>
      <c r="F1015" s="2"/>
      <c r="G1015" s="2"/>
    </row>
    <row r="1016" spans="1:7" ht="12.5">
      <c r="A1016" s="2"/>
      <c r="B1016" s="2"/>
      <c r="C1016" s="2"/>
      <c r="D1016" s="2"/>
      <c r="E1016" s="2"/>
      <c r="F1016" s="2"/>
      <c r="G1016" s="2"/>
    </row>
    <row r="1017" spans="1:7" ht="12.5">
      <c r="A1017" s="2"/>
      <c r="B1017" s="2"/>
      <c r="C1017" s="2"/>
      <c r="D1017" s="2"/>
      <c r="E1017" s="2"/>
      <c r="F1017" s="2"/>
      <c r="G1017" s="2"/>
    </row>
    <row r="1018" spans="1:7" ht="12.5">
      <c r="A1018" s="2"/>
      <c r="B1018" s="2"/>
      <c r="C1018" s="2"/>
      <c r="D1018" s="2"/>
      <c r="E1018" s="2"/>
      <c r="F1018" s="2"/>
      <c r="G1018" s="2"/>
    </row>
    <row r="1019" spans="1:7" ht="12.5">
      <c r="A1019" s="2"/>
      <c r="B1019" s="2"/>
      <c r="C1019" s="2"/>
      <c r="D1019" s="2"/>
      <c r="E1019" s="2"/>
      <c r="F1019" s="2"/>
      <c r="G1019" s="2"/>
    </row>
    <row r="1020" spans="1:7" ht="12.5">
      <c r="A1020" s="2"/>
      <c r="B1020" s="2"/>
      <c r="C1020" s="2"/>
      <c r="D1020" s="2"/>
      <c r="E1020" s="2"/>
      <c r="F1020" s="2"/>
      <c r="G1020" s="2"/>
    </row>
    <row r="1021" spans="1:7" ht="12.5">
      <c r="A1021" s="2"/>
      <c r="B1021" s="2"/>
      <c r="C1021" s="2"/>
      <c r="D1021" s="2"/>
      <c r="E1021" s="2"/>
      <c r="F1021" s="2"/>
      <c r="G1021" s="2"/>
    </row>
    <row r="1022" spans="1:7" ht="12.5">
      <c r="A1022" s="2"/>
      <c r="B1022" s="2"/>
      <c r="C1022" s="2"/>
      <c r="D1022" s="2"/>
      <c r="E1022" s="2"/>
      <c r="F1022" s="2"/>
      <c r="G1022" s="2"/>
    </row>
    <row r="1023" spans="1:7" ht="12.5">
      <c r="A1023" s="2"/>
      <c r="B1023" s="2"/>
      <c r="C1023" s="2"/>
      <c r="D1023" s="2"/>
      <c r="E1023" s="2"/>
      <c r="F1023" s="2"/>
      <c r="G1023" s="2"/>
    </row>
    <row r="1024" spans="1:7" ht="12.5">
      <c r="A1024" s="2"/>
      <c r="B1024" s="2"/>
      <c r="C1024" s="2"/>
      <c r="D1024" s="2"/>
      <c r="E1024" s="2"/>
      <c r="F1024" s="2"/>
      <c r="G1024" s="2"/>
    </row>
    <row r="1025" spans="1:7" ht="12.5">
      <c r="A1025" s="2"/>
      <c r="B1025" s="2"/>
      <c r="C1025" s="2"/>
      <c r="D1025" s="2"/>
      <c r="E1025" s="2"/>
      <c r="F1025" s="2"/>
      <c r="G1025" s="2"/>
    </row>
    <row r="1026" spans="1:7" ht="12.5">
      <c r="A1026" s="2"/>
      <c r="B1026" s="2"/>
      <c r="C1026" s="2"/>
      <c r="D1026" s="2"/>
      <c r="E1026" s="2"/>
      <c r="F1026" s="2"/>
      <c r="G1026" s="2"/>
    </row>
    <row r="1027" spans="1:7" ht="12.5">
      <c r="A1027" s="2"/>
      <c r="B1027" s="2"/>
      <c r="C1027" s="2"/>
      <c r="D1027" s="2"/>
      <c r="E1027" s="2"/>
      <c r="F1027" s="2"/>
      <c r="G1027" s="2"/>
    </row>
    <row r="1028" spans="1:7" ht="12.5">
      <c r="A1028" s="2"/>
      <c r="B1028" s="2"/>
      <c r="C1028" s="2"/>
      <c r="D1028" s="2"/>
      <c r="E1028" s="2"/>
      <c r="F1028" s="2"/>
      <c r="G1028" s="2"/>
    </row>
    <row r="1029" spans="1:7" ht="12.5">
      <c r="A1029" s="2"/>
      <c r="B1029" s="2"/>
      <c r="C1029" s="2"/>
      <c r="D1029" s="2"/>
      <c r="E1029" s="2"/>
      <c r="F1029" s="2"/>
      <c r="G1029" s="2"/>
    </row>
    <row r="1030" spans="1:7" ht="12.5">
      <c r="A1030" s="2"/>
      <c r="B1030" s="2"/>
      <c r="C1030" s="2"/>
      <c r="D1030" s="2"/>
      <c r="E1030" s="2"/>
      <c r="F1030" s="2"/>
      <c r="G1030" s="2"/>
    </row>
    <row r="1031" spans="1:7" ht="12.5">
      <c r="A1031" s="2"/>
      <c r="B1031" s="2"/>
      <c r="C1031" s="2"/>
      <c r="D1031" s="2"/>
      <c r="E1031" s="2"/>
      <c r="F1031" s="2"/>
      <c r="G1031" s="2"/>
    </row>
    <row r="1032" spans="1:7" ht="12.5">
      <c r="A1032" s="2"/>
      <c r="B1032" s="2"/>
      <c r="C1032" s="2"/>
      <c r="D1032" s="2"/>
      <c r="E1032" s="2"/>
      <c r="F1032" s="2"/>
      <c r="G1032" s="2"/>
    </row>
    <row r="1033" spans="1:7" ht="12.5">
      <c r="A1033" s="2"/>
      <c r="B1033" s="2"/>
      <c r="C1033" s="2"/>
      <c r="D1033" s="2"/>
      <c r="E1033" s="2"/>
      <c r="F1033" s="2"/>
      <c r="G1033" s="2"/>
    </row>
    <row r="1034" spans="1:7" ht="12.5">
      <c r="A1034" s="2"/>
      <c r="B1034" s="2"/>
      <c r="C1034" s="2"/>
      <c r="D1034" s="2"/>
      <c r="E1034" s="2"/>
      <c r="F1034" s="2"/>
      <c r="G1034" s="2"/>
    </row>
    <row r="1035" spans="1:7" ht="12.5">
      <c r="A1035" s="2"/>
      <c r="B1035" s="2"/>
      <c r="C1035" s="2"/>
      <c r="D1035" s="2"/>
      <c r="E1035" s="2"/>
      <c r="F1035" s="2"/>
      <c r="G1035" s="2"/>
    </row>
    <row r="1036" spans="1:7" ht="12.5">
      <c r="A1036" s="2"/>
      <c r="B1036" s="2"/>
      <c r="C1036" s="2"/>
      <c r="D1036" s="2"/>
      <c r="E1036" s="2"/>
      <c r="F1036" s="2"/>
      <c r="G1036" s="2"/>
    </row>
    <row r="1037" spans="1:7" ht="12.5">
      <c r="A1037" s="2"/>
      <c r="B1037" s="2"/>
      <c r="C1037" s="2"/>
      <c r="D1037" s="2"/>
      <c r="E1037" s="2"/>
      <c r="F1037" s="2"/>
      <c r="G1037" s="2"/>
    </row>
    <row r="1038" spans="1:7" ht="12.5">
      <c r="A1038" s="2"/>
      <c r="B1038" s="2"/>
      <c r="C1038" s="2"/>
      <c r="D1038" s="2"/>
      <c r="E1038" s="2"/>
      <c r="F1038" s="2"/>
      <c r="G1038" s="2"/>
    </row>
    <row r="1039" spans="1:7" ht="12.5">
      <c r="A1039" s="2"/>
      <c r="B1039" s="2"/>
      <c r="C1039" s="2"/>
      <c r="D1039" s="2"/>
      <c r="E1039" s="2"/>
      <c r="F1039" s="2"/>
      <c r="G1039" s="2"/>
    </row>
    <row r="1040" spans="1:7" ht="12.5">
      <c r="A1040" s="2"/>
      <c r="B1040" s="2"/>
      <c r="C1040" s="2"/>
      <c r="D1040" s="2"/>
      <c r="E1040" s="2"/>
      <c r="F1040" s="2"/>
      <c r="G1040" s="2"/>
    </row>
    <row r="1041" spans="1:7" ht="12.5">
      <c r="A1041" s="2"/>
      <c r="B1041" s="2"/>
      <c r="C1041" s="2"/>
      <c r="D1041" s="2"/>
      <c r="E1041" s="2"/>
      <c r="F1041" s="2"/>
      <c r="G1041" s="2"/>
    </row>
    <row r="1042" spans="1:7" ht="12.5">
      <c r="A1042" s="2"/>
      <c r="B1042" s="2"/>
      <c r="C1042" s="2"/>
      <c r="D1042" s="2"/>
      <c r="E1042" s="2"/>
      <c r="F1042" s="2"/>
      <c r="G1042" s="2"/>
    </row>
    <row r="1043" spans="1:7" ht="12.5">
      <c r="A1043" s="2"/>
      <c r="B1043" s="2"/>
      <c r="C1043" s="2"/>
      <c r="D1043" s="2"/>
      <c r="E1043" s="2"/>
      <c r="F1043" s="2"/>
      <c r="G1043" s="2"/>
    </row>
    <row r="1044" spans="1:7" ht="12.5">
      <c r="A1044" s="2"/>
      <c r="B1044" s="2"/>
      <c r="C1044" s="2"/>
      <c r="D1044" s="2"/>
      <c r="E1044" s="2"/>
      <c r="F1044" s="2"/>
      <c r="G1044" s="2"/>
    </row>
    <row r="1045" spans="1:7" ht="12.5">
      <c r="A1045" s="2"/>
      <c r="B1045" s="2"/>
      <c r="C1045" s="2"/>
      <c r="D1045" s="2"/>
      <c r="E1045" s="2"/>
      <c r="F1045" s="2"/>
      <c r="G1045" s="2"/>
    </row>
    <row r="1046" spans="1:7" ht="12.5">
      <c r="A1046" s="2"/>
      <c r="B1046" s="2"/>
      <c r="C1046" s="2"/>
      <c r="D1046" s="2"/>
      <c r="E1046" s="2"/>
      <c r="F1046" s="2"/>
      <c r="G1046" s="2"/>
    </row>
    <row r="1047" spans="1:7" ht="12.5">
      <c r="A1047" s="2"/>
      <c r="B1047" s="2"/>
      <c r="C1047" s="2"/>
      <c r="D1047" s="2"/>
      <c r="E1047" s="2"/>
      <c r="F1047" s="2"/>
      <c r="G1047" s="2"/>
    </row>
    <row r="1048" spans="1:7" ht="12.5">
      <c r="A1048" s="2"/>
      <c r="B1048" s="2"/>
      <c r="C1048" s="2"/>
      <c r="D1048" s="2"/>
      <c r="E1048" s="2"/>
      <c r="F1048" s="2"/>
      <c r="G1048" s="2"/>
    </row>
    <row r="1049" spans="1:7" ht="12.5">
      <c r="A1049" s="2"/>
      <c r="B1049" s="2"/>
      <c r="C1049" s="2"/>
      <c r="D1049" s="2"/>
      <c r="E1049" s="2"/>
      <c r="F1049" s="2"/>
      <c r="G1049" s="2"/>
    </row>
    <row r="1050" spans="1:7" ht="12.5">
      <c r="A1050" s="2"/>
      <c r="B1050" s="2"/>
      <c r="C1050" s="2"/>
      <c r="D1050" s="2"/>
      <c r="E1050" s="2"/>
      <c r="F1050" s="2"/>
      <c r="G1050" s="2"/>
    </row>
    <row r="1051" spans="1:7" ht="12.5">
      <c r="A1051" s="2"/>
      <c r="B1051" s="2"/>
      <c r="C1051" s="2"/>
      <c r="D1051" s="2"/>
      <c r="E1051" s="2"/>
      <c r="F1051" s="2"/>
      <c r="G1051" s="2"/>
    </row>
    <row r="1052" spans="1:7" ht="12.5">
      <c r="A1052" s="2"/>
      <c r="B1052" s="2"/>
      <c r="C1052" s="2"/>
      <c r="D1052" s="2"/>
      <c r="E1052" s="2"/>
      <c r="F1052" s="2"/>
      <c r="G1052" s="2"/>
    </row>
    <row r="1053" spans="1:7" ht="12.5">
      <c r="A1053" s="2"/>
      <c r="B1053" s="2"/>
      <c r="C1053" s="2"/>
      <c r="D1053" s="2"/>
      <c r="E1053" s="2"/>
      <c r="F1053" s="2"/>
      <c r="G1053" s="2"/>
    </row>
    <row r="1054" spans="1:7" ht="12.5">
      <c r="A1054" s="2"/>
      <c r="B1054" s="2"/>
      <c r="C1054" s="2"/>
      <c r="D1054" s="2"/>
      <c r="E1054" s="2"/>
      <c r="F1054" s="2"/>
      <c r="G1054" s="2"/>
    </row>
    <row r="1055" spans="1:7" ht="12.5">
      <c r="A1055" s="2"/>
      <c r="B1055" s="2"/>
      <c r="C1055" s="2"/>
      <c r="D1055" s="2"/>
      <c r="E1055" s="2"/>
      <c r="F1055" s="2"/>
      <c r="G1055" s="2"/>
    </row>
    <row r="1056" spans="1:7" ht="12.5">
      <c r="A1056" s="2"/>
      <c r="B1056" s="2"/>
      <c r="C1056" s="2"/>
      <c r="D1056" s="2"/>
      <c r="E1056" s="2"/>
      <c r="F1056" s="2"/>
      <c r="G1056" s="2"/>
    </row>
    <row r="1057" spans="1:7" ht="12.5">
      <c r="A1057" s="2"/>
      <c r="B1057" s="2"/>
      <c r="C1057" s="2"/>
      <c r="D1057" s="2"/>
      <c r="E1057" s="2"/>
      <c r="F1057" s="2"/>
      <c r="G1057" s="2"/>
    </row>
    <row r="1058" spans="1:7" ht="12.5">
      <c r="A1058" s="2"/>
      <c r="B1058" s="2"/>
      <c r="C1058" s="2"/>
      <c r="D1058" s="2"/>
      <c r="E1058" s="2"/>
      <c r="F1058" s="2"/>
      <c r="G1058" s="2"/>
    </row>
    <row r="1059" spans="1:7" ht="12.5">
      <c r="A1059" s="2"/>
      <c r="B1059" s="2"/>
      <c r="C1059" s="2"/>
      <c r="D1059" s="2"/>
      <c r="E1059" s="2"/>
      <c r="F1059" s="2"/>
      <c r="G1059" s="2"/>
    </row>
    <row r="1060" spans="1:7" ht="12.5">
      <c r="A1060" s="2"/>
      <c r="B1060" s="2"/>
      <c r="C1060" s="2"/>
      <c r="D1060" s="2"/>
      <c r="E1060" s="2"/>
      <c r="F1060" s="2"/>
      <c r="G1060" s="2"/>
    </row>
    <row r="1061" spans="1:7" ht="12.5">
      <c r="A1061" s="2"/>
      <c r="B1061" s="2"/>
      <c r="C1061" s="2"/>
      <c r="D1061" s="2"/>
      <c r="E1061" s="2"/>
      <c r="F1061" s="2"/>
      <c r="G1061" s="2"/>
    </row>
    <row r="1062" spans="1:7" ht="12.5">
      <c r="A1062" s="2"/>
      <c r="B1062" s="2"/>
      <c r="C1062" s="2"/>
      <c r="D1062" s="2"/>
      <c r="E1062" s="2"/>
      <c r="F1062" s="2"/>
      <c r="G1062" s="2"/>
    </row>
    <row r="1063" spans="1:7" ht="12.5">
      <c r="A1063" s="2"/>
      <c r="B1063" s="2"/>
      <c r="C1063" s="2"/>
      <c r="D1063" s="2"/>
      <c r="E1063" s="2"/>
      <c r="F1063" s="2"/>
      <c r="G1063" s="2"/>
    </row>
    <row r="1064" spans="1:7" ht="12.5">
      <c r="A1064" s="2"/>
      <c r="B1064" s="2"/>
      <c r="C1064" s="2"/>
      <c r="D1064" s="2"/>
      <c r="E1064" s="2"/>
      <c r="F1064" s="2"/>
      <c r="G1064" s="2"/>
    </row>
    <row r="1065" spans="1:7" ht="12.5">
      <c r="A1065" s="2"/>
      <c r="B1065" s="2"/>
      <c r="C1065" s="2"/>
      <c r="D1065" s="2"/>
      <c r="E1065" s="2"/>
      <c r="F1065" s="2"/>
      <c r="G1065" s="2"/>
    </row>
    <row r="1066" spans="1:7" ht="12.5">
      <c r="A1066" s="2"/>
      <c r="B1066" s="2"/>
      <c r="C1066" s="2"/>
      <c r="D1066" s="2"/>
      <c r="E1066" s="2"/>
      <c r="F1066" s="2"/>
      <c r="G1066" s="2"/>
    </row>
    <row r="1067" spans="1:7" ht="12.5">
      <c r="A1067" s="2"/>
      <c r="B1067" s="2"/>
      <c r="C1067" s="2"/>
      <c r="D1067" s="2"/>
      <c r="E1067" s="2"/>
      <c r="F1067" s="2"/>
      <c r="G1067" s="2"/>
    </row>
    <row r="1068" spans="1:7" ht="12.5">
      <c r="A1068" s="2"/>
      <c r="B1068" s="2"/>
      <c r="C1068" s="2"/>
      <c r="D1068" s="2"/>
      <c r="E1068" s="2"/>
      <c r="F1068" s="2"/>
      <c r="G1068" s="2"/>
    </row>
    <row r="1069" spans="1:7" ht="12.5">
      <c r="A1069" s="2"/>
      <c r="B1069" s="2"/>
      <c r="C1069" s="2"/>
      <c r="D1069" s="2"/>
      <c r="E1069" s="2"/>
      <c r="F1069" s="2"/>
      <c r="G1069" s="2"/>
    </row>
    <row r="1070" spans="1:7" ht="12.5">
      <c r="A1070" s="2"/>
      <c r="B1070" s="2"/>
      <c r="C1070" s="2"/>
      <c r="D1070" s="2"/>
      <c r="E1070" s="2"/>
      <c r="F1070" s="2"/>
      <c r="G1070" s="2"/>
    </row>
    <row r="1071" spans="1:7" ht="12.5">
      <c r="A1071" s="2"/>
      <c r="B1071" s="2"/>
      <c r="C1071" s="2"/>
      <c r="D1071" s="2"/>
      <c r="E1071" s="2"/>
      <c r="F1071" s="2"/>
      <c r="G1071" s="2"/>
    </row>
    <row r="1072" spans="1:7" ht="12.5">
      <c r="A1072" s="2"/>
      <c r="B1072" s="2"/>
      <c r="C1072" s="2"/>
      <c r="D1072" s="2"/>
      <c r="E1072" s="2"/>
      <c r="F1072" s="2"/>
      <c r="G1072" s="2"/>
    </row>
    <row r="1073" spans="1:7" ht="12.5">
      <c r="A1073" s="2"/>
      <c r="B1073" s="2"/>
      <c r="C1073" s="2"/>
      <c r="D1073" s="2"/>
      <c r="E1073" s="2"/>
      <c r="F1073" s="2"/>
      <c r="G1073" s="2"/>
    </row>
    <row r="1074" spans="1:7" ht="12.5">
      <c r="A1074" s="2"/>
      <c r="B1074" s="2"/>
      <c r="C1074" s="2"/>
      <c r="D1074" s="2"/>
      <c r="E1074" s="2"/>
      <c r="F1074" s="2"/>
      <c r="G1074" s="2"/>
    </row>
    <row r="1075" spans="1:7" ht="12.5">
      <c r="A1075" s="2"/>
      <c r="B1075" s="2"/>
      <c r="C1075" s="2"/>
      <c r="D1075" s="2"/>
      <c r="E1075" s="2"/>
      <c r="F1075" s="2"/>
      <c r="G1075" s="2"/>
    </row>
    <row r="1076" spans="1:7" ht="12.5">
      <c r="A1076" s="2"/>
      <c r="B1076" s="2"/>
      <c r="C1076" s="2"/>
      <c r="D1076" s="2"/>
      <c r="E1076" s="2"/>
      <c r="F1076" s="2"/>
      <c r="G1076" s="2"/>
    </row>
    <row r="1077" spans="1:7" ht="12.5">
      <c r="A1077" s="2"/>
      <c r="B1077" s="2"/>
      <c r="C1077" s="2"/>
      <c r="D1077" s="2"/>
      <c r="E1077" s="2"/>
      <c r="F1077" s="2"/>
      <c r="G1077" s="2"/>
    </row>
    <row r="1078" spans="1:7" ht="12.5">
      <c r="A1078" s="2"/>
      <c r="B1078" s="2"/>
      <c r="C1078" s="2"/>
      <c r="D1078" s="2"/>
      <c r="E1078" s="2"/>
      <c r="F1078" s="2"/>
      <c r="G1078" s="2"/>
    </row>
    <row r="1079" spans="1:7" ht="12.5">
      <c r="A1079" s="2"/>
      <c r="B1079" s="2"/>
      <c r="C1079" s="2"/>
      <c r="D1079" s="2"/>
      <c r="E1079" s="2"/>
      <c r="F1079" s="2"/>
      <c r="G1079" s="2"/>
    </row>
    <row r="1080" spans="1:7" ht="12.5">
      <c r="A1080" s="2"/>
      <c r="B1080" s="2"/>
      <c r="C1080" s="2"/>
      <c r="D1080" s="2"/>
      <c r="E1080" s="2"/>
      <c r="F1080" s="2"/>
      <c r="G1080" s="2"/>
    </row>
    <row r="1081" spans="1:7" ht="12.5">
      <c r="A1081" s="2"/>
      <c r="B1081" s="2"/>
      <c r="C1081" s="2"/>
      <c r="D1081" s="2"/>
      <c r="E1081" s="2"/>
      <c r="F1081" s="2"/>
      <c r="G1081" s="2"/>
    </row>
    <row r="1082" spans="1:7" ht="12.5">
      <c r="A1082" s="2"/>
      <c r="B1082" s="2"/>
      <c r="C1082" s="2"/>
      <c r="D1082" s="2"/>
      <c r="E1082" s="2"/>
      <c r="F1082" s="2"/>
      <c r="G1082" s="2"/>
    </row>
    <row r="1083" spans="1:7" ht="12.5">
      <c r="A1083" s="2"/>
      <c r="B1083" s="2"/>
      <c r="C1083" s="2"/>
      <c r="D1083" s="2"/>
      <c r="E1083" s="2"/>
      <c r="F1083" s="2"/>
      <c r="G1083" s="2"/>
    </row>
    <row r="1084" spans="1:7" ht="12.5">
      <c r="A1084" s="2"/>
      <c r="B1084" s="2"/>
      <c r="C1084" s="2"/>
      <c r="D1084" s="2"/>
      <c r="E1084" s="2"/>
      <c r="F1084" s="2"/>
      <c r="G1084" s="2"/>
    </row>
    <row r="1085" spans="1:7" ht="12.5">
      <c r="A1085" s="2"/>
      <c r="B1085" s="2"/>
      <c r="C1085" s="2"/>
      <c r="D1085" s="2"/>
      <c r="E1085" s="2"/>
      <c r="F1085" s="2"/>
      <c r="G1085" s="2"/>
    </row>
    <row r="1086" spans="1:7" ht="12.5">
      <c r="A1086" s="2"/>
      <c r="B1086" s="2"/>
      <c r="C1086" s="2"/>
      <c r="D1086" s="2"/>
      <c r="E1086" s="2"/>
      <c r="F1086" s="2"/>
      <c r="G1086" s="2"/>
    </row>
    <row r="1087" spans="1:7" ht="12.5">
      <c r="A1087" s="2"/>
      <c r="B1087" s="2"/>
      <c r="C1087" s="2"/>
      <c r="D1087" s="2"/>
      <c r="E1087" s="2"/>
      <c r="F1087" s="2"/>
      <c r="G1087" s="2"/>
    </row>
    <row r="1088" spans="1:7" ht="12.5">
      <c r="A1088" s="2"/>
      <c r="B1088" s="2"/>
      <c r="C1088" s="2"/>
      <c r="D1088" s="2"/>
      <c r="E1088" s="2"/>
      <c r="F1088" s="2"/>
      <c r="G1088" s="2"/>
    </row>
    <row r="1089" spans="1:7" ht="12.5">
      <c r="A1089" s="2"/>
      <c r="B1089" s="2"/>
      <c r="C1089" s="2"/>
      <c r="D1089" s="2"/>
      <c r="E1089" s="2"/>
      <c r="F1089" s="2"/>
      <c r="G1089" s="2"/>
    </row>
    <row r="1090" spans="1:7" ht="12.5">
      <c r="A1090" s="2"/>
      <c r="B1090" s="2"/>
      <c r="C1090" s="2"/>
      <c r="D1090" s="2"/>
      <c r="E1090" s="2"/>
      <c r="F1090" s="2"/>
      <c r="G1090" s="2"/>
    </row>
    <row r="1091" spans="1:7" ht="12.5">
      <c r="A1091" s="2"/>
      <c r="B1091" s="2"/>
      <c r="C1091" s="2"/>
      <c r="D1091" s="2"/>
      <c r="E1091" s="2"/>
      <c r="F1091" s="2"/>
      <c r="G1091" s="2"/>
    </row>
    <row r="1092" spans="1:7" ht="12.5">
      <c r="A1092" s="2"/>
      <c r="B1092" s="2"/>
      <c r="C1092" s="2"/>
      <c r="D1092" s="2"/>
      <c r="E1092" s="2"/>
      <c r="F1092" s="2"/>
      <c r="G1092" s="2"/>
    </row>
    <row r="1093" spans="1:7" ht="12.5">
      <c r="A1093" s="2"/>
      <c r="B1093" s="2"/>
      <c r="C1093" s="2"/>
      <c r="D1093" s="2"/>
      <c r="E1093" s="2"/>
      <c r="F1093" s="2"/>
      <c r="G1093" s="2"/>
    </row>
    <row r="1094" spans="1:7" ht="12.5">
      <c r="A1094" s="2"/>
      <c r="B1094" s="2"/>
      <c r="C1094" s="2"/>
      <c r="D1094" s="2"/>
      <c r="E1094" s="2"/>
      <c r="F1094" s="2"/>
      <c r="G1094" s="2"/>
    </row>
    <row r="1095" spans="1:7" ht="12.5">
      <c r="A1095" s="2"/>
      <c r="B1095" s="2"/>
      <c r="C1095" s="2"/>
      <c r="D1095" s="2"/>
      <c r="E1095" s="2"/>
      <c r="F1095" s="2"/>
      <c r="G1095" s="2"/>
    </row>
    <row r="1096" spans="1:7" ht="12.5">
      <c r="A1096" s="2"/>
      <c r="B1096" s="2"/>
      <c r="C1096" s="2"/>
      <c r="D1096" s="2"/>
      <c r="E1096" s="2"/>
      <c r="F1096" s="2"/>
      <c r="G1096" s="2"/>
    </row>
    <row r="1097" spans="1:7" ht="12.5">
      <c r="A1097" s="2"/>
      <c r="B1097" s="2"/>
      <c r="C1097" s="2"/>
      <c r="D1097" s="2"/>
      <c r="E1097" s="2"/>
      <c r="F1097" s="2"/>
      <c r="G1097" s="2"/>
    </row>
    <row r="1098" spans="1:7" ht="12.5">
      <c r="A1098" s="2"/>
      <c r="B1098" s="2"/>
      <c r="C1098" s="2"/>
      <c r="D1098" s="2"/>
      <c r="E1098" s="2"/>
      <c r="F1098" s="2"/>
      <c r="G1098" s="2"/>
    </row>
    <row r="1099" spans="1:7" ht="12.5">
      <c r="A1099" s="2"/>
      <c r="B1099" s="2"/>
      <c r="C1099" s="2"/>
      <c r="D1099" s="2"/>
      <c r="E1099" s="2"/>
      <c r="F1099" s="2"/>
      <c r="G1099" s="2"/>
    </row>
    <row r="1100" spans="1:7" ht="12.5">
      <c r="A1100" s="2"/>
      <c r="B1100" s="2"/>
      <c r="C1100" s="2"/>
      <c r="D1100" s="2"/>
      <c r="E1100" s="2"/>
      <c r="F1100" s="2"/>
      <c r="G1100" s="2"/>
    </row>
    <row r="1101" spans="1:7" ht="12.5">
      <c r="A1101" s="2"/>
      <c r="B1101" s="2"/>
      <c r="C1101" s="2"/>
      <c r="D1101" s="2"/>
      <c r="E1101" s="2"/>
      <c r="F1101" s="2"/>
      <c r="G1101" s="2"/>
    </row>
    <row r="1102" spans="1:7" ht="12.5">
      <c r="A1102" s="2"/>
      <c r="B1102" s="2"/>
      <c r="C1102" s="2"/>
      <c r="D1102" s="2"/>
      <c r="E1102" s="2"/>
      <c r="F1102" s="2"/>
      <c r="G1102" s="2"/>
    </row>
    <row r="1103" spans="1:7" ht="12.5">
      <c r="A1103" s="2"/>
      <c r="B1103" s="2"/>
      <c r="C1103" s="2"/>
      <c r="D1103" s="2"/>
      <c r="E1103" s="2"/>
      <c r="F1103" s="2"/>
      <c r="G1103" s="2"/>
    </row>
    <row r="1104" spans="1:7" ht="12.5">
      <c r="A1104" s="2"/>
      <c r="B1104" s="2"/>
      <c r="C1104" s="2"/>
      <c r="D1104" s="2"/>
      <c r="E1104" s="2"/>
      <c r="F1104" s="2"/>
      <c r="G1104" s="2"/>
    </row>
    <row r="1105" spans="1:7" ht="12.5">
      <c r="A1105" s="2"/>
      <c r="B1105" s="2"/>
      <c r="C1105" s="2"/>
      <c r="D1105" s="2"/>
      <c r="E1105" s="2"/>
      <c r="F1105" s="2"/>
      <c r="G1105" s="2"/>
    </row>
    <row r="1106" spans="1:7" ht="12.5">
      <c r="A1106" s="2"/>
      <c r="B1106" s="2"/>
      <c r="C1106" s="2"/>
      <c r="D1106" s="2"/>
      <c r="E1106" s="2"/>
      <c r="F1106" s="2"/>
      <c r="G1106" s="2"/>
    </row>
    <row r="1107" spans="1:7" ht="12.5">
      <c r="A1107" s="2"/>
      <c r="B1107" s="2"/>
      <c r="C1107" s="2"/>
      <c r="D1107" s="2"/>
      <c r="E1107" s="2"/>
      <c r="F1107" s="2"/>
      <c r="G1107" s="2"/>
    </row>
    <row r="1108" spans="1:7" ht="12.5">
      <c r="A1108" s="2"/>
      <c r="B1108" s="2"/>
      <c r="C1108" s="2"/>
      <c r="D1108" s="2"/>
      <c r="E1108" s="2"/>
      <c r="F1108" s="2"/>
      <c r="G1108" s="2"/>
    </row>
    <row r="1109" spans="1:7" ht="12.5">
      <c r="A1109" s="2"/>
      <c r="B1109" s="2"/>
      <c r="C1109" s="2"/>
      <c r="D1109" s="2"/>
      <c r="E1109" s="2"/>
      <c r="F1109" s="2"/>
      <c r="G1109" s="2"/>
    </row>
    <row r="1110" spans="1:7" ht="12.5">
      <c r="A1110" s="2"/>
      <c r="B1110" s="2"/>
      <c r="C1110" s="2"/>
      <c r="D1110" s="2"/>
      <c r="E1110" s="2"/>
      <c r="F1110" s="2"/>
      <c r="G1110" s="2"/>
    </row>
    <row r="1111" spans="1:7" ht="12.5">
      <c r="A1111" s="2"/>
      <c r="B1111" s="2"/>
      <c r="C1111" s="2"/>
      <c r="D1111" s="2"/>
      <c r="E1111" s="2"/>
      <c r="F1111" s="2"/>
      <c r="G1111" s="2"/>
    </row>
    <row r="1112" spans="1:7" ht="12.5">
      <c r="A1112" s="2"/>
      <c r="B1112" s="2"/>
      <c r="C1112" s="2"/>
      <c r="D1112" s="2"/>
      <c r="E1112" s="2"/>
      <c r="F1112" s="2"/>
      <c r="G1112" s="2"/>
    </row>
    <row r="1113" spans="1:7" ht="12.5">
      <c r="A1113" s="2"/>
      <c r="B1113" s="2"/>
      <c r="C1113" s="2"/>
      <c r="D1113" s="2"/>
      <c r="E1113" s="2"/>
      <c r="F1113" s="2"/>
      <c r="G1113" s="2"/>
    </row>
    <row r="1114" spans="1:7" ht="12.5">
      <c r="A1114" s="2"/>
      <c r="B1114" s="2"/>
      <c r="C1114" s="2"/>
      <c r="D1114" s="2"/>
      <c r="E1114" s="2"/>
      <c r="F1114" s="2"/>
      <c r="G1114" s="2"/>
    </row>
    <row r="1115" spans="1:7" ht="12.5">
      <c r="A1115" s="2"/>
      <c r="B1115" s="2"/>
      <c r="C1115" s="2"/>
      <c r="D1115" s="2"/>
      <c r="E1115" s="2"/>
      <c r="F1115" s="2"/>
      <c r="G1115" s="2"/>
    </row>
    <row r="1116" spans="1:7" ht="12.5">
      <c r="A1116" s="2"/>
      <c r="B1116" s="2"/>
      <c r="C1116" s="2"/>
      <c r="D1116" s="2"/>
      <c r="E1116" s="2"/>
      <c r="F1116" s="2"/>
      <c r="G1116" s="2"/>
    </row>
    <row r="1117" spans="1:7" ht="12.5">
      <c r="A1117" s="2"/>
      <c r="B1117" s="2"/>
      <c r="C1117" s="2"/>
      <c r="D1117" s="2"/>
      <c r="E1117" s="2"/>
      <c r="F1117" s="2"/>
      <c r="G1117" s="2"/>
    </row>
    <row r="1118" spans="1:7" ht="12.5">
      <c r="A1118" s="2"/>
      <c r="B1118" s="2"/>
      <c r="C1118" s="2"/>
      <c r="D1118" s="2"/>
      <c r="E1118" s="2"/>
      <c r="F1118" s="2"/>
      <c r="G1118" s="2"/>
    </row>
    <row r="1119" spans="1:7" ht="12.5">
      <c r="A1119" s="2"/>
      <c r="B1119" s="2"/>
      <c r="C1119" s="2"/>
      <c r="D1119" s="2"/>
      <c r="E1119" s="2"/>
      <c r="F1119" s="2"/>
      <c r="G1119" s="2"/>
    </row>
    <row r="1120" spans="1:7" ht="12.5">
      <c r="A1120" s="2"/>
      <c r="B1120" s="2"/>
      <c r="C1120" s="2"/>
      <c r="D1120" s="2"/>
      <c r="E1120" s="2"/>
      <c r="F1120" s="2"/>
      <c r="G1120" s="2"/>
    </row>
    <row r="1121" spans="1:7" ht="12.5">
      <c r="A1121" s="2"/>
      <c r="B1121" s="2"/>
      <c r="C1121" s="2"/>
      <c r="D1121" s="2"/>
      <c r="E1121" s="2"/>
      <c r="F1121" s="2"/>
      <c r="G1121" s="2"/>
    </row>
    <row r="1122" spans="1:7" ht="12.5">
      <c r="A1122" s="2"/>
      <c r="B1122" s="2"/>
      <c r="C1122" s="2"/>
      <c r="D1122" s="2"/>
      <c r="E1122" s="2"/>
      <c r="F1122" s="2"/>
      <c r="G1122" s="2"/>
    </row>
    <row r="1123" spans="1:7" ht="12.5">
      <c r="A1123" s="2"/>
      <c r="B1123" s="2"/>
      <c r="C1123" s="2"/>
      <c r="D1123" s="2"/>
      <c r="E1123" s="2"/>
      <c r="F1123" s="2"/>
      <c r="G1123" s="2"/>
    </row>
    <row r="1124" spans="1:7" ht="12.5">
      <c r="A1124" s="2"/>
      <c r="B1124" s="2"/>
      <c r="C1124" s="2"/>
      <c r="D1124" s="2"/>
      <c r="E1124" s="2"/>
      <c r="F1124" s="2"/>
      <c r="G1124" s="2"/>
    </row>
    <row r="1125" spans="1:7" ht="12.5">
      <c r="A1125" s="2"/>
      <c r="B1125" s="2"/>
      <c r="C1125" s="2"/>
      <c r="D1125" s="2"/>
      <c r="E1125" s="2"/>
      <c r="F1125" s="2"/>
      <c r="G1125" s="2"/>
    </row>
    <row r="1126" spans="1:7" ht="12.5">
      <c r="A1126" s="2"/>
      <c r="B1126" s="2"/>
      <c r="C1126" s="2"/>
      <c r="D1126" s="2"/>
      <c r="E1126" s="2"/>
      <c r="F1126" s="2"/>
      <c r="G1126" s="2"/>
    </row>
    <row r="1127" spans="1:7" ht="12.5">
      <c r="A1127" s="2"/>
      <c r="B1127" s="2"/>
      <c r="C1127" s="2"/>
      <c r="D1127" s="2"/>
      <c r="E1127" s="2"/>
      <c r="F1127" s="2"/>
      <c r="G1127" s="2"/>
    </row>
    <row r="1128" spans="1:7" ht="12.5">
      <c r="A1128" s="2"/>
      <c r="B1128" s="2"/>
      <c r="C1128" s="2"/>
      <c r="D1128" s="2"/>
      <c r="E1128" s="2"/>
      <c r="F1128" s="2"/>
      <c r="G1128" s="2"/>
    </row>
    <row r="1129" spans="1:7" ht="12.5">
      <c r="A1129" s="2"/>
      <c r="B1129" s="2"/>
      <c r="C1129" s="2"/>
      <c r="D1129" s="2"/>
      <c r="E1129" s="2"/>
      <c r="F1129" s="2"/>
      <c r="G1129" s="2"/>
    </row>
    <row r="1130" spans="1:7" ht="12.5">
      <c r="A1130" s="2"/>
      <c r="B1130" s="2"/>
      <c r="C1130" s="2"/>
      <c r="D1130" s="2"/>
      <c r="E1130" s="2"/>
      <c r="F1130" s="2"/>
      <c r="G1130" s="2"/>
    </row>
    <row r="1131" spans="1:7" ht="12.5">
      <c r="A1131" s="2"/>
      <c r="B1131" s="2"/>
      <c r="C1131" s="2"/>
      <c r="D1131" s="2"/>
      <c r="E1131" s="2"/>
      <c r="F1131" s="2"/>
      <c r="G1131" s="2"/>
    </row>
    <row r="1132" spans="1:7" ht="12.5">
      <c r="A1132" s="2"/>
      <c r="B1132" s="2"/>
      <c r="C1132" s="2"/>
      <c r="D1132" s="2"/>
      <c r="E1132" s="2"/>
      <c r="F1132" s="2"/>
      <c r="G1132" s="2"/>
    </row>
    <row r="1133" spans="1:7" ht="12.5">
      <c r="A1133" s="2"/>
      <c r="B1133" s="2"/>
      <c r="C1133" s="2"/>
      <c r="D1133" s="2"/>
      <c r="E1133" s="2"/>
      <c r="F1133" s="2"/>
      <c r="G1133" s="2"/>
    </row>
    <row r="1134" spans="1:7" ht="12.5">
      <c r="A1134" s="2"/>
      <c r="B1134" s="2"/>
      <c r="C1134" s="2"/>
      <c r="D1134" s="2"/>
      <c r="E1134" s="2"/>
      <c r="F1134" s="2"/>
      <c r="G1134" s="2"/>
    </row>
    <row r="1135" spans="1:7" ht="12.5">
      <c r="A1135" s="2"/>
      <c r="B1135" s="2"/>
      <c r="C1135" s="2"/>
      <c r="D1135" s="2"/>
      <c r="E1135" s="2"/>
      <c r="F1135" s="2"/>
      <c r="G1135" s="2"/>
    </row>
    <row r="1136" spans="1:7" ht="12.5">
      <c r="A1136" s="2"/>
      <c r="B1136" s="2"/>
      <c r="C1136" s="2"/>
      <c r="D1136" s="2"/>
      <c r="E1136" s="2"/>
      <c r="F1136" s="2"/>
      <c r="G1136" s="2"/>
    </row>
    <row r="1137" spans="1:7" ht="12.5">
      <c r="A1137" s="2"/>
      <c r="B1137" s="2"/>
      <c r="C1137" s="2"/>
      <c r="D1137" s="2"/>
      <c r="E1137" s="2"/>
      <c r="F1137" s="2"/>
      <c r="G1137" s="2"/>
    </row>
    <row r="1138" spans="1:7" ht="12.5">
      <c r="A1138" s="2"/>
      <c r="B1138" s="2"/>
      <c r="C1138" s="2"/>
      <c r="D1138" s="2"/>
      <c r="E1138" s="2"/>
      <c r="F1138" s="2"/>
      <c r="G1138" s="2"/>
    </row>
    <row r="1139" spans="1:7" ht="12.5">
      <c r="A1139" s="2"/>
      <c r="B1139" s="2"/>
      <c r="C1139" s="2"/>
      <c r="D1139" s="2"/>
      <c r="E1139" s="2"/>
      <c r="F1139" s="2"/>
      <c r="G1139" s="2"/>
    </row>
    <row r="1140" spans="1:7" ht="12.5">
      <c r="A1140" s="2"/>
      <c r="B1140" s="2"/>
      <c r="C1140" s="2"/>
      <c r="D1140" s="2"/>
      <c r="E1140" s="2"/>
      <c r="F1140" s="2"/>
      <c r="G1140" s="2"/>
    </row>
    <row r="1141" spans="1:7" ht="12.5">
      <c r="A1141" s="2"/>
      <c r="B1141" s="2"/>
      <c r="C1141" s="2"/>
      <c r="D1141" s="2"/>
      <c r="E1141" s="2"/>
      <c r="F1141" s="2"/>
      <c r="G1141" s="2"/>
    </row>
    <row r="1142" spans="1:7" ht="12.5">
      <c r="A1142" s="2"/>
      <c r="B1142" s="2"/>
      <c r="C1142" s="2"/>
      <c r="D1142" s="2"/>
      <c r="E1142" s="2"/>
      <c r="F1142" s="2"/>
      <c r="G1142" s="2"/>
    </row>
    <row r="1143" spans="1:7" ht="12.5">
      <c r="A1143" s="2"/>
      <c r="B1143" s="2"/>
      <c r="C1143" s="2"/>
      <c r="D1143" s="2"/>
      <c r="E1143" s="2"/>
      <c r="F1143" s="2"/>
      <c r="G1143" s="2"/>
    </row>
    <row r="1144" spans="1:7" ht="12.5">
      <c r="A1144" s="2"/>
      <c r="B1144" s="2"/>
      <c r="C1144" s="2"/>
      <c r="D1144" s="2"/>
      <c r="E1144" s="2"/>
      <c r="F1144" s="2"/>
      <c r="G1144" s="2"/>
    </row>
    <row r="1145" spans="1:7" ht="12.5">
      <c r="A1145" s="2"/>
      <c r="B1145" s="2"/>
      <c r="C1145" s="2"/>
      <c r="D1145" s="2"/>
      <c r="E1145" s="2"/>
      <c r="F1145" s="2"/>
      <c r="G1145" s="2"/>
    </row>
    <row r="1146" spans="1:7" ht="12.5">
      <c r="A1146" s="2"/>
      <c r="B1146" s="2"/>
      <c r="C1146" s="2"/>
      <c r="D1146" s="2"/>
      <c r="E1146" s="2"/>
      <c r="F1146" s="2"/>
      <c r="G1146" s="2"/>
    </row>
    <row r="1147" spans="1:7" ht="12.5">
      <c r="A1147" s="2"/>
      <c r="B1147" s="2"/>
      <c r="C1147" s="2"/>
      <c r="D1147" s="2"/>
      <c r="E1147" s="2"/>
      <c r="F1147" s="2"/>
      <c r="G1147" s="2"/>
    </row>
    <row r="1148" spans="1:7" ht="12.5">
      <c r="A1148" s="2"/>
      <c r="B1148" s="2"/>
      <c r="C1148" s="2"/>
      <c r="D1148" s="2"/>
      <c r="E1148" s="2"/>
      <c r="F1148" s="2"/>
      <c r="G1148" s="2"/>
    </row>
    <row r="1149" spans="1:7" ht="12.5">
      <c r="A1149" s="2"/>
      <c r="B1149" s="2"/>
      <c r="C1149" s="2"/>
      <c r="D1149" s="2"/>
      <c r="E1149" s="2"/>
      <c r="F1149" s="2"/>
      <c r="G1149" s="2"/>
    </row>
    <row r="1150" spans="1:7" ht="12.5">
      <c r="A1150" s="2"/>
      <c r="B1150" s="2"/>
      <c r="C1150" s="2"/>
      <c r="D1150" s="2"/>
      <c r="E1150" s="2"/>
      <c r="F1150" s="2"/>
      <c r="G1150" s="2"/>
    </row>
    <row r="1151" spans="1:7" ht="12.5">
      <c r="A1151" s="2"/>
      <c r="B1151" s="2"/>
      <c r="C1151" s="2"/>
      <c r="D1151" s="2"/>
      <c r="E1151" s="2"/>
      <c r="F1151" s="2"/>
      <c r="G1151" s="2"/>
    </row>
    <row r="1152" spans="1:7" ht="12.5">
      <c r="A1152" s="2"/>
      <c r="B1152" s="2"/>
      <c r="C1152" s="2"/>
      <c r="D1152" s="2"/>
      <c r="E1152" s="2"/>
      <c r="F1152" s="2"/>
      <c r="G1152" s="2"/>
    </row>
    <row r="1153" spans="1:7" ht="12.5">
      <c r="A1153" s="2"/>
      <c r="B1153" s="2"/>
      <c r="C1153" s="2"/>
      <c r="D1153" s="2"/>
      <c r="E1153" s="2"/>
      <c r="F1153" s="2"/>
      <c r="G1153" s="2"/>
    </row>
    <row r="1154" spans="1:7" ht="12.5">
      <c r="A1154" s="2"/>
      <c r="B1154" s="2"/>
      <c r="C1154" s="2"/>
      <c r="D1154" s="2"/>
      <c r="E1154" s="2"/>
      <c r="F1154" s="2"/>
      <c r="G1154" s="2"/>
    </row>
    <row r="1155" spans="1:7" ht="12.5">
      <c r="A1155" s="2"/>
      <c r="B1155" s="2"/>
      <c r="C1155" s="2"/>
      <c r="D1155" s="2"/>
      <c r="E1155" s="2"/>
      <c r="F1155" s="2"/>
      <c r="G1155" s="2"/>
    </row>
    <row r="1156" spans="1:7" ht="12.5">
      <c r="A1156" s="2"/>
      <c r="B1156" s="2"/>
      <c r="C1156" s="2"/>
      <c r="D1156" s="2"/>
      <c r="E1156" s="2"/>
      <c r="F1156" s="2"/>
      <c r="G1156" s="2"/>
    </row>
    <row r="1157" spans="1:7" ht="12.5">
      <c r="A1157" s="2"/>
      <c r="B1157" s="2"/>
      <c r="C1157" s="2"/>
      <c r="D1157" s="2"/>
      <c r="E1157" s="2"/>
      <c r="F1157" s="2"/>
      <c r="G1157" s="2"/>
    </row>
    <row r="1158" spans="1:7" ht="12.5">
      <c r="A1158" s="2"/>
      <c r="B1158" s="2"/>
      <c r="C1158" s="2"/>
      <c r="D1158" s="2"/>
      <c r="E1158" s="2"/>
      <c r="F1158" s="2"/>
      <c r="G1158" s="2"/>
    </row>
    <row r="1159" spans="1:7" ht="12.5">
      <c r="A1159" s="2"/>
      <c r="B1159" s="2"/>
      <c r="C1159" s="2"/>
      <c r="D1159" s="2"/>
      <c r="E1159" s="2"/>
      <c r="F1159" s="2"/>
      <c r="G1159" s="2"/>
    </row>
    <row r="1160" spans="1:7" ht="12.5">
      <c r="A1160" s="2"/>
      <c r="B1160" s="2"/>
      <c r="C1160" s="2"/>
      <c r="D1160" s="2"/>
      <c r="E1160" s="2"/>
      <c r="F1160" s="2"/>
      <c r="G1160" s="2"/>
    </row>
    <row r="1161" spans="1:7" ht="12.5">
      <c r="A1161" s="2"/>
      <c r="B1161" s="2"/>
      <c r="C1161" s="2"/>
      <c r="D1161" s="2"/>
      <c r="E1161" s="2"/>
      <c r="F1161" s="2"/>
      <c r="G1161" s="2"/>
    </row>
    <row r="1162" spans="1:7" ht="12.5">
      <c r="A1162" s="2"/>
      <c r="B1162" s="2"/>
      <c r="C1162" s="2"/>
      <c r="D1162" s="2"/>
      <c r="E1162" s="2"/>
      <c r="F1162" s="2"/>
      <c r="G1162" s="2"/>
    </row>
    <row r="1163" spans="1:7" ht="12.5">
      <c r="A1163" s="2"/>
      <c r="B1163" s="2"/>
      <c r="C1163" s="2"/>
      <c r="D1163" s="2"/>
      <c r="E1163" s="2"/>
      <c r="F1163" s="2"/>
      <c r="G1163" s="2"/>
    </row>
    <row r="1164" spans="1:7" ht="12.5">
      <c r="A1164" s="2"/>
      <c r="B1164" s="2"/>
      <c r="C1164" s="2"/>
      <c r="D1164" s="2"/>
      <c r="E1164" s="2"/>
      <c r="F1164" s="2"/>
      <c r="G1164" s="2"/>
    </row>
    <row r="1165" spans="1:7" ht="12.5">
      <c r="A1165" s="2"/>
      <c r="B1165" s="2"/>
      <c r="C1165" s="2"/>
      <c r="D1165" s="2"/>
      <c r="E1165" s="2"/>
      <c r="F1165" s="2"/>
      <c r="G1165" s="2"/>
    </row>
    <row r="1166" spans="1:7" ht="12.5">
      <c r="A1166" s="2"/>
      <c r="B1166" s="2"/>
      <c r="C1166" s="2"/>
      <c r="D1166" s="2"/>
      <c r="E1166" s="2"/>
      <c r="F1166" s="2"/>
      <c r="G1166" s="2"/>
    </row>
    <row r="1167" spans="1:7" ht="12.5">
      <c r="A1167" s="2"/>
      <c r="B1167" s="2"/>
      <c r="C1167" s="2"/>
      <c r="D1167" s="2"/>
      <c r="E1167" s="2"/>
      <c r="F1167" s="2"/>
      <c r="G1167" s="2"/>
    </row>
    <row r="1168" spans="1:7" ht="12.5">
      <c r="A1168" s="2"/>
      <c r="B1168" s="2"/>
      <c r="C1168" s="2"/>
      <c r="D1168" s="2"/>
      <c r="E1168" s="2"/>
      <c r="F1168" s="2"/>
      <c r="G1168" s="2"/>
    </row>
    <row r="1169" spans="1:7" ht="12.5">
      <c r="A1169" s="2"/>
      <c r="B1169" s="2"/>
      <c r="C1169" s="2"/>
      <c r="D1169" s="2"/>
      <c r="E1169" s="2"/>
      <c r="F1169" s="2"/>
      <c r="G1169" s="2"/>
    </row>
    <row r="1170" spans="1:7" ht="12.5">
      <c r="A1170" s="2"/>
      <c r="B1170" s="2"/>
      <c r="C1170" s="2"/>
      <c r="D1170" s="2"/>
      <c r="E1170" s="2"/>
      <c r="F1170" s="2"/>
      <c r="G1170" s="2"/>
    </row>
    <row r="1171" spans="1:7" ht="12.5">
      <c r="A1171" s="2"/>
      <c r="B1171" s="2"/>
      <c r="C1171" s="2"/>
      <c r="D1171" s="2"/>
      <c r="E1171" s="2"/>
      <c r="F1171" s="2"/>
      <c r="G1171" s="2"/>
    </row>
    <row r="1172" spans="1:7" ht="12.5">
      <c r="A1172" s="2"/>
      <c r="B1172" s="2"/>
      <c r="C1172" s="2"/>
      <c r="D1172" s="2"/>
      <c r="E1172" s="2"/>
      <c r="F1172" s="2"/>
      <c r="G1172" s="2"/>
    </row>
    <row r="1173" spans="1:7" ht="12.5">
      <c r="A1173" s="2"/>
      <c r="B1173" s="2"/>
      <c r="C1173" s="2"/>
      <c r="D1173" s="2"/>
      <c r="E1173" s="2"/>
      <c r="F1173" s="2"/>
      <c r="G1173" s="2"/>
    </row>
    <row r="1174" spans="1:7" ht="12.5">
      <c r="A1174" s="2"/>
      <c r="B1174" s="2"/>
      <c r="C1174" s="2"/>
      <c r="D1174" s="2"/>
      <c r="E1174" s="2"/>
      <c r="F1174" s="2"/>
      <c r="G1174" s="2"/>
    </row>
    <row r="1175" spans="1:7" ht="12.5">
      <c r="A1175" s="2"/>
      <c r="B1175" s="2"/>
      <c r="C1175" s="2"/>
      <c r="D1175" s="2"/>
      <c r="E1175" s="2"/>
      <c r="F1175" s="2"/>
      <c r="G1175" s="2"/>
    </row>
    <row r="1176" spans="1:7" ht="12.5">
      <c r="A1176" s="2"/>
      <c r="B1176" s="2"/>
      <c r="C1176" s="2"/>
      <c r="D1176" s="2"/>
      <c r="E1176" s="2"/>
      <c r="F1176" s="2"/>
      <c r="G1176" s="2"/>
    </row>
    <row r="1177" spans="1:7" ht="12.5">
      <c r="A1177" s="2"/>
      <c r="B1177" s="2"/>
      <c r="C1177" s="2"/>
      <c r="D1177" s="2"/>
      <c r="E1177" s="2"/>
      <c r="F1177" s="2"/>
      <c r="G1177" s="2"/>
    </row>
    <row r="1178" spans="1:7" ht="12.5">
      <c r="A1178" s="2"/>
      <c r="B1178" s="2"/>
      <c r="C1178" s="2"/>
      <c r="D1178" s="2"/>
      <c r="E1178" s="2"/>
      <c r="F1178" s="2"/>
      <c r="G1178" s="2"/>
    </row>
    <row r="1179" spans="1:7" ht="12.5">
      <c r="A1179" s="2"/>
      <c r="B1179" s="2"/>
      <c r="C1179" s="2"/>
      <c r="D1179" s="2"/>
      <c r="E1179" s="2"/>
      <c r="F1179" s="2"/>
      <c r="G1179" s="2"/>
    </row>
    <row r="1180" spans="1:7" ht="12.5">
      <c r="A1180" s="2"/>
      <c r="B1180" s="2"/>
      <c r="C1180" s="2"/>
      <c r="D1180" s="2"/>
      <c r="E1180" s="2"/>
      <c r="F1180" s="2"/>
      <c r="G1180" s="2"/>
    </row>
    <row r="1181" spans="1:7" ht="12.5">
      <c r="A1181" s="2"/>
      <c r="B1181" s="2"/>
      <c r="C1181" s="2"/>
      <c r="D1181" s="2"/>
      <c r="E1181" s="2"/>
      <c r="F1181" s="2"/>
      <c r="G1181" s="2"/>
    </row>
    <row r="1182" spans="1:7" ht="12.5">
      <c r="A1182" s="2"/>
      <c r="B1182" s="2"/>
      <c r="C1182" s="2"/>
      <c r="D1182" s="2"/>
      <c r="E1182" s="2"/>
      <c r="F1182" s="2"/>
      <c r="G1182" s="2"/>
    </row>
    <row r="1183" spans="1:7" ht="12.5">
      <c r="A1183" s="2"/>
      <c r="B1183" s="2"/>
      <c r="C1183" s="2"/>
      <c r="D1183" s="2"/>
      <c r="E1183" s="2"/>
      <c r="F1183" s="2"/>
      <c r="G1183" s="2"/>
    </row>
    <row r="1184" spans="1:7" ht="12.5">
      <c r="A1184" s="2"/>
      <c r="B1184" s="2"/>
      <c r="C1184" s="2"/>
      <c r="D1184" s="2"/>
      <c r="E1184" s="2"/>
      <c r="F1184" s="2"/>
      <c r="G1184" s="2"/>
    </row>
    <row r="1185" spans="1:7" ht="12.5">
      <c r="A1185" s="2"/>
      <c r="B1185" s="2"/>
      <c r="C1185" s="2"/>
      <c r="D1185" s="2"/>
      <c r="E1185" s="2"/>
      <c r="F1185" s="2"/>
      <c r="G1185" s="2"/>
    </row>
    <row r="1186" spans="1:7" ht="12.5">
      <c r="A1186" s="2"/>
      <c r="B1186" s="2"/>
      <c r="C1186" s="2"/>
      <c r="D1186" s="2"/>
      <c r="E1186" s="2"/>
      <c r="F1186" s="2"/>
      <c r="G1186" s="2"/>
    </row>
    <row r="1187" spans="1:7" ht="12.5">
      <c r="A1187" s="2"/>
      <c r="B1187" s="2"/>
      <c r="C1187" s="2"/>
      <c r="D1187" s="2"/>
      <c r="E1187" s="2"/>
      <c r="F1187" s="2"/>
      <c r="G1187" s="2"/>
    </row>
    <row r="1188" spans="1:7" ht="12.5">
      <c r="A1188" s="2"/>
      <c r="B1188" s="2"/>
      <c r="C1188" s="2"/>
      <c r="D1188" s="2"/>
      <c r="E1188" s="2"/>
      <c r="F1188" s="2"/>
      <c r="G1188" s="2"/>
    </row>
    <row r="1189" spans="1:7" ht="12.5">
      <c r="A1189" s="2"/>
      <c r="B1189" s="2"/>
      <c r="C1189" s="2"/>
      <c r="D1189" s="2"/>
      <c r="E1189" s="2"/>
      <c r="F1189" s="2"/>
      <c r="G1189" s="2"/>
    </row>
    <row r="1190" spans="1:7" ht="12.5">
      <c r="A1190" s="2"/>
      <c r="B1190" s="2"/>
      <c r="C1190" s="2"/>
      <c r="D1190" s="2"/>
      <c r="E1190" s="2"/>
      <c r="F1190" s="2"/>
      <c r="G1190" s="2"/>
    </row>
    <row r="1191" spans="1:7" ht="12.5">
      <c r="A1191" s="2"/>
      <c r="B1191" s="2"/>
      <c r="C1191" s="2"/>
      <c r="D1191" s="2"/>
      <c r="E1191" s="2"/>
      <c r="F1191" s="2"/>
      <c r="G1191" s="2"/>
    </row>
    <row r="1192" spans="1:7" ht="12.5">
      <c r="A1192" s="2"/>
      <c r="B1192" s="2"/>
      <c r="C1192" s="2"/>
      <c r="D1192" s="2"/>
      <c r="E1192" s="2"/>
      <c r="F1192" s="2"/>
      <c r="G1192" s="2"/>
    </row>
    <row r="1193" spans="1:7" ht="12.5">
      <c r="A1193" s="2"/>
      <c r="B1193" s="2"/>
      <c r="C1193" s="2"/>
      <c r="D1193" s="2"/>
      <c r="E1193" s="2"/>
      <c r="F1193" s="2"/>
      <c r="G1193" s="2"/>
    </row>
    <row r="1194" spans="1:7" ht="12.5">
      <c r="A1194" s="2"/>
      <c r="B1194" s="2"/>
      <c r="C1194" s="2"/>
      <c r="D1194" s="2"/>
      <c r="E1194" s="2"/>
      <c r="F1194" s="2"/>
      <c r="G1194" s="2"/>
    </row>
    <row r="1195" spans="1:7" ht="12.5">
      <c r="A1195" s="2"/>
      <c r="B1195" s="2"/>
      <c r="C1195" s="2"/>
      <c r="D1195" s="2"/>
      <c r="E1195" s="2"/>
      <c r="F1195" s="2"/>
      <c r="G1195" s="2"/>
    </row>
    <row r="1196" spans="1:7" ht="12.5">
      <c r="A1196" s="2"/>
      <c r="B1196" s="2"/>
      <c r="C1196" s="2"/>
      <c r="D1196" s="2"/>
      <c r="E1196" s="2"/>
      <c r="F1196" s="2"/>
      <c r="G1196" s="2"/>
    </row>
    <row r="1197" spans="1:7" ht="12.5">
      <c r="A1197" s="2"/>
      <c r="B1197" s="2"/>
      <c r="C1197" s="2"/>
      <c r="D1197" s="2"/>
      <c r="E1197" s="2"/>
      <c r="F1197" s="2"/>
      <c r="G1197" s="2"/>
    </row>
    <row r="1198" spans="1:7" ht="12.5">
      <c r="A1198" s="2"/>
      <c r="B1198" s="2"/>
      <c r="C1198" s="2"/>
      <c r="D1198" s="2"/>
      <c r="E1198" s="2"/>
      <c r="F1198" s="2"/>
      <c r="G1198" s="2"/>
    </row>
    <row r="1199" spans="1:7" ht="12.5">
      <c r="A1199" s="2"/>
      <c r="B1199" s="2"/>
      <c r="C1199" s="2"/>
      <c r="D1199" s="2"/>
      <c r="E1199" s="2"/>
      <c r="F1199" s="2"/>
      <c r="G1199" s="2"/>
    </row>
    <row r="1200" spans="1:7" ht="12.5">
      <c r="A1200" s="2"/>
      <c r="B1200" s="2"/>
      <c r="C1200" s="2"/>
      <c r="D1200" s="2"/>
      <c r="E1200" s="2"/>
      <c r="F1200" s="2"/>
      <c r="G1200" s="2"/>
    </row>
    <row r="1201" spans="1:7" ht="12.5">
      <c r="A1201" s="2"/>
      <c r="B1201" s="2"/>
      <c r="C1201" s="2"/>
      <c r="D1201" s="2"/>
      <c r="E1201" s="2"/>
      <c r="F1201" s="2"/>
      <c r="G1201" s="2"/>
    </row>
    <row r="1202" spans="1:7" ht="12.5">
      <c r="A1202" s="2"/>
      <c r="B1202" s="2"/>
      <c r="C1202" s="2"/>
      <c r="D1202" s="2"/>
      <c r="E1202" s="2"/>
      <c r="F1202" s="2"/>
      <c r="G1202" s="2"/>
    </row>
    <row r="1203" spans="1:7" ht="12.5">
      <c r="A1203" s="2"/>
      <c r="B1203" s="2"/>
      <c r="C1203" s="2"/>
      <c r="D1203" s="2"/>
      <c r="E1203" s="2"/>
      <c r="F1203" s="2"/>
      <c r="G1203" s="2"/>
    </row>
    <row r="1204" spans="1:7" ht="12.5">
      <c r="A1204" s="2"/>
      <c r="B1204" s="2"/>
      <c r="C1204" s="2"/>
      <c r="D1204" s="2"/>
      <c r="E1204" s="2"/>
      <c r="F1204" s="2"/>
      <c r="G1204" s="2"/>
    </row>
    <row r="1205" spans="1:7" ht="12.5">
      <c r="A1205" s="2"/>
      <c r="B1205" s="2"/>
      <c r="C1205" s="2"/>
      <c r="D1205" s="2"/>
      <c r="E1205" s="2"/>
      <c r="F1205" s="2"/>
      <c r="G1205" s="2"/>
    </row>
    <row r="1206" spans="1:7" ht="12.5">
      <c r="A1206" s="2"/>
      <c r="B1206" s="2"/>
      <c r="C1206" s="2"/>
      <c r="D1206" s="2"/>
      <c r="E1206" s="2"/>
      <c r="F1206" s="2"/>
      <c r="G1206" s="2"/>
    </row>
    <row r="1207" spans="1:7" ht="12.5">
      <c r="A1207" s="2"/>
      <c r="B1207" s="2"/>
      <c r="C1207" s="2"/>
      <c r="D1207" s="2"/>
      <c r="E1207" s="2"/>
      <c r="F1207" s="2"/>
      <c r="G1207" s="2"/>
    </row>
    <row r="1208" spans="1:7" ht="12.5">
      <c r="A1208" s="2"/>
      <c r="B1208" s="2"/>
      <c r="C1208" s="2"/>
      <c r="D1208" s="2"/>
      <c r="E1208" s="2"/>
      <c r="F1208" s="2"/>
      <c r="G1208" s="2"/>
    </row>
    <row r="1209" spans="1:7" ht="12.5">
      <c r="A1209" s="2"/>
      <c r="B1209" s="2"/>
      <c r="C1209" s="2"/>
      <c r="D1209" s="2"/>
      <c r="E1209" s="2"/>
      <c r="F1209" s="2"/>
      <c r="G1209" s="2"/>
    </row>
    <row r="1210" spans="1:7" ht="12.5">
      <c r="A1210" s="2"/>
      <c r="B1210" s="2"/>
      <c r="C1210" s="2"/>
      <c r="D1210" s="2"/>
      <c r="E1210" s="2"/>
      <c r="F1210" s="2"/>
      <c r="G1210" s="2"/>
    </row>
    <row r="1211" spans="1:7" ht="12.5">
      <c r="A1211" s="2"/>
      <c r="B1211" s="2"/>
      <c r="C1211" s="2"/>
      <c r="D1211" s="2"/>
      <c r="E1211" s="2"/>
      <c r="F1211" s="2"/>
      <c r="G1211" s="2"/>
    </row>
    <row r="1212" spans="1:7" ht="12.5">
      <c r="A1212" s="2"/>
      <c r="B1212" s="2"/>
      <c r="C1212" s="2"/>
      <c r="D1212" s="2"/>
      <c r="E1212" s="2"/>
      <c r="F1212" s="2"/>
      <c r="G1212" s="2"/>
    </row>
    <row r="1213" spans="1:7" ht="12.5">
      <c r="A1213" s="2"/>
      <c r="B1213" s="2"/>
      <c r="C1213" s="2"/>
      <c r="D1213" s="2"/>
      <c r="E1213" s="2"/>
      <c r="F1213" s="2"/>
      <c r="G1213" s="2"/>
    </row>
    <row r="1214" spans="1:7" ht="12.5">
      <c r="A1214" s="2"/>
      <c r="B1214" s="2"/>
      <c r="C1214" s="2"/>
      <c r="D1214" s="2"/>
      <c r="E1214" s="2"/>
      <c r="F1214" s="2"/>
      <c r="G1214" s="2"/>
    </row>
    <row r="1215" spans="1:7" ht="12.5">
      <c r="A1215" s="2"/>
      <c r="B1215" s="2"/>
      <c r="C1215" s="2"/>
      <c r="D1215" s="2"/>
      <c r="E1215" s="2"/>
      <c r="F1215" s="2"/>
      <c r="G1215" s="2"/>
    </row>
    <row r="1216" spans="1:7" ht="12.5">
      <c r="A1216" s="2"/>
      <c r="B1216" s="2"/>
      <c r="C1216" s="2"/>
      <c r="D1216" s="2"/>
      <c r="E1216" s="2"/>
      <c r="F1216" s="2"/>
      <c r="G1216" s="2"/>
    </row>
    <row r="1217" spans="1:7" ht="12.5">
      <c r="A1217" s="2"/>
      <c r="B1217" s="2"/>
      <c r="C1217" s="2"/>
      <c r="D1217" s="2"/>
      <c r="E1217" s="2"/>
      <c r="F1217" s="2"/>
      <c r="G1217" s="2"/>
    </row>
    <row r="1218" spans="1:7" ht="12.5">
      <c r="A1218" s="2"/>
      <c r="B1218" s="2"/>
      <c r="C1218" s="2"/>
      <c r="D1218" s="2"/>
      <c r="E1218" s="2"/>
      <c r="F1218" s="2"/>
      <c r="G1218" s="2"/>
    </row>
    <row r="1219" spans="1:7" ht="12.5">
      <c r="A1219" s="2"/>
      <c r="B1219" s="2"/>
      <c r="C1219" s="2"/>
      <c r="D1219" s="2"/>
      <c r="E1219" s="2"/>
      <c r="F1219" s="2"/>
      <c r="G1219" s="2"/>
    </row>
    <row r="1220" spans="1:7" ht="12.5">
      <c r="A1220" s="2"/>
      <c r="B1220" s="2"/>
      <c r="C1220" s="2"/>
      <c r="D1220" s="2"/>
      <c r="E1220" s="2"/>
      <c r="F1220" s="2"/>
      <c r="G1220" s="2"/>
    </row>
    <row r="1221" spans="1:7" ht="12.5">
      <c r="A1221" s="2"/>
      <c r="B1221" s="2"/>
      <c r="C1221" s="2"/>
      <c r="D1221" s="2"/>
      <c r="E1221" s="2"/>
      <c r="F1221" s="2"/>
      <c r="G1221" s="2"/>
    </row>
    <row r="1222" spans="1:7" ht="12.5">
      <c r="A1222" s="2"/>
      <c r="B1222" s="2"/>
      <c r="C1222" s="2"/>
      <c r="D1222" s="2"/>
      <c r="E1222" s="2"/>
      <c r="F1222" s="2"/>
      <c r="G1222" s="2"/>
    </row>
    <row r="1223" spans="1:7" ht="12.5">
      <c r="A1223" s="2"/>
      <c r="B1223" s="2"/>
      <c r="C1223" s="2"/>
      <c r="D1223" s="2"/>
      <c r="E1223" s="2"/>
      <c r="F1223" s="2"/>
      <c r="G1223" s="2"/>
    </row>
    <row r="1224" spans="1:7" ht="12.5">
      <c r="A1224" s="2"/>
      <c r="B1224" s="2"/>
      <c r="C1224" s="2"/>
      <c r="D1224" s="2"/>
      <c r="E1224" s="2"/>
      <c r="F1224" s="2"/>
      <c r="G1224" s="2"/>
    </row>
    <row r="1225" spans="1:7" ht="12.5">
      <c r="A1225" s="2"/>
      <c r="B1225" s="2"/>
      <c r="C1225" s="2"/>
      <c r="D1225" s="2"/>
      <c r="E1225" s="2"/>
      <c r="F1225" s="2"/>
      <c r="G1225" s="2"/>
    </row>
    <row r="1226" spans="1:7" ht="12.5">
      <c r="A1226" s="2"/>
      <c r="B1226" s="2"/>
      <c r="C1226" s="2"/>
      <c r="D1226" s="2"/>
      <c r="E1226" s="2"/>
      <c r="F1226" s="2"/>
      <c r="G1226" s="2"/>
    </row>
    <row r="1227" spans="1:7" ht="12.5">
      <c r="A1227" s="2"/>
      <c r="B1227" s="2"/>
      <c r="C1227" s="2"/>
      <c r="D1227" s="2"/>
      <c r="E1227" s="2"/>
      <c r="F1227" s="2"/>
      <c r="G1227" s="2"/>
    </row>
    <row r="1228" spans="1:7" ht="12.5">
      <c r="A1228" s="2"/>
      <c r="B1228" s="2"/>
      <c r="C1228" s="2"/>
      <c r="D1228" s="2"/>
      <c r="E1228" s="2"/>
      <c r="F1228" s="2"/>
      <c r="G1228" s="2"/>
    </row>
    <row r="1229" spans="1:7" ht="12.5">
      <c r="A1229" s="2"/>
      <c r="B1229" s="2"/>
      <c r="C1229" s="2"/>
      <c r="D1229" s="2"/>
      <c r="E1229" s="2"/>
      <c r="F1229" s="2"/>
      <c r="G1229" s="2"/>
    </row>
    <row r="1230" spans="1:7" ht="12.5">
      <c r="A1230" s="2"/>
      <c r="B1230" s="2"/>
      <c r="C1230" s="2"/>
      <c r="D1230" s="2"/>
      <c r="E1230" s="2"/>
      <c r="F1230" s="2"/>
      <c r="G1230" s="2"/>
    </row>
    <row r="1231" spans="1:7" ht="12.5">
      <c r="A1231" s="2"/>
      <c r="B1231" s="2"/>
      <c r="C1231" s="2"/>
      <c r="D1231" s="2"/>
      <c r="E1231" s="2"/>
      <c r="F1231" s="2"/>
      <c r="G1231" s="2"/>
    </row>
    <row r="1232" spans="1:7" ht="12.5">
      <c r="A1232" s="2"/>
      <c r="B1232" s="2"/>
      <c r="C1232" s="2"/>
      <c r="D1232" s="2"/>
      <c r="E1232" s="2"/>
      <c r="F1232" s="2"/>
      <c r="G1232" s="2"/>
    </row>
    <row r="1233" spans="1:7" ht="12.5">
      <c r="A1233" s="2"/>
      <c r="B1233" s="2"/>
      <c r="C1233" s="2"/>
      <c r="D1233" s="2"/>
      <c r="E1233" s="2"/>
      <c r="F1233" s="2"/>
      <c r="G1233" s="2"/>
    </row>
    <row r="1234" spans="1:7" ht="12.5">
      <c r="A1234" s="2"/>
      <c r="B1234" s="2"/>
      <c r="C1234" s="2"/>
      <c r="D1234" s="2"/>
      <c r="E1234" s="2"/>
      <c r="F1234" s="2"/>
      <c r="G1234" s="2"/>
    </row>
    <row r="1235" spans="1:7" ht="12.5">
      <c r="A1235" s="2"/>
      <c r="B1235" s="2"/>
      <c r="C1235" s="2"/>
      <c r="D1235" s="2"/>
      <c r="E1235" s="2"/>
      <c r="F1235" s="2"/>
      <c r="G1235" s="2"/>
    </row>
    <row r="1236" spans="1:7" ht="12.5">
      <c r="A1236" s="2"/>
      <c r="B1236" s="2"/>
      <c r="C1236" s="2"/>
      <c r="D1236" s="2"/>
      <c r="E1236" s="2"/>
      <c r="F1236" s="2"/>
      <c r="G1236" s="2"/>
    </row>
    <row r="1237" spans="1:7" ht="12.5">
      <c r="A1237" s="2"/>
      <c r="B1237" s="2"/>
      <c r="C1237" s="2"/>
      <c r="D1237" s="2"/>
      <c r="E1237" s="2"/>
      <c r="F1237" s="2"/>
      <c r="G1237" s="2"/>
    </row>
    <row r="1238" spans="1:7" ht="12.5">
      <c r="A1238" s="2"/>
      <c r="B1238" s="2"/>
      <c r="C1238" s="2"/>
      <c r="D1238" s="2"/>
      <c r="E1238" s="2"/>
      <c r="F1238" s="2"/>
      <c r="G1238" s="2"/>
    </row>
    <row r="1239" spans="1:7" ht="12.5">
      <c r="A1239" s="2"/>
      <c r="B1239" s="2"/>
      <c r="C1239" s="2"/>
      <c r="D1239" s="2"/>
      <c r="E1239" s="2"/>
      <c r="F1239" s="2"/>
      <c r="G1239" s="2"/>
    </row>
    <row r="1240" spans="1:7" ht="12.5">
      <c r="A1240" s="2"/>
      <c r="B1240" s="2"/>
      <c r="C1240" s="2"/>
      <c r="D1240" s="2"/>
      <c r="E1240" s="2"/>
      <c r="F1240" s="2"/>
      <c r="G1240" s="2"/>
    </row>
    <row r="1241" spans="1:7" ht="12.5">
      <c r="A1241" s="2"/>
      <c r="B1241" s="2"/>
      <c r="C1241" s="2"/>
      <c r="D1241" s="2"/>
      <c r="E1241" s="2"/>
      <c r="F1241" s="2"/>
      <c r="G1241" s="2"/>
    </row>
    <row r="1242" spans="1:7" ht="12.5">
      <c r="A1242" s="2"/>
      <c r="B1242" s="2"/>
      <c r="C1242" s="2"/>
      <c r="D1242" s="2"/>
      <c r="E1242" s="2"/>
      <c r="F1242" s="2"/>
      <c r="G1242" s="2"/>
    </row>
    <row r="1243" spans="1:7" ht="12.5">
      <c r="A1243" s="2"/>
      <c r="B1243" s="2"/>
      <c r="C1243" s="2"/>
      <c r="D1243" s="2"/>
      <c r="E1243" s="2"/>
      <c r="F1243" s="2"/>
      <c r="G1243" s="2"/>
    </row>
    <row r="1244" spans="1:7" ht="12.5">
      <c r="A1244" s="2"/>
      <c r="B1244" s="2"/>
      <c r="C1244" s="2"/>
      <c r="D1244" s="2"/>
      <c r="E1244" s="2"/>
      <c r="F1244" s="2"/>
      <c r="G1244" s="2"/>
    </row>
    <row r="1245" spans="1:7" ht="12.5">
      <c r="A1245" s="2"/>
      <c r="B1245" s="2"/>
      <c r="C1245" s="2"/>
      <c r="D1245" s="2"/>
      <c r="E1245" s="2"/>
      <c r="F1245" s="2"/>
      <c r="G1245" s="2"/>
    </row>
    <row r="1246" spans="1:7" ht="12.5">
      <c r="A1246" s="2"/>
      <c r="B1246" s="2"/>
      <c r="C1246" s="2"/>
      <c r="D1246" s="2"/>
      <c r="E1246" s="2"/>
      <c r="F1246" s="2"/>
      <c r="G1246" s="2"/>
    </row>
    <row r="1247" spans="1:7" ht="12.5">
      <c r="A1247" s="2"/>
      <c r="B1247" s="2"/>
      <c r="C1247" s="2"/>
      <c r="D1247" s="2"/>
      <c r="E1247" s="2"/>
      <c r="F1247" s="2"/>
      <c r="G1247" s="2"/>
    </row>
    <row r="1248" spans="1:7" ht="12.5">
      <c r="A1248" s="2"/>
      <c r="B1248" s="2"/>
      <c r="C1248" s="2"/>
      <c r="D1248" s="2"/>
      <c r="E1248" s="2"/>
      <c r="F1248" s="2"/>
      <c r="G1248" s="2"/>
    </row>
    <row r="1249" spans="1:7" ht="12.5">
      <c r="A1249" s="2"/>
      <c r="B1249" s="2"/>
      <c r="C1249" s="2"/>
      <c r="D1249" s="2"/>
      <c r="E1249" s="2"/>
      <c r="F1249" s="2"/>
      <c r="G1249" s="2"/>
    </row>
    <row r="1250" spans="1:7" ht="12.5">
      <c r="A1250" s="2"/>
      <c r="B1250" s="2"/>
      <c r="C1250" s="2"/>
      <c r="D1250" s="2"/>
      <c r="E1250" s="2"/>
      <c r="F1250" s="2"/>
      <c r="G1250" s="2"/>
    </row>
    <row r="1251" spans="1:7" ht="12.5">
      <c r="A1251" s="2"/>
      <c r="B1251" s="2"/>
      <c r="C1251" s="2"/>
      <c r="D1251" s="2"/>
      <c r="E1251" s="2"/>
      <c r="F1251" s="2"/>
      <c r="G1251" s="2"/>
    </row>
    <row r="1252" spans="1:7" ht="12.5">
      <c r="A1252" s="2"/>
      <c r="B1252" s="2"/>
      <c r="C1252" s="2"/>
      <c r="D1252" s="2"/>
      <c r="E1252" s="2"/>
      <c r="F1252" s="2"/>
      <c r="G1252" s="2"/>
    </row>
    <row r="1253" spans="1:7" ht="12.5">
      <c r="A1253" s="2"/>
      <c r="B1253" s="2"/>
      <c r="C1253" s="2"/>
      <c r="D1253" s="2"/>
      <c r="E1253" s="2"/>
      <c r="F1253" s="2"/>
      <c r="G1253" s="2"/>
    </row>
    <row r="1254" spans="1:7" ht="12.5">
      <c r="A1254" s="2"/>
      <c r="B1254" s="2"/>
      <c r="C1254" s="2"/>
      <c r="D1254" s="2"/>
      <c r="E1254" s="2"/>
      <c r="F1254" s="2"/>
      <c r="G1254" s="2"/>
    </row>
    <row r="1255" spans="1:7" ht="12.5">
      <c r="A1255" s="2"/>
      <c r="B1255" s="2"/>
      <c r="C1255" s="2"/>
      <c r="D1255" s="2"/>
      <c r="E1255" s="2"/>
      <c r="F1255" s="2"/>
      <c r="G1255" s="2"/>
    </row>
    <row r="1256" spans="1:7" ht="12.5">
      <c r="A1256" s="2"/>
      <c r="B1256" s="2"/>
      <c r="C1256" s="2"/>
      <c r="D1256" s="2"/>
      <c r="E1256" s="2"/>
      <c r="F1256" s="2"/>
      <c r="G1256" s="2"/>
    </row>
    <row r="1257" spans="1:7" ht="12.5">
      <c r="A1257" s="2"/>
      <c r="B1257" s="2"/>
      <c r="C1257" s="2"/>
      <c r="D1257" s="2"/>
      <c r="E1257" s="2"/>
      <c r="F1257" s="2"/>
      <c r="G1257" s="2"/>
    </row>
    <row r="1258" spans="1:7" ht="12.5">
      <c r="A1258" s="2"/>
      <c r="B1258" s="2"/>
      <c r="C1258" s="2"/>
      <c r="D1258" s="2"/>
      <c r="E1258" s="2"/>
      <c r="F1258" s="2"/>
      <c r="G1258" s="2"/>
    </row>
    <row r="1259" spans="1:7" ht="12.5">
      <c r="A1259" s="2"/>
      <c r="B1259" s="2"/>
      <c r="C1259" s="2"/>
      <c r="D1259" s="2"/>
      <c r="E1259" s="2"/>
      <c r="F1259" s="2"/>
      <c r="G1259" s="2"/>
    </row>
    <row r="1260" spans="1:7" ht="12.5">
      <c r="A1260" s="2"/>
      <c r="B1260" s="2"/>
      <c r="C1260" s="2"/>
      <c r="D1260" s="2"/>
      <c r="E1260" s="2"/>
      <c r="F1260" s="2"/>
      <c r="G1260" s="2"/>
    </row>
    <row r="1261" spans="1:7" ht="12.5">
      <c r="A1261" s="2"/>
      <c r="B1261" s="2"/>
      <c r="C1261" s="2"/>
      <c r="D1261" s="2"/>
      <c r="E1261" s="2"/>
      <c r="F1261" s="2"/>
      <c r="G1261" s="2"/>
    </row>
    <row r="1262" spans="1:7" ht="12.5">
      <c r="A1262" s="2"/>
      <c r="B1262" s="2"/>
      <c r="C1262" s="2"/>
      <c r="D1262" s="2"/>
      <c r="E1262" s="2"/>
      <c r="F1262" s="2"/>
      <c r="G1262" s="2"/>
    </row>
    <row r="1263" spans="1:7" ht="12.5">
      <c r="A1263" s="2"/>
      <c r="B1263" s="2"/>
      <c r="C1263" s="2"/>
      <c r="D1263" s="2"/>
      <c r="E1263" s="2"/>
      <c r="F1263" s="2"/>
      <c r="G1263" s="2"/>
    </row>
    <row r="1264" spans="1:7" ht="12.5">
      <c r="A1264" s="2"/>
      <c r="B1264" s="2"/>
      <c r="C1264" s="2"/>
      <c r="D1264" s="2"/>
      <c r="E1264" s="2"/>
      <c r="F1264" s="2"/>
      <c r="G1264" s="2"/>
    </row>
    <row r="1265" spans="1:7" ht="12.5">
      <c r="A1265" s="2"/>
      <c r="B1265" s="2"/>
      <c r="C1265" s="2"/>
      <c r="D1265" s="2"/>
      <c r="E1265" s="2"/>
      <c r="F1265" s="2"/>
      <c r="G1265" s="2"/>
    </row>
    <row r="1266" spans="1:7" ht="12.5">
      <c r="A1266" s="2"/>
      <c r="B1266" s="2"/>
      <c r="C1266" s="2"/>
      <c r="D1266" s="2"/>
      <c r="E1266" s="2"/>
      <c r="F1266" s="2"/>
      <c r="G1266" s="2"/>
    </row>
    <row r="1267" spans="1:7" ht="12.5">
      <c r="A1267" s="2"/>
      <c r="B1267" s="2"/>
      <c r="C1267" s="2"/>
      <c r="D1267" s="2"/>
      <c r="E1267" s="2"/>
      <c r="F1267" s="2"/>
      <c r="G1267" s="2"/>
    </row>
    <row r="1268" spans="1:7" ht="12.5">
      <c r="A1268" s="2"/>
      <c r="B1268" s="2"/>
      <c r="C1268" s="2"/>
      <c r="D1268" s="2"/>
      <c r="E1268" s="2"/>
      <c r="F1268" s="2"/>
      <c r="G1268" s="2"/>
    </row>
    <row r="1269" spans="1:7" ht="12.5">
      <c r="A1269" s="2"/>
      <c r="B1269" s="2"/>
      <c r="C1269" s="2"/>
      <c r="D1269" s="2"/>
      <c r="E1269" s="2"/>
      <c r="F1269" s="2"/>
      <c r="G1269" s="2"/>
    </row>
    <row r="1270" spans="1:7" ht="12.5">
      <c r="A1270" s="2"/>
      <c r="B1270" s="2"/>
      <c r="C1270" s="2"/>
      <c r="D1270" s="2"/>
      <c r="E1270" s="2"/>
      <c r="F1270" s="2"/>
      <c r="G1270" s="2"/>
    </row>
    <row r="1271" spans="1:7" ht="12.5">
      <c r="A1271" s="2"/>
      <c r="B1271" s="2"/>
      <c r="C1271" s="2"/>
      <c r="D1271" s="2"/>
      <c r="E1271" s="2"/>
      <c r="F1271" s="2"/>
      <c r="G1271" s="2"/>
    </row>
    <row r="1272" spans="1:7" ht="12.5">
      <c r="A1272" s="2"/>
      <c r="B1272" s="2"/>
      <c r="C1272" s="2"/>
      <c r="D1272" s="2"/>
      <c r="E1272" s="2"/>
      <c r="F1272" s="2"/>
      <c r="G1272" s="2"/>
    </row>
    <row r="1273" spans="1:7" ht="12.5">
      <c r="A1273" s="2"/>
      <c r="B1273" s="2"/>
      <c r="C1273" s="2"/>
      <c r="D1273" s="2"/>
      <c r="E1273" s="2"/>
      <c r="F1273" s="2"/>
      <c r="G1273" s="2"/>
    </row>
    <row r="1274" spans="1:7" ht="12.5">
      <c r="A1274" s="2"/>
      <c r="B1274" s="2"/>
      <c r="C1274" s="2"/>
      <c r="D1274" s="2"/>
      <c r="E1274" s="2"/>
      <c r="F1274" s="2"/>
      <c r="G1274" s="2"/>
    </row>
    <row r="1275" spans="1:7" ht="12.5">
      <c r="A1275" s="2"/>
      <c r="B1275" s="2"/>
      <c r="C1275" s="2"/>
      <c r="D1275" s="2"/>
      <c r="E1275" s="2"/>
      <c r="F1275" s="2"/>
      <c r="G1275" s="2"/>
    </row>
    <row r="1276" spans="1:7" ht="12.5">
      <c r="A1276" s="2"/>
      <c r="B1276" s="2"/>
      <c r="C1276" s="2"/>
      <c r="D1276" s="2"/>
      <c r="E1276" s="2"/>
      <c r="F1276" s="2"/>
      <c r="G1276" s="2"/>
    </row>
    <row r="1277" spans="1:7" ht="12.5">
      <c r="A1277" s="2"/>
      <c r="B1277" s="2"/>
      <c r="C1277" s="2"/>
      <c r="D1277" s="2"/>
      <c r="E1277" s="2"/>
      <c r="F1277" s="2"/>
      <c r="G1277" s="2"/>
    </row>
    <row r="1278" spans="1:7" ht="12.5">
      <c r="A1278" s="2"/>
      <c r="B1278" s="2"/>
      <c r="C1278" s="2"/>
      <c r="D1278" s="2"/>
      <c r="E1278" s="2"/>
      <c r="F1278" s="2"/>
      <c r="G1278" s="2"/>
    </row>
    <row r="1279" spans="1:7" ht="12.5">
      <c r="A1279" s="2"/>
      <c r="B1279" s="2"/>
      <c r="C1279" s="2"/>
      <c r="D1279" s="2"/>
      <c r="E1279" s="2"/>
      <c r="F1279" s="2"/>
      <c r="G1279" s="2"/>
    </row>
    <row r="1280" spans="1:7" ht="12.5">
      <c r="A1280" s="2"/>
      <c r="B1280" s="2"/>
      <c r="C1280" s="2"/>
      <c r="D1280" s="2"/>
      <c r="E1280" s="2"/>
      <c r="F1280" s="2"/>
      <c r="G1280" s="2"/>
    </row>
    <row r="1281" spans="1:7" ht="12.5">
      <c r="A1281" s="2"/>
      <c r="B1281" s="2"/>
      <c r="C1281" s="2"/>
      <c r="D1281" s="2"/>
      <c r="E1281" s="2"/>
      <c r="F1281" s="2"/>
      <c r="G1281" s="2"/>
    </row>
    <row r="1282" spans="1:7" ht="12.5">
      <c r="A1282" s="2"/>
      <c r="B1282" s="2"/>
      <c r="C1282" s="2"/>
      <c r="D1282" s="2"/>
      <c r="E1282" s="2"/>
      <c r="F1282" s="2"/>
      <c r="G1282" s="2"/>
    </row>
    <row r="1283" spans="1:7" ht="12.5">
      <c r="A1283" s="2"/>
      <c r="B1283" s="2"/>
      <c r="C1283" s="2"/>
      <c r="D1283" s="2"/>
      <c r="E1283" s="2"/>
      <c r="F1283" s="2"/>
      <c r="G1283" s="2"/>
    </row>
    <row r="1284" spans="1:7" ht="12.5">
      <c r="A1284" s="2"/>
      <c r="B1284" s="2"/>
      <c r="C1284" s="2"/>
      <c r="D1284" s="2"/>
      <c r="E1284" s="2"/>
      <c r="F1284" s="2"/>
      <c r="G1284" s="2"/>
    </row>
    <row r="1285" spans="1:7" ht="12.5">
      <c r="A1285" s="2"/>
      <c r="B1285" s="2"/>
      <c r="C1285" s="2"/>
      <c r="D1285" s="2"/>
      <c r="E1285" s="2"/>
      <c r="F1285" s="2"/>
      <c r="G1285" s="2"/>
    </row>
    <row r="1286" spans="1:7" ht="12.5">
      <c r="A1286" s="2"/>
      <c r="B1286" s="2"/>
      <c r="C1286" s="2"/>
      <c r="D1286" s="2"/>
      <c r="E1286" s="2"/>
      <c r="F1286" s="2"/>
      <c r="G1286" s="2"/>
    </row>
    <row r="1287" spans="1:7" ht="12.5">
      <c r="A1287" s="2"/>
      <c r="B1287" s="2"/>
      <c r="C1287" s="2"/>
      <c r="D1287" s="2"/>
      <c r="E1287" s="2"/>
      <c r="F1287" s="2"/>
      <c r="G1287" s="2"/>
    </row>
    <row r="1288" spans="1:7" ht="12.5">
      <c r="A1288" s="2"/>
      <c r="B1288" s="2"/>
      <c r="C1288" s="2"/>
      <c r="D1288" s="2"/>
      <c r="E1288" s="2"/>
      <c r="F1288" s="2"/>
      <c r="G1288" s="2"/>
    </row>
    <row r="1289" spans="1:7" ht="12.5">
      <c r="A1289" s="2"/>
      <c r="B1289" s="2"/>
      <c r="C1289" s="2"/>
      <c r="D1289" s="2"/>
      <c r="E1289" s="2"/>
      <c r="F1289" s="2"/>
      <c r="G1289" s="2"/>
    </row>
    <row r="1290" spans="1:7" ht="12.5">
      <c r="A1290" s="2"/>
      <c r="B1290" s="2"/>
      <c r="C1290" s="2"/>
      <c r="D1290" s="2"/>
      <c r="E1290" s="2"/>
      <c r="F1290" s="2"/>
      <c r="G1290" s="2"/>
    </row>
    <row r="1291" spans="1:7" ht="12.5">
      <c r="A1291" s="2"/>
      <c r="B1291" s="2"/>
      <c r="C1291" s="2"/>
      <c r="D1291" s="2"/>
      <c r="E1291" s="2"/>
      <c r="F1291" s="2"/>
      <c r="G1291" s="2"/>
    </row>
    <row r="1292" spans="1:7" ht="12.5">
      <c r="A1292" s="2"/>
      <c r="B1292" s="2"/>
      <c r="C1292" s="2"/>
      <c r="D1292" s="2"/>
      <c r="E1292" s="2"/>
      <c r="F1292" s="2"/>
      <c r="G1292" s="2"/>
    </row>
    <row r="1293" spans="1:7" ht="12.5">
      <c r="A1293" s="2"/>
      <c r="B1293" s="2"/>
      <c r="C1293" s="2"/>
      <c r="D1293" s="2"/>
      <c r="E1293" s="2"/>
      <c r="F1293" s="2"/>
      <c r="G1293" s="2"/>
    </row>
    <row r="1294" spans="1:7" ht="12.5">
      <c r="A1294" s="2"/>
      <c r="B1294" s="2"/>
      <c r="C1294" s="2"/>
      <c r="D1294" s="2"/>
      <c r="E1294" s="2"/>
      <c r="F1294" s="2"/>
      <c r="G1294" s="2"/>
    </row>
    <row r="1295" spans="1:7" ht="12.5">
      <c r="A1295" s="2"/>
      <c r="B1295" s="2"/>
      <c r="C1295" s="2"/>
      <c r="D1295" s="2"/>
      <c r="E1295" s="2"/>
      <c r="F1295" s="2"/>
      <c r="G1295" s="2"/>
    </row>
    <row r="1296" spans="1:7" ht="12.5">
      <c r="A1296" s="2"/>
      <c r="B1296" s="2"/>
      <c r="C1296" s="2"/>
      <c r="D1296" s="2"/>
      <c r="E1296" s="2"/>
      <c r="F1296" s="2"/>
      <c r="G1296" s="2"/>
    </row>
    <row r="1297" spans="1:7" ht="12.5">
      <c r="A1297" s="2"/>
      <c r="B1297" s="2"/>
      <c r="C1297" s="2"/>
      <c r="D1297" s="2"/>
      <c r="E1297" s="2"/>
      <c r="F1297" s="2"/>
      <c r="G1297" s="2"/>
    </row>
    <row r="1298" spans="1:7" ht="12.5">
      <c r="A1298" s="2"/>
      <c r="B1298" s="2"/>
      <c r="C1298" s="2"/>
      <c r="D1298" s="2"/>
      <c r="E1298" s="2"/>
      <c r="F1298" s="2"/>
      <c r="G1298" s="2"/>
    </row>
    <row r="1299" spans="1:7" ht="12.5">
      <c r="A1299" s="2"/>
      <c r="B1299" s="2"/>
      <c r="C1299" s="2"/>
      <c r="D1299" s="2"/>
      <c r="E1299" s="2"/>
      <c r="F1299" s="2"/>
      <c r="G1299" s="2"/>
    </row>
    <row r="1300" spans="1:7" ht="12.5">
      <c r="A1300" s="2"/>
      <c r="B1300" s="2"/>
      <c r="C1300" s="2"/>
      <c r="D1300" s="2"/>
      <c r="E1300" s="2"/>
      <c r="F1300" s="2"/>
      <c r="G1300" s="2"/>
    </row>
    <row r="1301" spans="1:7" ht="12.5">
      <c r="A1301" s="2"/>
      <c r="B1301" s="2"/>
      <c r="C1301" s="2"/>
      <c r="D1301" s="2"/>
      <c r="E1301" s="2"/>
      <c r="F1301" s="2"/>
      <c r="G1301" s="2"/>
    </row>
    <row r="1302" spans="1:7" ht="12.5">
      <c r="A1302" s="2"/>
      <c r="B1302" s="2"/>
      <c r="C1302" s="2"/>
      <c r="D1302" s="2"/>
      <c r="E1302" s="2"/>
      <c r="F1302" s="2"/>
      <c r="G1302" s="2"/>
    </row>
    <row r="1303" spans="1:7" ht="12.5">
      <c r="A1303" s="2"/>
      <c r="B1303" s="2"/>
      <c r="C1303" s="2"/>
      <c r="D1303" s="2"/>
      <c r="E1303" s="2"/>
      <c r="F1303" s="2"/>
      <c r="G1303" s="2"/>
    </row>
    <row r="1304" spans="1:7" ht="12.5">
      <c r="A1304" s="2"/>
      <c r="B1304" s="2"/>
      <c r="C1304" s="2"/>
      <c r="D1304" s="2"/>
      <c r="E1304" s="2"/>
      <c r="F1304" s="2"/>
      <c r="G1304" s="2"/>
    </row>
    <row r="1305" spans="1:7" ht="12.5">
      <c r="A1305" s="2"/>
      <c r="B1305" s="2"/>
      <c r="C1305" s="2"/>
      <c r="D1305" s="2"/>
      <c r="E1305" s="2"/>
      <c r="F1305" s="2"/>
      <c r="G1305" s="2"/>
    </row>
    <row r="1306" spans="1:7" ht="12.5">
      <c r="A1306" s="2"/>
      <c r="B1306" s="2"/>
      <c r="C1306" s="2"/>
      <c r="D1306" s="2"/>
      <c r="E1306" s="2"/>
      <c r="F1306" s="2"/>
      <c r="G1306" s="2"/>
    </row>
    <row r="1307" spans="1:7" ht="12.5">
      <c r="A1307" s="2"/>
      <c r="B1307" s="2"/>
      <c r="C1307" s="2"/>
      <c r="D1307" s="2"/>
      <c r="E1307" s="2"/>
      <c r="F1307" s="2"/>
      <c r="G1307" s="2"/>
    </row>
    <row r="1308" spans="1:7" ht="12.5">
      <c r="A1308" s="2"/>
      <c r="B1308" s="2"/>
      <c r="C1308" s="2"/>
      <c r="D1308" s="2"/>
      <c r="E1308" s="2"/>
      <c r="F1308" s="2"/>
      <c r="G1308" s="2"/>
    </row>
    <row r="1309" spans="1:7" ht="12.5">
      <c r="A1309" s="2"/>
      <c r="B1309" s="2"/>
      <c r="C1309" s="2"/>
      <c r="D1309" s="2"/>
      <c r="E1309" s="2"/>
      <c r="F1309" s="2"/>
      <c r="G1309" s="2"/>
    </row>
    <row r="1310" spans="1:7" ht="12.5">
      <c r="A1310" s="2"/>
      <c r="B1310" s="2"/>
      <c r="C1310" s="2"/>
      <c r="D1310" s="2"/>
      <c r="E1310" s="2"/>
      <c r="F1310" s="2"/>
      <c r="G1310" s="2"/>
    </row>
    <row r="1311" spans="1:7" ht="12.5">
      <c r="A1311" s="2"/>
      <c r="B1311" s="2"/>
      <c r="C1311" s="2"/>
      <c r="D1311" s="2"/>
      <c r="E1311" s="2"/>
      <c r="F1311" s="2"/>
      <c r="G1311" s="2"/>
    </row>
    <row r="1312" spans="1:7" ht="12.5">
      <c r="A1312" s="2"/>
      <c r="B1312" s="2"/>
      <c r="C1312" s="2"/>
      <c r="D1312" s="2"/>
      <c r="E1312" s="2"/>
      <c r="F1312" s="2"/>
      <c r="G1312" s="2"/>
    </row>
    <row r="1313" spans="1:7" ht="12.5">
      <c r="A1313" s="2"/>
      <c r="B1313" s="2"/>
      <c r="C1313" s="2"/>
      <c r="D1313" s="2"/>
      <c r="E1313" s="2"/>
      <c r="F1313" s="2"/>
      <c r="G1313" s="2"/>
    </row>
    <row r="1314" spans="1:7" ht="12.5">
      <c r="A1314" s="2"/>
      <c r="B1314" s="2"/>
      <c r="C1314" s="2"/>
      <c r="D1314" s="2"/>
      <c r="E1314" s="2"/>
      <c r="F1314" s="2"/>
      <c r="G1314" s="2"/>
    </row>
    <row r="1315" spans="1:7" ht="12.5">
      <c r="A1315" s="2"/>
      <c r="B1315" s="2"/>
      <c r="C1315" s="2"/>
      <c r="D1315" s="2"/>
      <c r="E1315" s="2"/>
      <c r="F1315" s="2"/>
      <c r="G1315" s="2"/>
    </row>
    <row r="1316" spans="1:7" ht="12.5">
      <c r="A1316" s="2"/>
      <c r="B1316" s="2"/>
      <c r="C1316" s="2"/>
      <c r="D1316" s="2"/>
      <c r="E1316" s="2"/>
      <c r="F1316" s="2"/>
      <c r="G1316" s="2"/>
    </row>
    <row r="1317" spans="1:7" ht="12.5">
      <c r="A1317" s="2"/>
      <c r="B1317" s="2"/>
      <c r="C1317" s="2"/>
      <c r="D1317" s="2"/>
      <c r="E1317" s="2"/>
      <c r="F1317" s="2"/>
      <c r="G1317" s="2"/>
    </row>
    <row r="1318" spans="1:7" ht="12.5">
      <c r="A1318" s="2"/>
      <c r="B1318" s="2"/>
      <c r="C1318" s="2"/>
      <c r="D1318" s="2"/>
      <c r="E1318" s="2"/>
      <c r="F1318" s="2"/>
      <c r="G1318" s="2"/>
    </row>
    <row r="1319" spans="1:7" ht="12.5">
      <c r="A1319" s="2"/>
      <c r="B1319" s="2"/>
      <c r="C1319" s="2"/>
      <c r="D1319" s="2"/>
      <c r="E1319" s="2"/>
      <c r="F1319" s="2"/>
      <c r="G1319" s="2"/>
    </row>
    <row r="1320" spans="1:7" ht="12.5">
      <c r="A1320" s="2"/>
      <c r="B1320" s="2"/>
      <c r="C1320" s="2"/>
      <c r="D1320" s="2"/>
      <c r="E1320" s="2"/>
      <c r="F1320" s="2"/>
      <c r="G1320" s="2"/>
    </row>
    <row r="1321" spans="1:7" ht="12.5">
      <c r="A1321" s="2"/>
      <c r="B1321" s="2"/>
      <c r="C1321" s="2"/>
      <c r="D1321" s="2"/>
      <c r="E1321" s="2"/>
      <c r="F1321" s="2"/>
      <c r="G1321" s="2"/>
    </row>
    <row r="1322" spans="1:7" ht="12.5">
      <c r="A1322" s="2"/>
      <c r="B1322" s="2"/>
      <c r="C1322" s="2"/>
      <c r="D1322" s="2"/>
      <c r="E1322" s="2"/>
      <c r="F1322" s="2"/>
      <c r="G1322" s="2"/>
    </row>
    <row r="1323" spans="1:7" ht="12.5">
      <c r="A1323" s="2"/>
      <c r="B1323" s="2"/>
      <c r="C1323" s="2"/>
      <c r="D1323" s="2"/>
      <c r="E1323" s="2"/>
      <c r="F1323" s="2"/>
      <c r="G1323" s="2"/>
    </row>
    <row r="1324" spans="1:7" ht="12.5">
      <c r="A1324" s="2"/>
      <c r="B1324" s="2"/>
      <c r="C1324" s="2"/>
      <c r="D1324" s="2"/>
      <c r="E1324" s="2"/>
      <c r="F1324" s="2"/>
      <c r="G1324" s="2"/>
    </row>
    <row r="1325" spans="1:7" ht="12.5">
      <c r="A1325" s="2"/>
      <c r="B1325" s="2"/>
      <c r="C1325" s="2"/>
      <c r="D1325" s="2"/>
      <c r="E1325" s="2"/>
      <c r="F1325" s="2"/>
      <c r="G1325" s="2"/>
    </row>
    <row r="1326" spans="1:7" ht="12.5">
      <c r="A1326" s="2"/>
      <c r="B1326" s="2"/>
      <c r="C1326" s="2"/>
      <c r="D1326" s="2"/>
      <c r="E1326" s="2"/>
      <c r="F1326" s="2"/>
      <c r="G1326" s="2"/>
    </row>
    <row r="1327" spans="1:7" ht="12.5">
      <c r="A1327" s="2"/>
      <c r="B1327" s="2"/>
      <c r="C1327" s="2"/>
      <c r="D1327" s="2"/>
      <c r="E1327" s="2"/>
      <c r="F1327" s="2"/>
      <c r="G1327" s="2"/>
    </row>
    <row r="1328" spans="1:7" ht="12.5">
      <c r="A1328" s="2"/>
      <c r="B1328" s="2"/>
      <c r="C1328" s="2"/>
      <c r="D1328" s="2"/>
      <c r="E1328" s="2"/>
      <c r="F1328" s="2"/>
      <c r="G1328" s="2"/>
    </row>
    <row r="1329" spans="1:7" ht="12.5">
      <c r="A1329" s="2"/>
      <c r="B1329" s="2"/>
      <c r="C1329" s="2"/>
      <c r="D1329" s="2"/>
      <c r="E1329" s="2"/>
      <c r="F1329" s="2"/>
      <c r="G1329" s="2"/>
    </row>
    <row r="1330" spans="1:7" ht="12.5">
      <c r="A1330" s="2"/>
      <c r="B1330" s="2"/>
      <c r="C1330" s="2"/>
      <c r="D1330" s="2"/>
      <c r="E1330" s="2"/>
      <c r="F1330" s="2"/>
      <c r="G1330" s="2"/>
    </row>
    <row r="1331" spans="1:7" ht="12.5">
      <c r="A1331" s="2"/>
      <c r="B1331" s="2"/>
      <c r="C1331" s="2"/>
      <c r="D1331" s="2"/>
      <c r="E1331" s="2"/>
      <c r="F1331" s="2"/>
      <c r="G1331" s="2"/>
    </row>
    <row r="1332" spans="1:7" ht="12.5">
      <c r="A1332" s="2"/>
      <c r="B1332" s="2"/>
      <c r="C1332" s="2"/>
      <c r="D1332" s="2"/>
      <c r="E1332" s="2"/>
      <c r="F1332" s="2"/>
      <c r="G1332" s="2"/>
    </row>
    <row r="1333" spans="1:7" ht="12.5">
      <c r="A1333" s="2"/>
      <c r="B1333" s="2"/>
      <c r="C1333" s="2"/>
      <c r="D1333" s="2"/>
      <c r="E1333" s="2"/>
      <c r="F1333" s="2"/>
      <c r="G1333" s="2"/>
    </row>
    <row r="1334" spans="1:7" ht="12.5">
      <c r="A1334" s="2"/>
      <c r="B1334" s="2"/>
      <c r="C1334" s="2"/>
      <c r="D1334" s="2"/>
      <c r="E1334" s="2"/>
      <c r="F1334" s="2"/>
      <c r="G1334" s="2"/>
    </row>
    <row r="1335" spans="1:7" ht="12.5">
      <c r="A1335" s="2"/>
      <c r="B1335" s="2"/>
      <c r="C1335" s="2"/>
      <c r="D1335" s="2"/>
      <c r="E1335" s="2"/>
      <c r="F1335" s="2"/>
      <c r="G1335" s="2"/>
    </row>
    <row r="1336" spans="1:7" ht="12.5">
      <c r="A1336" s="2"/>
      <c r="B1336" s="2"/>
      <c r="C1336" s="2"/>
      <c r="D1336" s="2"/>
      <c r="E1336" s="2"/>
      <c r="F1336" s="2"/>
      <c r="G1336" s="2"/>
    </row>
    <row r="1337" spans="1:7" ht="12.5">
      <c r="A1337" s="2"/>
      <c r="B1337" s="2"/>
      <c r="C1337" s="2"/>
      <c r="D1337" s="2"/>
      <c r="E1337" s="2"/>
      <c r="F1337" s="2"/>
      <c r="G1337" s="2"/>
    </row>
    <row r="1338" spans="1:7" ht="12.5">
      <c r="A1338" s="2"/>
      <c r="B1338" s="2"/>
      <c r="C1338" s="2"/>
      <c r="D1338" s="2"/>
      <c r="E1338" s="2"/>
      <c r="F1338" s="2"/>
      <c r="G1338" s="2"/>
    </row>
    <row r="1339" spans="1:7" ht="12.5">
      <c r="A1339" s="2"/>
      <c r="B1339" s="2"/>
      <c r="C1339" s="2"/>
      <c r="D1339" s="2"/>
      <c r="E1339" s="2"/>
      <c r="F1339" s="2"/>
      <c r="G1339" s="2"/>
    </row>
    <row r="1340" spans="1:7" ht="12.5">
      <c r="A1340" s="2"/>
      <c r="B1340" s="2"/>
      <c r="C1340" s="2"/>
      <c r="D1340" s="2"/>
      <c r="E1340" s="2"/>
      <c r="F1340" s="2"/>
      <c r="G1340" s="2"/>
    </row>
    <row r="1341" spans="1:7" ht="12.5">
      <c r="A1341" s="2"/>
      <c r="B1341" s="2"/>
      <c r="C1341" s="2"/>
      <c r="D1341" s="2"/>
      <c r="E1341" s="2"/>
      <c r="F1341" s="2"/>
      <c r="G1341" s="2"/>
    </row>
    <row r="1342" spans="1:7" ht="12.5">
      <c r="A1342" s="2"/>
      <c r="B1342" s="2"/>
      <c r="C1342" s="2"/>
      <c r="D1342" s="2"/>
      <c r="E1342" s="2"/>
      <c r="F1342" s="2"/>
      <c r="G1342" s="2"/>
    </row>
    <row r="1343" spans="1:7" ht="12.5">
      <c r="A1343" s="2"/>
      <c r="B1343" s="2"/>
      <c r="C1343" s="2"/>
      <c r="D1343" s="2"/>
      <c r="E1343" s="2"/>
      <c r="F1343" s="2"/>
      <c r="G1343" s="2"/>
    </row>
    <row r="1344" spans="1:7" ht="12.5">
      <c r="A1344" s="2"/>
      <c r="B1344" s="2"/>
      <c r="C1344" s="2"/>
      <c r="D1344" s="2"/>
      <c r="E1344" s="2"/>
      <c r="F1344" s="2"/>
      <c r="G1344" s="2"/>
    </row>
    <row r="1345" spans="1:7" ht="12.5">
      <c r="A1345" s="2"/>
      <c r="B1345" s="2"/>
      <c r="C1345" s="2"/>
      <c r="D1345" s="2"/>
      <c r="E1345" s="2"/>
      <c r="F1345" s="2"/>
      <c r="G1345" s="2"/>
    </row>
    <row r="1346" spans="1:7" ht="12.5">
      <c r="A1346" s="2"/>
      <c r="B1346" s="2"/>
      <c r="C1346" s="2"/>
      <c r="D1346" s="2"/>
      <c r="E1346" s="2"/>
      <c r="F1346" s="2"/>
      <c r="G1346" s="2"/>
    </row>
    <row r="1347" spans="1:7" ht="12.5">
      <c r="A1347" s="2"/>
      <c r="B1347" s="2"/>
      <c r="C1347" s="2"/>
      <c r="D1347" s="2"/>
      <c r="E1347" s="2"/>
      <c r="F1347" s="2"/>
      <c r="G1347" s="2"/>
    </row>
    <row r="1348" spans="1:7" ht="12.5">
      <c r="A1348" s="2"/>
      <c r="B1348" s="2"/>
      <c r="C1348" s="2"/>
      <c r="D1348" s="2"/>
      <c r="E1348" s="2"/>
      <c r="F1348" s="2"/>
      <c r="G1348" s="2"/>
    </row>
    <row r="1349" spans="1:7" ht="12.5">
      <c r="A1349" s="2"/>
      <c r="B1349" s="2"/>
      <c r="C1349" s="2"/>
      <c r="D1349" s="2"/>
      <c r="E1349" s="2"/>
      <c r="F1349" s="2"/>
      <c r="G1349" s="2"/>
    </row>
    <row r="1350" spans="1:7" ht="12.5">
      <c r="A1350" s="2"/>
      <c r="B1350" s="2"/>
      <c r="C1350" s="2"/>
      <c r="D1350" s="2"/>
      <c r="E1350" s="2"/>
      <c r="F1350" s="2"/>
      <c r="G1350" s="2"/>
    </row>
    <row r="1351" spans="1:7" ht="12.5">
      <c r="A1351" s="2"/>
      <c r="B1351" s="2"/>
      <c r="C1351" s="2"/>
      <c r="D1351" s="2"/>
      <c r="E1351" s="2"/>
      <c r="F1351" s="2"/>
      <c r="G1351" s="2"/>
    </row>
    <row r="1352" spans="1:7" ht="12.5">
      <c r="A1352" s="2"/>
      <c r="B1352" s="2"/>
      <c r="C1352" s="2"/>
      <c r="D1352" s="2"/>
      <c r="E1352" s="2"/>
      <c r="F1352" s="2"/>
      <c r="G1352" s="2"/>
    </row>
    <row r="1353" spans="1:7" ht="12.5">
      <c r="A1353" s="2"/>
      <c r="B1353" s="2"/>
      <c r="C1353" s="2"/>
      <c r="D1353" s="2"/>
      <c r="E1353" s="2"/>
      <c r="F1353" s="2"/>
      <c r="G1353" s="2"/>
    </row>
    <row r="1354" spans="1:7" ht="12.5">
      <c r="A1354" s="2"/>
      <c r="B1354" s="2"/>
      <c r="C1354" s="2"/>
      <c r="D1354" s="2"/>
      <c r="E1354" s="2"/>
      <c r="F1354" s="2"/>
      <c r="G1354" s="2"/>
    </row>
    <row r="1355" spans="1:7" ht="12.5">
      <c r="A1355" s="2"/>
      <c r="B1355" s="2"/>
      <c r="C1355" s="2"/>
      <c r="D1355" s="2"/>
      <c r="E1355" s="2"/>
      <c r="F1355" s="2"/>
      <c r="G1355" s="2"/>
    </row>
    <row r="1356" spans="1:7" ht="12.5">
      <c r="A1356" s="2"/>
      <c r="B1356" s="2"/>
      <c r="C1356" s="2"/>
      <c r="D1356" s="2"/>
      <c r="E1356" s="2"/>
      <c r="F1356" s="2"/>
      <c r="G1356" s="2"/>
    </row>
    <row r="1357" spans="1:7" ht="12.5">
      <c r="A1357" s="2"/>
      <c r="B1357" s="2"/>
      <c r="C1357" s="2"/>
      <c r="D1357" s="2"/>
      <c r="E1357" s="2"/>
      <c r="F1357" s="2"/>
      <c r="G1357" s="2"/>
    </row>
    <row r="1358" spans="1:7" ht="12.5">
      <c r="A1358" s="2"/>
      <c r="B1358" s="2"/>
      <c r="C1358" s="2"/>
      <c r="D1358" s="2"/>
      <c r="E1358" s="2"/>
      <c r="F1358" s="2"/>
      <c r="G1358" s="2"/>
    </row>
    <row r="1359" spans="1:7" ht="12.5">
      <c r="A1359" s="2"/>
      <c r="B1359" s="2"/>
      <c r="C1359" s="2"/>
      <c r="D1359" s="2"/>
      <c r="E1359" s="2"/>
      <c r="F1359" s="2"/>
      <c r="G1359" s="2"/>
    </row>
    <row r="1360" spans="1:7" ht="12.5">
      <c r="A1360" s="2"/>
      <c r="B1360" s="2"/>
      <c r="C1360" s="2"/>
      <c r="D1360" s="2"/>
      <c r="E1360" s="2"/>
      <c r="F1360" s="2"/>
      <c r="G1360" s="2"/>
    </row>
    <row r="1361" spans="1:7" ht="12.5">
      <c r="A1361" s="2"/>
      <c r="B1361" s="2"/>
      <c r="C1361" s="2"/>
      <c r="D1361" s="2"/>
      <c r="E1361" s="2"/>
      <c r="F1361" s="2"/>
      <c r="G1361" s="2"/>
    </row>
    <row r="1362" spans="1:7" ht="12.5">
      <c r="A1362" s="2"/>
      <c r="B1362" s="2"/>
      <c r="C1362" s="2"/>
      <c r="D1362" s="2"/>
      <c r="E1362" s="2"/>
      <c r="F1362" s="2"/>
      <c r="G1362" s="2"/>
    </row>
    <row r="1363" spans="1:7" ht="12.5">
      <c r="A1363" s="2"/>
      <c r="B1363" s="2"/>
      <c r="C1363" s="2"/>
      <c r="D1363" s="2"/>
      <c r="E1363" s="2"/>
      <c r="F1363" s="2"/>
      <c r="G1363" s="2"/>
    </row>
    <row r="1364" spans="1:7" ht="12.5">
      <c r="A1364" s="2"/>
      <c r="B1364" s="2"/>
      <c r="C1364" s="2"/>
      <c r="D1364" s="2"/>
      <c r="E1364" s="2"/>
      <c r="F1364" s="2"/>
      <c r="G1364" s="2"/>
    </row>
    <row r="1365" spans="1:7" ht="12.5">
      <c r="A1365" s="2"/>
      <c r="B1365" s="2"/>
      <c r="C1365" s="2"/>
      <c r="D1365" s="2"/>
      <c r="E1365" s="2"/>
      <c r="F1365" s="2"/>
      <c r="G1365" s="2"/>
    </row>
    <row r="1366" spans="1:7" ht="12.5">
      <c r="A1366" s="2"/>
      <c r="B1366" s="2"/>
      <c r="C1366" s="2"/>
      <c r="D1366" s="2"/>
      <c r="E1366" s="2"/>
      <c r="F1366" s="2"/>
      <c r="G1366" s="2"/>
    </row>
    <row r="1367" spans="1:7" ht="12.5">
      <c r="A1367" s="2"/>
      <c r="B1367" s="2"/>
      <c r="C1367" s="2"/>
      <c r="D1367" s="2"/>
      <c r="E1367" s="2"/>
      <c r="F1367" s="2"/>
      <c r="G1367" s="2"/>
    </row>
    <row r="1368" spans="1:7" ht="12.5">
      <c r="A1368" s="2"/>
      <c r="B1368" s="2"/>
      <c r="C1368" s="2"/>
      <c r="D1368" s="2"/>
      <c r="E1368" s="2"/>
      <c r="F1368" s="2"/>
      <c r="G1368" s="2"/>
    </row>
    <row r="1369" spans="1:7" ht="12.5">
      <c r="A1369" s="2"/>
      <c r="B1369" s="2"/>
      <c r="C1369" s="2"/>
      <c r="D1369" s="2"/>
      <c r="E1369" s="2"/>
      <c r="F1369" s="2"/>
      <c r="G1369" s="2"/>
    </row>
    <row r="1370" spans="1:7" ht="12.5">
      <c r="A1370" s="2"/>
      <c r="B1370" s="2"/>
      <c r="C1370" s="2"/>
      <c r="D1370" s="2"/>
      <c r="E1370" s="2"/>
      <c r="F1370" s="2"/>
      <c r="G1370" s="2"/>
    </row>
    <row r="1371" spans="1:7" ht="12.5">
      <c r="A1371" s="2"/>
      <c r="B1371" s="2"/>
      <c r="C1371" s="2"/>
      <c r="D1371" s="2"/>
      <c r="E1371" s="2"/>
      <c r="F1371" s="2"/>
      <c r="G1371" s="2"/>
    </row>
    <row r="1372" spans="1:7" ht="12.5">
      <c r="A1372" s="2"/>
      <c r="B1372" s="2"/>
      <c r="C1372" s="2"/>
      <c r="D1372" s="2"/>
      <c r="E1372" s="2"/>
      <c r="F1372" s="2"/>
      <c r="G1372" s="2"/>
    </row>
    <row r="1373" spans="1:7" ht="12.5">
      <c r="A1373" s="2"/>
      <c r="B1373" s="2"/>
      <c r="C1373" s="2"/>
      <c r="D1373" s="2"/>
      <c r="E1373" s="2"/>
      <c r="F1373" s="2"/>
      <c r="G1373" s="2"/>
    </row>
    <row r="1374" spans="1:7" ht="12.5">
      <c r="A1374" s="2"/>
      <c r="B1374" s="2"/>
      <c r="C1374" s="2"/>
      <c r="D1374" s="2"/>
      <c r="E1374" s="2"/>
      <c r="F1374" s="2"/>
      <c r="G1374" s="2"/>
    </row>
    <row r="1375" spans="1:7" ht="12.5">
      <c r="A1375" s="2"/>
      <c r="B1375" s="2"/>
      <c r="C1375" s="2"/>
      <c r="D1375" s="2"/>
      <c r="E1375" s="2"/>
      <c r="F1375" s="2"/>
      <c r="G1375" s="2"/>
    </row>
    <row r="1376" spans="1:7" ht="12.5">
      <c r="A1376" s="2"/>
      <c r="B1376" s="2"/>
      <c r="C1376" s="2"/>
      <c r="D1376" s="2"/>
      <c r="E1376" s="2"/>
      <c r="F1376" s="2"/>
      <c r="G1376" s="2"/>
    </row>
    <row r="1377" spans="1:7" ht="12.5">
      <c r="A1377" s="2"/>
      <c r="B1377" s="2"/>
      <c r="C1377" s="2"/>
      <c r="D1377" s="2"/>
      <c r="E1377" s="2"/>
      <c r="F1377" s="2"/>
      <c r="G1377" s="2"/>
    </row>
    <row r="1378" spans="1:7" ht="12.5">
      <c r="A1378" s="2"/>
      <c r="B1378" s="2"/>
      <c r="C1378" s="2"/>
      <c r="D1378" s="2"/>
      <c r="E1378" s="2"/>
      <c r="F1378" s="2"/>
      <c r="G1378" s="2"/>
    </row>
    <row r="1379" spans="1:7" ht="12.5">
      <c r="A1379" s="2"/>
      <c r="B1379" s="2"/>
      <c r="C1379" s="2"/>
      <c r="D1379" s="2"/>
      <c r="E1379" s="2"/>
      <c r="F1379" s="2"/>
      <c r="G1379" s="2"/>
    </row>
    <row r="1380" spans="1:7" ht="12.5">
      <c r="A1380" s="2"/>
      <c r="B1380" s="2"/>
      <c r="C1380" s="2"/>
      <c r="D1380" s="2"/>
      <c r="E1380" s="2"/>
      <c r="F1380" s="2"/>
      <c r="G1380" s="2"/>
    </row>
    <row r="1381" spans="1:7" ht="12.5">
      <c r="A1381" s="2"/>
      <c r="B1381" s="2"/>
      <c r="C1381" s="2"/>
      <c r="D1381" s="2"/>
      <c r="E1381" s="2"/>
      <c r="F1381" s="2"/>
      <c r="G1381" s="2"/>
    </row>
    <row r="1382" spans="1:7" ht="12.5">
      <c r="A1382" s="2"/>
      <c r="B1382" s="2"/>
      <c r="C1382" s="2"/>
      <c r="D1382" s="2"/>
      <c r="E1382" s="2"/>
      <c r="F1382" s="2"/>
      <c r="G1382" s="2"/>
    </row>
    <row r="1383" spans="1:7" ht="12.5">
      <c r="A1383" s="2"/>
      <c r="B1383" s="2"/>
      <c r="C1383" s="2"/>
      <c r="D1383" s="2"/>
      <c r="E1383" s="2"/>
      <c r="F1383" s="2"/>
      <c r="G1383" s="2"/>
    </row>
    <row r="1384" spans="1:7" ht="12.5">
      <c r="A1384" s="2"/>
      <c r="B1384" s="2"/>
      <c r="C1384" s="2"/>
      <c r="D1384" s="2"/>
      <c r="E1384" s="2"/>
      <c r="F1384" s="2"/>
      <c r="G1384" s="2"/>
    </row>
    <row r="1385" spans="1:7" ht="12.5">
      <c r="A1385" s="2"/>
      <c r="B1385" s="2"/>
      <c r="C1385" s="2"/>
      <c r="D1385" s="2"/>
      <c r="E1385" s="2"/>
      <c r="F1385" s="2"/>
      <c r="G1385" s="2"/>
    </row>
    <row r="1386" spans="1:7" ht="12.5">
      <c r="A1386" s="2"/>
      <c r="B1386" s="2"/>
      <c r="C1386" s="2"/>
      <c r="D1386" s="2"/>
      <c r="E1386" s="2"/>
      <c r="F1386" s="2"/>
      <c r="G1386" s="2"/>
    </row>
    <row r="1387" spans="1:7" ht="12.5">
      <c r="A1387" s="2"/>
      <c r="B1387" s="2"/>
      <c r="C1387" s="2"/>
      <c r="D1387" s="2"/>
      <c r="E1387" s="2"/>
      <c r="F1387" s="2"/>
      <c r="G1387" s="2"/>
    </row>
    <row r="1388" spans="1:7" ht="12.5">
      <c r="A1388" s="2"/>
      <c r="B1388" s="2"/>
      <c r="C1388" s="2"/>
      <c r="D1388" s="2"/>
      <c r="E1388" s="2"/>
      <c r="F1388" s="2"/>
      <c r="G1388" s="2"/>
    </row>
    <row r="1389" spans="1:7" ht="12.5">
      <c r="A1389" s="2"/>
      <c r="B1389" s="2"/>
      <c r="C1389" s="2"/>
      <c r="D1389" s="2"/>
      <c r="E1389" s="2"/>
      <c r="F1389" s="2"/>
      <c r="G1389" s="2"/>
    </row>
    <row r="1390" spans="1:7" ht="12.5">
      <c r="A1390" s="2"/>
      <c r="B1390" s="2"/>
      <c r="C1390" s="2"/>
      <c r="D1390" s="2"/>
      <c r="E1390" s="2"/>
      <c r="F1390" s="2"/>
      <c r="G1390" s="2"/>
    </row>
    <row r="1391" spans="1:7" ht="12.5">
      <c r="A1391" s="2"/>
      <c r="B1391" s="2"/>
      <c r="C1391" s="2"/>
      <c r="D1391" s="2"/>
      <c r="E1391" s="2"/>
      <c r="F1391" s="2"/>
      <c r="G1391" s="2"/>
    </row>
    <row r="1392" spans="1:7" ht="12.5">
      <c r="A1392" s="2"/>
      <c r="B1392" s="2"/>
      <c r="C1392" s="2"/>
      <c r="D1392" s="2"/>
      <c r="E1392" s="2"/>
      <c r="F1392" s="2"/>
      <c r="G1392" s="2"/>
    </row>
    <row r="1393" spans="1:7" ht="12.5">
      <c r="A1393" s="2"/>
      <c r="B1393" s="2"/>
      <c r="C1393" s="2"/>
      <c r="D1393" s="2"/>
      <c r="E1393" s="2"/>
      <c r="F1393" s="2"/>
      <c r="G1393" s="2"/>
    </row>
    <row r="1394" spans="1:7" ht="12.5">
      <c r="A1394" s="2"/>
      <c r="B1394" s="2"/>
      <c r="C1394" s="2"/>
      <c r="D1394" s="2"/>
      <c r="E1394" s="2"/>
      <c r="F1394" s="2"/>
      <c r="G1394" s="2"/>
    </row>
    <row r="1395" spans="1:7" ht="12.5">
      <c r="A1395" s="2"/>
      <c r="B1395" s="2"/>
      <c r="C1395" s="2"/>
      <c r="D1395" s="2"/>
      <c r="E1395" s="2"/>
      <c r="F1395" s="2"/>
      <c r="G1395" s="2"/>
    </row>
    <row r="1396" spans="1:7" ht="12.5">
      <c r="A1396" s="2"/>
      <c r="B1396" s="2"/>
      <c r="C1396" s="2"/>
      <c r="D1396" s="2"/>
      <c r="E1396" s="2"/>
      <c r="F1396" s="2"/>
      <c r="G1396" s="2"/>
    </row>
    <row r="1397" spans="1:7" ht="12.5">
      <c r="A1397" s="2"/>
      <c r="B1397" s="2"/>
      <c r="C1397" s="2"/>
      <c r="D1397" s="2"/>
      <c r="E1397" s="2"/>
      <c r="F1397" s="2"/>
      <c r="G1397" s="2"/>
    </row>
    <row r="1398" spans="1:7" ht="12.5">
      <c r="A1398" s="2"/>
      <c r="B1398" s="2"/>
      <c r="C1398" s="2"/>
      <c r="D1398" s="2"/>
      <c r="E1398" s="2"/>
      <c r="F1398" s="2"/>
      <c r="G1398" s="2"/>
    </row>
    <row r="1399" spans="1:7" ht="12.5">
      <c r="A1399" s="2"/>
      <c r="B1399" s="2"/>
      <c r="C1399" s="2"/>
      <c r="D1399" s="2"/>
      <c r="E1399" s="2"/>
      <c r="F1399" s="2"/>
      <c r="G1399" s="2"/>
    </row>
    <row r="1400" spans="1:7" ht="12.5">
      <c r="A1400" s="2"/>
      <c r="B1400" s="2"/>
      <c r="C1400" s="2"/>
      <c r="D1400" s="2"/>
      <c r="E1400" s="2"/>
      <c r="F1400" s="2"/>
      <c r="G1400" s="2"/>
    </row>
    <row r="1401" spans="1:7" ht="12.5">
      <c r="A1401" s="2"/>
      <c r="B1401" s="2"/>
      <c r="C1401" s="2"/>
      <c r="D1401" s="2"/>
      <c r="E1401" s="2"/>
      <c r="F1401" s="2"/>
      <c r="G1401" s="2"/>
    </row>
    <row r="1402" spans="1:7" ht="12.5">
      <c r="A1402" s="2"/>
      <c r="B1402" s="2"/>
      <c r="C1402" s="2"/>
      <c r="D1402" s="2"/>
      <c r="E1402" s="2"/>
      <c r="F1402" s="2"/>
      <c r="G1402" s="2"/>
    </row>
    <row r="1403" spans="1:7" ht="12.5">
      <c r="A1403" s="2"/>
      <c r="B1403" s="2"/>
      <c r="C1403" s="2"/>
      <c r="D1403" s="2"/>
      <c r="E1403" s="2"/>
      <c r="F1403" s="2"/>
      <c r="G1403" s="2"/>
    </row>
    <row r="1404" spans="1:7" ht="12.5">
      <c r="A1404" s="2"/>
      <c r="B1404" s="2"/>
      <c r="C1404" s="2"/>
      <c r="D1404" s="2"/>
      <c r="E1404" s="2"/>
      <c r="F1404" s="2"/>
      <c r="G1404" s="2"/>
    </row>
    <row r="1405" spans="1:7" ht="12.5">
      <c r="A1405" s="2"/>
      <c r="B1405" s="2"/>
      <c r="C1405" s="2"/>
      <c r="D1405" s="2"/>
      <c r="E1405" s="2"/>
      <c r="F1405" s="2"/>
      <c r="G1405" s="2"/>
    </row>
    <row r="1406" spans="1:7" ht="12.5">
      <c r="A1406" s="2"/>
      <c r="B1406" s="2"/>
      <c r="C1406" s="2"/>
      <c r="D1406" s="2"/>
      <c r="E1406" s="2"/>
      <c r="F1406" s="2"/>
      <c r="G1406" s="2"/>
    </row>
    <row r="1407" spans="1:7" ht="12.5">
      <c r="A1407" s="2"/>
      <c r="B1407" s="2"/>
      <c r="C1407" s="2"/>
      <c r="D1407" s="2"/>
      <c r="E1407" s="2"/>
      <c r="F1407" s="2"/>
      <c r="G1407" s="2"/>
    </row>
    <row r="1408" spans="1:7" ht="12.5">
      <c r="A1408" s="2"/>
      <c r="B1408" s="2"/>
      <c r="C1408" s="2"/>
      <c r="D1408" s="2"/>
      <c r="E1408" s="2"/>
      <c r="F1408" s="2"/>
      <c r="G1408" s="2"/>
    </row>
    <row r="1409" spans="1:7" ht="12.5">
      <c r="A1409" s="2"/>
      <c r="B1409" s="2"/>
      <c r="C1409" s="2"/>
      <c r="D1409" s="2"/>
      <c r="E1409" s="2"/>
      <c r="F1409" s="2"/>
      <c r="G1409" s="2"/>
    </row>
    <row r="1410" spans="1:7" ht="12.5">
      <c r="A1410" s="2"/>
      <c r="B1410" s="2"/>
      <c r="C1410" s="2"/>
      <c r="D1410" s="2"/>
      <c r="E1410" s="2"/>
      <c r="F1410" s="2"/>
      <c r="G1410" s="2"/>
    </row>
    <row r="1411" spans="1:7" ht="12.5">
      <c r="A1411" s="2"/>
      <c r="B1411" s="2"/>
      <c r="C1411" s="2"/>
      <c r="D1411" s="2"/>
      <c r="E1411" s="2"/>
      <c r="F1411" s="2"/>
      <c r="G1411" s="2"/>
    </row>
    <row r="1412" spans="1:7" ht="12.5">
      <c r="A1412" s="2"/>
      <c r="B1412" s="2"/>
      <c r="C1412" s="2"/>
      <c r="D1412" s="2"/>
      <c r="E1412" s="2"/>
      <c r="F1412" s="2"/>
      <c r="G1412" s="2"/>
    </row>
    <row r="1413" spans="1:7" ht="12.5">
      <c r="A1413" s="2"/>
      <c r="B1413" s="2"/>
      <c r="C1413" s="2"/>
      <c r="D1413" s="2"/>
      <c r="E1413" s="2"/>
      <c r="F1413" s="2"/>
      <c r="G1413" s="2"/>
    </row>
    <row r="1414" spans="1:7" ht="12.5">
      <c r="A1414" s="2"/>
      <c r="B1414" s="2"/>
      <c r="C1414" s="2"/>
      <c r="D1414" s="2"/>
      <c r="E1414" s="2"/>
      <c r="F1414" s="2"/>
      <c r="G1414" s="2"/>
    </row>
    <row r="1415" spans="1:7" ht="12.5">
      <c r="A1415" s="2"/>
      <c r="B1415" s="2"/>
      <c r="C1415" s="2"/>
      <c r="D1415" s="2"/>
      <c r="E1415" s="2"/>
      <c r="F1415" s="2"/>
      <c r="G1415" s="2"/>
    </row>
    <row r="1416" spans="1:7" ht="12.5">
      <c r="A1416" s="2"/>
      <c r="B1416" s="2"/>
      <c r="C1416" s="2"/>
      <c r="D1416" s="2"/>
      <c r="E1416" s="2"/>
      <c r="F1416" s="2"/>
      <c r="G1416" s="2"/>
    </row>
    <row r="1417" spans="1:7" ht="12.5">
      <c r="A1417" s="2"/>
      <c r="B1417" s="2"/>
      <c r="C1417" s="2"/>
      <c r="D1417" s="2"/>
      <c r="E1417" s="2"/>
      <c r="F1417" s="2"/>
      <c r="G1417" s="2"/>
    </row>
    <row r="1418" spans="1:7" ht="12.5">
      <c r="A1418" s="2"/>
      <c r="B1418" s="2"/>
      <c r="C1418" s="2"/>
      <c r="D1418" s="2"/>
      <c r="E1418" s="2"/>
      <c r="F1418" s="2"/>
      <c r="G1418" s="2"/>
    </row>
    <row r="1419" spans="1:7" ht="12.5">
      <c r="A1419" s="2"/>
      <c r="B1419" s="2"/>
      <c r="C1419" s="2"/>
      <c r="D1419" s="2"/>
      <c r="E1419" s="2"/>
      <c r="F1419" s="2"/>
      <c r="G1419" s="2"/>
    </row>
    <row r="1420" spans="1:7" ht="12.5">
      <c r="A1420" s="2"/>
      <c r="B1420" s="2"/>
      <c r="C1420" s="2"/>
      <c r="D1420" s="2"/>
      <c r="E1420" s="2"/>
      <c r="F1420" s="2"/>
      <c r="G1420" s="2"/>
    </row>
    <row r="1421" spans="1:7" ht="12.5">
      <c r="A1421" s="2"/>
      <c r="B1421" s="2"/>
      <c r="C1421" s="2"/>
      <c r="D1421" s="2"/>
      <c r="E1421" s="2"/>
      <c r="F1421" s="2"/>
      <c r="G1421" s="2"/>
    </row>
    <row r="1422" spans="1:7" ht="12.5">
      <c r="A1422" s="2"/>
      <c r="B1422" s="2"/>
      <c r="C1422" s="2"/>
      <c r="D1422" s="2"/>
      <c r="E1422" s="2"/>
      <c r="F1422" s="2"/>
      <c r="G1422" s="2"/>
    </row>
    <row r="1423" spans="1:7" ht="12.5">
      <c r="A1423" s="2"/>
      <c r="B1423" s="2"/>
      <c r="C1423" s="2"/>
      <c r="D1423" s="2"/>
      <c r="E1423" s="2"/>
      <c r="F1423" s="2"/>
      <c r="G1423" s="2"/>
    </row>
    <row r="1424" spans="1:7" ht="12.5">
      <c r="A1424" s="2"/>
      <c r="B1424" s="2"/>
      <c r="C1424" s="2"/>
      <c r="D1424" s="2"/>
      <c r="E1424" s="2"/>
      <c r="F1424" s="2"/>
      <c r="G1424" s="2"/>
    </row>
    <row r="1425" spans="1:7" ht="12.5">
      <c r="A1425" s="2"/>
      <c r="B1425" s="2"/>
      <c r="C1425" s="2"/>
      <c r="D1425" s="2"/>
      <c r="E1425" s="2"/>
      <c r="F1425" s="2"/>
      <c r="G1425" s="2"/>
    </row>
    <row r="1426" spans="1:7" ht="12.5">
      <c r="A1426" s="2"/>
      <c r="B1426" s="2"/>
      <c r="C1426" s="2"/>
      <c r="D1426" s="2"/>
      <c r="E1426" s="2"/>
      <c r="F1426" s="2"/>
      <c r="G1426" s="2"/>
    </row>
    <row r="1427" spans="1:7" ht="12.5">
      <c r="A1427" s="2"/>
      <c r="B1427" s="2"/>
      <c r="C1427" s="2"/>
      <c r="D1427" s="2"/>
      <c r="E1427" s="2"/>
      <c r="F1427" s="2"/>
      <c r="G1427" s="2"/>
    </row>
    <row r="1428" spans="1:7" ht="12.5">
      <c r="A1428" s="2"/>
      <c r="B1428" s="2"/>
      <c r="C1428" s="2"/>
      <c r="D1428" s="2"/>
      <c r="E1428" s="2"/>
      <c r="F1428" s="2"/>
      <c r="G1428" s="2"/>
    </row>
    <row r="1429" spans="1:7" ht="12.5">
      <c r="A1429" s="2"/>
      <c r="B1429" s="2"/>
      <c r="C1429" s="2"/>
      <c r="D1429" s="2"/>
      <c r="E1429" s="2"/>
      <c r="F1429" s="2"/>
      <c r="G1429" s="2"/>
    </row>
    <row r="1430" spans="1:7" ht="12.5">
      <c r="A1430" s="2"/>
      <c r="B1430" s="2"/>
      <c r="C1430" s="2"/>
      <c r="D1430" s="2"/>
      <c r="E1430" s="2"/>
      <c r="F1430" s="2"/>
      <c r="G1430" s="2"/>
    </row>
    <row r="1431" spans="1:7" ht="12.5">
      <c r="A1431" s="2"/>
      <c r="B1431" s="2"/>
      <c r="C1431" s="2"/>
      <c r="D1431" s="2"/>
      <c r="E1431" s="2"/>
      <c r="F1431" s="2"/>
      <c r="G1431" s="2"/>
    </row>
    <row r="1432" spans="1:7" ht="12.5">
      <c r="A1432" s="2"/>
      <c r="B1432" s="2"/>
      <c r="C1432" s="2"/>
      <c r="D1432" s="2"/>
      <c r="E1432" s="2"/>
      <c r="F1432" s="2"/>
      <c r="G1432" s="2"/>
    </row>
    <row r="1433" spans="1:7" ht="12.5">
      <c r="A1433" s="2"/>
      <c r="B1433" s="2"/>
      <c r="C1433" s="2"/>
      <c r="D1433" s="2"/>
      <c r="E1433" s="2"/>
      <c r="F1433" s="2"/>
      <c r="G1433" s="2"/>
    </row>
    <row r="1434" spans="1:7" ht="12.5">
      <c r="A1434" s="2"/>
      <c r="B1434" s="2"/>
      <c r="C1434" s="2"/>
      <c r="D1434" s="2"/>
      <c r="E1434" s="2"/>
      <c r="F1434" s="2"/>
      <c r="G1434" s="2"/>
    </row>
    <row r="1435" spans="1:7" ht="12.5">
      <c r="A1435" s="2"/>
      <c r="B1435" s="2"/>
      <c r="C1435" s="2"/>
      <c r="D1435" s="2"/>
      <c r="E1435" s="2"/>
      <c r="F1435" s="2"/>
      <c r="G1435" s="2"/>
    </row>
    <row r="1436" spans="1:7" ht="12.5">
      <c r="A1436" s="2"/>
      <c r="B1436" s="2"/>
      <c r="C1436" s="2"/>
      <c r="D1436" s="2"/>
      <c r="E1436" s="2"/>
      <c r="F1436" s="2"/>
      <c r="G1436" s="2"/>
    </row>
    <row r="1437" spans="1:7" ht="12.5">
      <c r="A1437" s="2"/>
      <c r="B1437" s="2"/>
      <c r="C1437" s="2"/>
      <c r="D1437" s="2"/>
      <c r="E1437" s="2"/>
      <c r="F1437" s="2"/>
      <c r="G1437" s="2"/>
    </row>
    <row r="1438" spans="1:7" ht="12.5">
      <c r="A1438" s="2"/>
      <c r="B1438" s="2"/>
      <c r="C1438" s="2"/>
      <c r="D1438" s="2"/>
      <c r="E1438" s="2"/>
      <c r="F1438" s="2"/>
      <c r="G1438" s="2"/>
    </row>
    <row r="1439" spans="1:7" ht="12.5">
      <c r="A1439" s="2"/>
      <c r="B1439" s="2"/>
      <c r="C1439" s="2"/>
      <c r="D1439" s="2"/>
      <c r="E1439" s="2"/>
      <c r="F1439" s="2"/>
      <c r="G1439" s="2"/>
    </row>
    <row r="1440" spans="1:7" ht="12.5">
      <c r="A1440" s="2"/>
      <c r="B1440" s="2"/>
      <c r="C1440" s="2"/>
      <c r="D1440" s="2"/>
      <c r="E1440" s="2"/>
      <c r="F1440" s="2"/>
      <c r="G1440" s="2"/>
    </row>
    <row r="1441" spans="1:7" ht="12.5">
      <c r="A1441" s="2"/>
      <c r="B1441" s="2"/>
      <c r="C1441" s="2"/>
      <c r="D1441" s="2"/>
      <c r="E1441" s="2"/>
      <c r="F1441" s="2"/>
      <c r="G1441" s="2"/>
    </row>
    <row r="1442" spans="1:7" ht="12.5">
      <c r="A1442" s="2"/>
      <c r="B1442" s="2"/>
      <c r="C1442" s="2"/>
      <c r="D1442" s="2"/>
      <c r="E1442" s="2"/>
      <c r="F1442" s="2"/>
      <c r="G1442" s="2"/>
    </row>
    <row r="1443" spans="1:7" ht="12.5">
      <c r="A1443" s="2"/>
      <c r="B1443" s="2"/>
      <c r="C1443" s="2"/>
      <c r="D1443" s="2"/>
      <c r="E1443" s="2"/>
      <c r="F1443" s="2"/>
      <c r="G1443" s="2"/>
    </row>
    <row r="1444" spans="1:7" ht="12.5">
      <c r="C1444" s="3"/>
      <c r="F1444" s="3"/>
    </row>
    <row r="1445" spans="1:7" ht="12.5">
      <c r="C1445" s="3"/>
      <c r="F1445" s="3"/>
    </row>
  </sheetData>
  <dataValidations count="1">
    <dataValidation type="list" allowBlank="1" sqref="C1:C1445 F1:F1445" xr:uid="{00000000-0002-0000-0400-000000000000}">
      <formula1>"персоналізована,неперсоналізована"</formula1>
    </dataValidation>
  </dataValidations>
  <hyperlinks>
    <hyperlink ref="B2" r:id="rId1" xr:uid="{00000000-0004-0000-0400-000000000000}"/>
    <hyperlink ref="B3" r:id="rId2" xr:uid="{00000000-0004-0000-0400-000001000000}"/>
    <hyperlink ref="E3" r:id="rId3" xr:uid="{00000000-0004-0000-0400-000002000000}"/>
    <hyperlink ref="B4" r:id="rId4" xr:uid="{00000000-0004-0000-0400-000003000000}"/>
    <hyperlink ref="E4" r:id="rId5" xr:uid="{00000000-0004-0000-0400-000004000000}"/>
    <hyperlink ref="B5" r:id="rId6" xr:uid="{00000000-0004-0000-0400-000005000000}"/>
    <hyperlink ref="B6" r:id="rId7" xr:uid="{00000000-0004-0000-0400-000006000000}"/>
    <hyperlink ref="E6" r:id="rId8" xr:uid="{00000000-0004-0000-0400-000007000000}"/>
    <hyperlink ref="B7" r:id="rId9" xr:uid="{00000000-0004-0000-0400-000008000000}"/>
    <hyperlink ref="E7" r:id="rId10" xr:uid="{00000000-0004-0000-0400-000009000000}"/>
    <hyperlink ref="B8" r:id="rId11" xr:uid="{00000000-0004-0000-0400-00000A000000}"/>
    <hyperlink ref="E8" r:id="rId12" xr:uid="{00000000-0004-0000-0400-00000B000000}"/>
    <hyperlink ref="B9" r:id="rId13" xr:uid="{00000000-0004-0000-0400-00000C000000}"/>
    <hyperlink ref="E9" r:id="rId14" xr:uid="{00000000-0004-0000-0400-00000D000000}"/>
    <hyperlink ref="B10" r:id="rId15" xr:uid="{00000000-0004-0000-0400-00000E000000}"/>
    <hyperlink ref="E10" r:id="rId16" xr:uid="{00000000-0004-0000-0400-00000F000000}"/>
    <hyperlink ref="B11" r:id="rId17" xr:uid="{00000000-0004-0000-0400-000010000000}"/>
    <hyperlink ref="E11" r:id="rId18" xr:uid="{00000000-0004-0000-0400-000011000000}"/>
    <hyperlink ref="B12" r:id="rId19" xr:uid="{00000000-0004-0000-0400-000012000000}"/>
    <hyperlink ref="E12" r:id="rId20" xr:uid="{00000000-0004-0000-0400-000013000000}"/>
    <hyperlink ref="B17" r:id="rId21" xr:uid="{00000000-0004-0000-0400-000014000000}"/>
    <hyperlink ref="B18" r:id="rId22" xr:uid="{00000000-0004-0000-0400-000015000000}"/>
    <hyperlink ref="E18" r:id="rId23" xr:uid="{00000000-0004-0000-0400-000016000000}"/>
    <hyperlink ref="B19" r:id="rId24" xr:uid="{00000000-0004-0000-0400-000017000000}"/>
    <hyperlink ref="B20" r:id="rId25" xr:uid="{00000000-0004-0000-0400-000018000000}"/>
    <hyperlink ref="E20" r:id="rId26" xr:uid="{00000000-0004-0000-0400-000019000000}"/>
    <hyperlink ref="B21" r:id="rId27" xr:uid="{00000000-0004-0000-0400-00001A000000}"/>
    <hyperlink ref="B22" r:id="rId28" xr:uid="{00000000-0004-0000-0400-00001B000000}"/>
    <hyperlink ref="E22" r:id="rId29" xr:uid="{00000000-0004-0000-0400-00001C000000}"/>
    <hyperlink ref="B23" r:id="rId30" xr:uid="{00000000-0004-0000-0400-00001D000000}"/>
    <hyperlink ref="E23" r:id="rId31" xr:uid="{00000000-0004-0000-0400-00001E000000}"/>
    <hyperlink ref="B24" r:id="rId32" xr:uid="{00000000-0004-0000-0400-00001F000000}"/>
    <hyperlink ref="E24" r:id="rId33" xr:uid="{00000000-0004-0000-0400-000020000000}"/>
    <hyperlink ref="B25" r:id="rId34" xr:uid="{00000000-0004-0000-0400-000021000000}"/>
    <hyperlink ref="E25" r:id="rId35" xr:uid="{00000000-0004-0000-0400-000022000000}"/>
    <hyperlink ref="B26" r:id="rId36" xr:uid="{00000000-0004-0000-0400-000023000000}"/>
    <hyperlink ref="E26" r:id="rId37" xr:uid="{00000000-0004-0000-0400-000024000000}"/>
    <hyperlink ref="B27" r:id="rId38" xr:uid="{00000000-0004-0000-0400-000025000000}"/>
    <hyperlink ref="B28" r:id="rId39" xr:uid="{00000000-0004-0000-0400-000026000000}"/>
    <hyperlink ref="B29" r:id="rId40" xr:uid="{00000000-0004-0000-0400-000027000000}"/>
    <hyperlink ref="E29" r:id="rId41" xr:uid="{00000000-0004-0000-0400-000028000000}"/>
    <hyperlink ref="B30" r:id="rId42" xr:uid="{00000000-0004-0000-0400-000029000000}"/>
    <hyperlink ref="E30" r:id="rId43" xr:uid="{00000000-0004-0000-0400-00002A000000}"/>
    <hyperlink ref="B31" r:id="rId44" xr:uid="{00000000-0004-0000-0400-00002B000000}"/>
    <hyperlink ref="E31" r:id="rId45" xr:uid="{00000000-0004-0000-0400-00002C000000}"/>
    <hyperlink ref="B32" r:id="rId46" xr:uid="{00000000-0004-0000-0400-00002D000000}"/>
    <hyperlink ref="E32" r:id="rId47" xr:uid="{00000000-0004-0000-0400-00002E000000}"/>
    <hyperlink ref="B33" r:id="rId48" xr:uid="{00000000-0004-0000-0400-00002F000000}"/>
    <hyperlink ref="E33" r:id="rId49" xr:uid="{00000000-0004-0000-0400-000030000000}"/>
    <hyperlink ref="B34" r:id="rId50" xr:uid="{00000000-0004-0000-0400-000031000000}"/>
    <hyperlink ref="E34" r:id="rId51" xr:uid="{00000000-0004-0000-0400-000032000000}"/>
    <hyperlink ref="B35" r:id="rId52" xr:uid="{00000000-0004-0000-0400-000033000000}"/>
    <hyperlink ref="E35" r:id="rId53" xr:uid="{00000000-0004-0000-0400-000034000000}"/>
    <hyperlink ref="B36" r:id="rId54" xr:uid="{00000000-0004-0000-0400-000035000000}"/>
    <hyperlink ref="E36" r:id="rId55" xr:uid="{00000000-0004-0000-0400-000036000000}"/>
    <hyperlink ref="B37" r:id="rId56" xr:uid="{00000000-0004-0000-0400-000037000000}"/>
    <hyperlink ref="E37" r:id="rId57" xr:uid="{00000000-0004-0000-0400-000038000000}"/>
    <hyperlink ref="B38" r:id="rId58" xr:uid="{00000000-0004-0000-0400-000039000000}"/>
    <hyperlink ref="E38" r:id="rId59" xr:uid="{00000000-0004-0000-0400-00003A000000}"/>
    <hyperlink ref="B39" r:id="rId60" xr:uid="{00000000-0004-0000-0400-00003B000000}"/>
    <hyperlink ref="B40" r:id="rId61" xr:uid="{00000000-0004-0000-0400-00003C000000}"/>
    <hyperlink ref="E40" r:id="rId62" xr:uid="{00000000-0004-0000-0400-00003D000000}"/>
    <hyperlink ref="B41" r:id="rId63" xr:uid="{00000000-0004-0000-0400-00003E000000}"/>
    <hyperlink ref="E41" r:id="rId64" xr:uid="{00000000-0004-0000-0400-00003F000000}"/>
    <hyperlink ref="B42" r:id="rId65" xr:uid="{00000000-0004-0000-0400-000040000000}"/>
    <hyperlink ref="E42" r:id="rId66" xr:uid="{00000000-0004-0000-0400-000041000000}"/>
    <hyperlink ref="B43" r:id="rId67" xr:uid="{00000000-0004-0000-0400-000042000000}"/>
    <hyperlink ref="E43" r:id="rId68" xr:uid="{00000000-0004-0000-0400-000043000000}"/>
    <hyperlink ref="B44" r:id="rId69" xr:uid="{00000000-0004-0000-0400-000044000000}"/>
    <hyperlink ref="B45" r:id="rId70" xr:uid="{00000000-0004-0000-0400-000045000000}"/>
    <hyperlink ref="E45" r:id="rId71" xr:uid="{00000000-0004-0000-0400-000046000000}"/>
    <hyperlink ref="B46" r:id="rId72" xr:uid="{00000000-0004-0000-0400-000047000000}"/>
    <hyperlink ref="E46" r:id="rId73" xr:uid="{00000000-0004-0000-0400-000048000000}"/>
    <hyperlink ref="B47" r:id="rId74" xr:uid="{00000000-0004-0000-0400-000049000000}"/>
    <hyperlink ref="E47" r:id="rId75" xr:uid="{00000000-0004-0000-0400-00004A000000}"/>
    <hyperlink ref="B48" r:id="rId76" xr:uid="{00000000-0004-0000-0400-00004B000000}"/>
    <hyperlink ref="E48" r:id="rId77" xr:uid="{00000000-0004-0000-0400-00004C000000}"/>
    <hyperlink ref="B49" r:id="rId78" xr:uid="{00000000-0004-0000-0400-00004D000000}"/>
    <hyperlink ref="E49" r:id="rId79" xr:uid="{00000000-0004-0000-0400-00004E000000}"/>
    <hyperlink ref="B50" r:id="rId80" xr:uid="{00000000-0004-0000-0400-00004F000000}"/>
    <hyperlink ref="E50" r:id="rId81" xr:uid="{00000000-0004-0000-0400-000050000000}"/>
    <hyperlink ref="B51" r:id="rId82" xr:uid="{00000000-0004-0000-0400-000051000000}"/>
    <hyperlink ref="E51" r:id="rId83" xr:uid="{00000000-0004-0000-0400-000052000000}"/>
    <hyperlink ref="B52" r:id="rId84" xr:uid="{00000000-0004-0000-0400-000053000000}"/>
    <hyperlink ref="E52" r:id="rId85" xr:uid="{00000000-0004-0000-0400-000054000000}"/>
    <hyperlink ref="B53" r:id="rId86" xr:uid="{00000000-0004-0000-0400-000055000000}"/>
    <hyperlink ref="E53" r:id="rId87" xr:uid="{00000000-0004-0000-0400-000056000000}"/>
    <hyperlink ref="B54" r:id="rId88" xr:uid="{00000000-0004-0000-0400-000057000000}"/>
    <hyperlink ref="E54" r:id="rId89" xr:uid="{00000000-0004-0000-0400-000058000000}"/>
    <hyperlink ref="B55" r:id="rId90" xr:uid="{00000000-0004-0000-0400-000059000000}"/>
    <hyperlink ref="B56" r:id="rId91" xr:uid="{00000000-0004-0000-0400-00005A000000}"/>
    <hyperlink ref="E56" r:id="rId92" xr:uid="{00000000-0004-0000-0400-00005B000000}"/>
    <hyperlink ref="B57" r:id="rId93" xr:uid="{00000000-0004-0000-0400-00005C000000}"/>
    <hyperlink ref="B58" r:id="rId94" xr:uid="{00000000-0004-0000-0400-00005D000000}"/>
    <hyperlink ref="E58" r:id="rId95" xr:uid="{00000000-0004-0000-0400-00005E000000}"/>
    <hyperlink ref="B59" r:id="rId96" xr:uid="{00000000-0004-0000-0400-00005F000000}"/>
    <hyperlink ref="B60" r:id="rId97" xr:uid="{00000000-0004-0000-0400-000060000000}"/>
    <hyperlink ref="E60" r:id="rId98" xr:uid="{00000000-0004-0000-0400-000061000000}"/>
    <hyperlink ref="B61" r:id="rId99" xr:uid="{00000000-0004-0000-0400-000062000000}"/>
    <hyperlink ref="B62" r:id="rId100" xr:uid="{00000000-0004-0000-0400-000063000000}"/>
    <hyperlink ref="E62" r:id="rId101" xr:uid="{00000000-0004-0000-0400-000064000000}"/>
    <hyperlink ref="B63" r:id="rId102" xr:uid="{00000000-0004-0000-0400-000065000000}"/>
    <hyperlink ref="E63" r:id="rId103" xr:uid="{00000000-0004-0000-0400-000066000000}"/>
    <hyperlink ref="B64" r:id="rId104" xr:uid="{00000000-0004-0000-0400-000067000000}"/>
    <hyperlink ref="B65" r:id="rId105" xr:uid="{00000000-0004-0000-0400-000068000000}"/>
    <hyperlink ref="E65" r:id="rId106" xr:uid="{00000000-0004-0000-0400-000069000000}"/>
    <hyperlink ref="B66" r:id="rId107" xr:uid="{00000000-0004-0000-0400-00006A000000}"/>
    <hyperlink ref="B67" r:id="rId108" xr:uid="{00000000-0004-0000-0400-00006B000000}"/>
    <hyperlink ref="E67" r:id="rId109" xr:uid="{00000000-0004-0000-0400-00006C000000}"/>
    <hyperlink ref="B68" r:id="rId110" xr:uid="{00000000-0004-0000-0400-00006D000000}"/>
    <hyperlink ref="E68" r:id="rId111" xr:uid="{00000000-0004-0000-0400-00006E000000}"/>
    <hyperlink ref="B69" r:id="rId112" xr:uid="{00000000-0004-0000-0400-00006F000000}"/>
    <hyperlink ref="B70" r:id="rId113" xr:uid="{00000000-0004-0000-0400-000070000000}"/>
    <hyperlink ref="E70" r:id="rId114" xr:uid="{00000000-0004-0000-0400-000071000000}"/>
    <hyperlink ref="B71" r:id="rId115" xr:uid="{00000000-0004-0000-0400-000072000000}"/>
    <hyperlink ref="E71" r:id="rId116" xr:uid="{00000000-0004-0000-0400-000073000000}"/>
    <hyperlink ref="B72" r:id="rId117" xr:uid="{00000000-0004-0000-0400-000074000000}"/>
    <hyperlink ref="E72" r:id="rId118" xr:uid="{00000000-0004-0000-0400-000075000000}"/>
    <hyperlink ref="B73" r:id="rId119" xr:uid="{00000000-0004-0000-0400-000076000000}"/>
    <hyperlink ref="B74" r:id="rId120" xr:uid="{00000000-0004-0000-0400-000077000000}"/>
    <hyperlink ref="E74" r:id="rId121" xr:uid="{00000000-0004-0000-0400-000078000000}"/>
    <hyperlink ref="B75" r:id="rId122" xr:uid="{00000000-0004-0000-0400-000079000000}"/>
    <hyperlink ref="E75" r:id="rId123" xr:uid="{00000000-0004-0000-0400-00007A000000}"/>
    <hyperlink ref="B76" r:id="rId124" xr:uid="{00000000-0004-0000-0400-00007B000000}"/>
    <hyperlink ref="E76" r:id="rId125" xr:uid="{00000000-0004-0000-0400-00007C000000}"/>
    <hyperlink ref="B77" r:id="rId126" xr:uid="{00000000-0004-0000-0400-00007D000000}"/>
    <hyperlink ref="E77" r:id="rId127" xr:uid="{00000000-0004-0000-0400-00007E000000}"/>
    <hyperlink ref="B78" r:id="rId128" xr:uid="{00000000-0004-0000-0400-00007F000000}"/>
    <hyperlink ref="E78" r:id="rId129" xr:uid="{00000000-0004-0000-0400-000080000000}"/>
    <hyperlink ref="B79" r:id="rId130" xr:uid="{00000000-0004-0000-0400-000081000000}"/>
    <hyperlink ref="E79" r:id="rId131" xr:uid="{00000000-0004-0000-0400-000082000000}"/>
    <hyperlink ref="B80" r:id="rId132" xr:uid="{00000000-0004-0000-0400-000083000000}"/>
    <hyperlink ref="E80" r:id="rId133" xr:uid="{00000000-0004-0000-0400-000084000000}"/>
    <hyperlink ref="B81" r:id="rId134" xr:uid="{00000000-0004-0000-0400-000085000000}"/>
    <hyperlink ref="E81" r:id="rId135" xr:uid="{00000000-0004-0000-0400-000086000000}"/>
    <hyperlink ref="B82" r:id="rId136" xr:uid="{00000000-0004-0000-0400-000087000000}"/>
    <hyperlink ref="B83" r:id="rId137" xr:uid="{00000000-0004-0000-0400-000088000000}"/>
    <hyperlink ref="E83" r:id="rId138" xr:uid="{00000000-0004-0000-0400-000089000000}"/>
    <hyperlink ref="B84" r:id="rId139" xr:uid="{00000000-0004-0000-0400-00008A000000}"/>
    <hyperlink ref="B85" r:id="rId140" xr:uid="{00000000-0004-0000-0400-00008B000000}"/>
    <hyperlink ref="E85" r:id="rId141" xr:uid="{00000000-0004-0000-0400-00008C000000}"/>
    <hyperlink ref="B86" r:id="rId142" xr:uid="{00000000-0004-0000-0400-00008D000000}"/>
    <hyperlink ref="E86" r:id="rId143" xr:uid="{00000000-0004-0000-0400-00008E000000}"/>
    <hyperlink ref="B87" r:id="rId144" xr:uid="{00000000-0004-0000-0400-00008F000000}"/>
    <hyperlink ref="B88" r:id="rId145" xr:uid="{00000000-0004-0000-0400-000090000000}"/>
    <hyperlink ref="E88" r:id="rId146" xr:uid="{00000000-0004-0000-0400-000091000000}"/>
    <hyperlink ref="B89" r:id="rId147" xr:uid="{00000000-0004-0000-0400-000092000000}"/>
    <hyperlink ref="E89" r:id="rId148" xr:uid="{00000000-0004-0000-0400-000093000000}"/>
    <hyperlink ref="B90" r:id="rId149" xr:uid="{00000000-0004-0000-0400-000094000000}"/>
    <hyperlink ref="B91" r:id="rId150" xr:uid="{00000000-0004-0000-0400-000095000000}"/>
    <hyperlink ref="E91" r:id="rId151" xr:uid="{00000000-0004-0000-0400-000096000000}"/>
    <hyperlink ref="B92" r:id="rId152" xr:uid="{00000000-0004-0000-0400-000097000000}"/>
    <hyperlink ref="E92" r:id="rId153" xr:uid="{00000000-0004-0000-0400-000098000000}"/>
    <hyperlink ref="B93" r:id="rId154" xr:uid="{00000000-0004-0000-0400-000099000000}"/>
    <hyperlink ref="B94" r:id="rId155" xr:uid="{00000000-0004-0000-0400-00009A000000}"/>
    <hyperlink ref="E94" r:id="rId156" xr:uid="{00000000-0004-0000-0400-00009B000000}"/>
    <hyperlink ref="B95" r:id="rId157" xr:uid="{00000000-0004-0000-0400-00009C000000}"/>
    <hyperlink ref="E95" r:id="rId158" xr:uid="{00000000-0004-0000-0400-00009D000000}"/>
    <hyperlink ref="B96" r:id="rId159" xr:uid="{00000000-0004-0000-0400-00009E000000}"/>
    <hyperlink ref="E96" r:id="rId160" xr:uid="{00000000-0004-0000-0400-00009F000000}"/>
    <hyperlink ref="B97" r:id="rId161" xr:uid="{00000000-0004-0000-0400-0000A0000000}"/>
    <hyperlink ref="E97" r:id="rId162" xr:uid="{00000000-0004-0000-0400-0000A1000000}"/>
    <hyperlink ref="B98" r:id="rId163" xr:uid="{00000000-0004-0000-0400-0000A2000000}"/>
    <hyperlink ref="B99" r:id="rId164" xr:uid="{00000000-0004-0000-0400-0000A3000000}"/>
    <hyperlink ref="E99" r:id="rId165" xr:uid="{00000000-0004-0000-0400-0000A4000000}"/>
    <hyperlink ref="B100" r:id="rId166" xr:uid="{00000000-0004-0000-0400-0000A5000000}"/>
    <hyperlink ref="B101" r:id="rId167" xr:uid="{00000000-0004-0000-0400-0000A6000000}"/>
    <hyperlink ref="E101" r:id="rId168" xr:uid="{00000000-0004-0000-0400-0000A7000000}"/>
    <hyperlink ref="B102" r:id="rId169" xr:uid="{00000000-0004-0000-0400-0000A8000000}"/>
    <hyperlink ref="B103" r:id="rId170" xr:uid="{00000000-0004-0000-0400-0000A9000000}"/>
    <hyperlink ref="E103" r:id="rId171" xr:uid="{00000000-0004-0000-0400-0000AA000000}"/>
    <hyperlink ref="B104" r:id="rId172" xr:uid="{00000000-0004-0000-0400-0000AB000000}"/>
    <hyperlink ref="E104" r:id="rId173" xr:uid="{00000000-0004-0000-0400-0000AC000000}"/>
    <hyperlink ref="B105" r:id="rId174" xr:uid="{00000000-0004-0000-0400-0000AD000000}"/>
    <hyperlink ref="E105" r:id="rId175" xr:uid="{00000000-0004-0000-0400-0000AE000000}"/>
    <hyperlink ref="B106" r:id="rId176" xr:uid="{00000000-0004-0000-0400-0000AF000000}"/>
    <hyperlink ref="B107" r:id="rId177" xr:uid="{00000000-0004-0000-0400-0000B0000000}"/>
    <hyperlink ref="E107" r:id="rId178" xr:uid="{00000000-0004-0000-0400-0000B1000000}"/>
    <hyperlink ref="B108" r:id="rId179" xr:uid="{00000000-0004-0000-0400-0000B2000000}"/>
    <hyperlink ref="B109" r:id="rId180" xr:uid="{00000000-0004-0000-0400-0000B3000000}"/>
    <hyperlink ref="B110" r:id="rId181" xr:uid="{00000000-0004-0000-0400-0000B4000000}"/>
    <hyperlink ref="E110" r:id="rId182" xr:uid="{00000000-0004-0000-0400-0000B5000000}"/>
    <hyperlink ref="B111" r:id="rId183" xr:uid="{00000000-0004-0000-0400-0000B6000000}"/>
    <hyperlink ref="E111" r:id="rId184" xr:uid="{00000000-0004-0000-0400-0000B7000000}"/>
    <hyperlink ref="B112" r:id="rId185" xr:uid="{00000000-0004-0000-0400-0000B8000000}"/>
    <hyperlink ref="E112" r:id="rId186" xr:uid="{00000000-0004-0000-0400-0000B9000000}"/>
    <hyperlink ref="B113" r:id="rId187" xr:uid="{00000000-0004-0000-0400-0000BA000000}"/>
    <hyperlink ref="B114" r:id="rId188" xr:uid="{00000000-0004-0000-0400-0000BB000000}"/>
    <hyperlink ref="E114" r:id="rId189" xr:uid="{00000000-0004-0000-0400-0000BC000000}"/>
    <hyperlink ref="B115" r:id="rId190" xr:uid="{00000000-0004-0000-0400-0000BD000000}"/>
    <hyperlink ref="E115" r:id="rId191" xr:uid="{00000000-0004-0000-0400-0000BE000000}"/>
    <hyperlink ref="B116" r:id="rId192" xr:uid="{00000000-0004-0000-0400-0000BF000000}"/>
    <hyperlink ref="B117" r:id="rId193" xr:uid="{00000000-0004-0000-0400-0000C0000000}"/>
    <hyperlink ref="E117" r:id="rId194" xr:uid="{00000000-0004-0000-0400-0000C1000000}"/>
    <hyperlink ref="B118" r:id="rId195" xr:uid="{00000000-0004-0000-0400-0000C2000000}"/>
    <hyperlink ref="B119" r:id="rId196" xr:uid="{00000000-0004-0000-0400-0000C3000000}"/>
    <hyperlink ref="E119" r:id="rId197" xr:uid="{00000000-0004-0000-0400-0000C4000000}"/>
    <hyperlink ref="B120" r:id="rId198" xr:uid="{00000000-0004-0000-0400-0000C5000000}"/>
    <hyperlink ref="B121" r:id="rId199" xr:uid="{00000000-0004-0000-0400-0000C6000000}"/>
    <hyperlink ref="B122" r:id="rId200" xr:uid="{00000000-0004-0000-0400-0000C7000000}"/>
    <hyperlink ref="B123" r:id="rId201" xr:uid="{00000000-0004-0000-0400-0000C8000000}"/>
    <hyperlink ref="B124" r:id="rId202" xr:uid="{00000000-0004-0000-0400-0000C9000000}"/>
    <hyperlink ref="B125" r:id="rId203" xr:uid="{00000000-0004-0000-0400-0000C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K1001"/>
  <sheetViews>
    <sheetView workbookViewId="0">
      <pane ySplit="1" topLeftCell="A2" activePane="bottomLeft" state="frozen"/>
      <selection pane="bottomLeft" activeCell="B3" sqref="B3"/>
    </sheetView>
  </sheetViews>
  <sheetFormatPr defaultColWidth="12.6328125" defaultRowHeight="15.75" customHeight="1"/>
  <cols>
    <col min="2" max="2" width="32.36328125" customWidth="1"/>
    <col min="3" max="3" width="17.26953125" customWidth="1"/>
    <col min="9" max="9" width="40.453125" customWidth="1"/>
    <col min="12" max="12" width="16.6328125" customWidth="1"/>
    <col min="15" max="15" width="18.26953125" customWidth="1"/>
    <col min="16" max="16" width="18.90625" customWidth="1"/>
    <col min="17" max="21" width="16" customWidth="1"/>
    <col min="22" max="22" width="43.90625" customWidth="1"/>
    <col min="34" max="34" width="17.7265625" customWidth="1"/>
  </cols>
  <sheetData>
    <row r="1" spans="1:37" ht="64.5" customHeight="1">
      <c r="A1" s="34" t="s">
        <v>1</v>
      </c>
      <c r="B1" s="34" t="s">
        <v>3</v>
      </c>
      <c r="C1" s="34" t="s">
        <v>2</v>
      </c>
      <c r="D1" s="34" t="s">
        <v>7585</v>
      </c>
      <c r="E1" s="34" t="s">
        <v>7586</v>
      </c>
      <c r="F1" s="34" t="s">
        <v>6</v>
      </c>
      <c r="G1" s="34" t="s">
        <v>7</v>
      </c>
      <c r="H1" s="34" t="s">
        <v>7587</v>
      </c>
      <c r="I1" s="34" t="s">
        <v>7588</v>
      </c>
      <c r="J1" s="34" t="s">
        <v>7589</v>
      </c>
      <c r="K1" s="34" t="s">
        <v>7590</v>
      </c>
      <c r="L1" s="34" t="s">
        <v>7591</v>
      </c>
      <c r="M1" s="34" t="s">
        <v>7592</v>
      </c>
      <c r="N1" s="34" t="s">
        <v>7593</v>
      </c>
      <c r="O1" s="34" t="s">
        <v>7594</v>
      </c>
      <c r="P1" s="34" t="s">
        <v>7595</v>
      </c>
      <c r="Q1" s="34" t="s">
        <v>7596</v>
      </c>
      <c r="R1" s="34" t="s">
        <v>7597</v>
      </c>
      <c r="S1" s="34" t="s">
        <v>7598</v>
      </c>
      <c r="T1" s="34" t="s">
        <v>7599</v>
      </c>
      <c r="U1" s="34" t="s">
        <v>7597</v>
      </c>
      <c r="V1" s="53" t="s">
        <v>7600</v>
      </c>
      <c r="W1" s="34"/>
      <c r="X1" s="34"/>
      <c r="Y1" s="34"/>
      <c r="Z1" s="34"/>
      <c r="AA1" s="34"/>
      <c r="AB1" s="34"/>
      <c r="AC1" s="34"/>
      <c r="AD1" s="34"/>
      <c r="AE1" s="34"/>
      <c r="AF1" s="34"/>
      <c r="AG1" s="34"/>
      <c r="AH1" s="34"/>
      <c r="AI1" s="34"/>
      <c r="AJ1" s="34"/>
      <c r="AK1" s="34"/>
    </row>
    <row r="2" spans="1:37" ht="41.25" customHeight="1">
      <c r="A2" s="3" t="s">
        <v>7601</v>
      </c>
      <c r="B2" s="44" t="s">
        <v>2653</v>
      </c>
      <c r="C2" s="3" t="s">
        <v>2649</v>
      </c>
      <c r="D2" s="3" t="s">
        <v>7602</v>
      </c>
      <c r="E2" s="54">
        <v>2020</v>
      </c>
      <c r="F2" s="3">
        <v>37</v>
      </c>
      <c r="G2" s="54">
        <v>1295.8</v>
      </c>
      <c r="H2" s="55" t="s">
        <v>7603</v>
      </c>
      <c r="I2" s="2" t="s">
        <v>7604</v>
      </c>
      <c r="J2" s="2" t="s">
        <v>7605</v>
      </c>
      <c r="K2" s="56">
        <v>44171</v>
      </c>
      <c r="L2" s="3" t="s">
        <v>3482</v>
      </c>
      <c r="M2" s="3" t="s">
        <v>3482</v>
      </c>
      <c r="N2" s="3">
        <v>0</v>
      </c>
      <c r="O2" s="3" t="s">
        <v>3482</v>
      </c>
      <c r="P2" s="3" t="s">
        <v>3482</v>
      </c>
      <c r="Q2" s="3" t="s">
        <v>3482</v>
      </c>
      <c r="R2" s="2" t="s">
        <v>3482</v>
      </c>
      <c r="S2" s="3" t="s">
        <v>3482</v>
      </c>
      <c r="T2" s="33" t="s">
        <v>7606</v>
      </c>
    </row>
    <row r="3" spans="1:37" ht="225">
      <c r="A3" s="3" t="s">
        <v>7601</v>
      </c>
      <c r="B3" s="3" t="s">
        <v>1880</v>
      </c>
      <c r="C3" s="3" t="s">
        <v>2700</v>
      </c>
      <c r="D3" s="3" t="s">
        <v>32</v>
      </c>
      <c r="E3" s="54">
        <v>2020</v>
      </c>
      <c r="F3" s="54">
        <v>60</v>
      </c>
      <c r="G3" s="54" t="s">
        <v>7607</v>
      </c>
      <c r="H3" s="3">
        <v>19392</v>
      </c>
      <c r="I3" s="2" t="s">
        <v>7608</v>
      </c>
      <c r="J3" s="2"/>
      <c r="K3" s="56">
        <v>44172</v>
      </c>
      <c r="L3" s="3" t="s">
        <v>3482</v>
      </c>
      <c r="M3" s="3" t="s">
        <v>3482</v>
      </c>
      <c r="N3" s="3">
        <v>0</v>
      </c>
      <c r="O3" s="3" t="s">
        <v>3482</v>
      </c>
      <c r="P3" s="3" t="s">
        <v>3482</v>
      </c>
      <c r="Q3" s="3" t="s">
        <v>3482</v>
      </c>
      <c r="R3" s="2" t="s">
        <v>3482</v>
      </c>
      <c r="S3" s="3" t="s">
        <v>3482</v>
      </c>
      <c r="T3" s="33" t="s">
        <v>7609</v>
      </c>
    </row>
    <row r="4" spans="1:37" ht="50.5">
      <c r="A4" s="3" t="s">
        <v>7601</v>
      </c>
      <c r="B4" s="3" t="s">
        <v>7610</v>
      </c>
      <c r="C4" s="3" t="s">
        <v>2772</v>
      </c>
      <c r="D4" s="3" t="s">
        <v>32</v>
      </c>
      <c r="E4" s="54">
        <v>2020</v>
      </c>
      <c r="F4" s="35">
        <v>20</v>
      </c>
      <c r="G4" s="54" t="s">
        <v>7611</v>
      </c>
      <c r="H4" s="35" t="s">
        <v>7612</v>
      </c>
      <c r="I4" s="57" t="s">
        <v>7613</v>
      </c>
      <c r="J4" s="2"/>
      <c r="K4" s="56">
        <v>44173</v>
      </c>
      <c r="L4" s="3" t="s">
        <v>7614</v>
      </c>
      <c r="M4" s="3" t="s">
        <v>7615</v>
      </c>
      <c r="N4" s="3">
        <v>0</v>
      </c>
      <c r="O4" s="58" t="s">
        <v>3482</v>
      </c>
      <c r="P4" s="3" t="s">
        <v>3482</v>
      </c>
      <c r="Q4" s="3" t="s">
        <v>7616</v>
      </c>
      <c r="R4" s="2" t="s">
        <v>7617</v>
      </c>
      <c r="S4" s="3" t="s">
        <v>7618</v>
      </c>
      <c r="T4" s="33" t="s">
        <v>7619</v>
      </c>
    </row>
    <row r="5" spans="1:37" ht="50">
      <c r="A5" s="3" t="s">
        <v>7601</v>
      </c>
      <c r="B5" s="3" t="s">
        <v>7620</v>
      </c>
      <c r="C5" s="3" t="s">
        <v>2732</v>
      </c>
      <c r="D5" s="3" t="s">
        <v>20</v>
      </c>
      <c r="E5" s="54">
        <v>2020</v>
      </c>
      <c r="F5" s="54">
        <v>9</v>
      </c>
      <c r="G5" s="54">
        <v>131.69999999999999</v>
      </c>
      <c r="H5" s="54">
        <v>25713</v>
      </c>
      <c r="I5" s="2" t="s">
        <v>7621</v>
      </c>
      <c r="J5" s="2" t="s">
        <v>7622</v>
      </c>
      <c r="K5" s="56">
        <v>44174</v>
      </c>
      <c r="L5" s="3" t="s">
        <v>7623</v>
      </c>
      <c r="M5" s="3" t="s">
        <v>7624</v>
      </c>
      <c r="N5" s="3" t="s">
        <v>3482</v>
      </c>
      <c r="O5" s="3" t="s">
        <v>3482</v>
      </c>
      <c r="P5" s="3" t="s">
        <v>3482</v>
      </c>
      <c r="Q5" s="3" t="s">
        <v>7625</v>
      </c>
      <c r="R5" s="2" t="s">
        <v>7626</v>
      </c>
      <c r="S5" s="3" t="s">
        <v>7627</v>
      </c>
      <c r="T5" s="33" t="s">
        <v>7628</v>
      </c>
    </row>
    <row r="6" spans="1:37" ht="75.5">
      <c r="A6" s="3" t="s">
        <v>7601</v>
      </c>
      <c r="B6" s="3" t="s">
        <v>7629</v>
      </c>
      <c r="C6" s="3" t="s">
        <v>2649</v>
      </c>
      <c r="D6" s="3" t="s">
        <v>28</v>
      </c>
      <c r="E6" s="54">
        <v>2020</v>
      </c>
      <c r="F6" s="3">
        <v>27</v>
      </c>
      <c r="G6" s="54" t="s">
        <v>7630</v>
      </c>
      <c r="H6" s="35" t="s">
        <v>7631</v>
      </c>
      <c r="I6" s="2" t="s">
        <v>7632</v>
      </c>
      <c r="J6" s="2" t="s">
        <v>3482</v>
      </c>
      <c r="K6" s="56">
        <v>44175</v>
      </c>
      <c r="L6" s="59" t="s">
        <v>7633</v>
      </c>
      <c r="M6" s="3" t="s">
        <v>7634</v>
      </c>
      <c r="N6" s="3" t="s">
        <v>3482</v>
      </c>
      <c r="O6" s="3" t="s">
        <v>3482</v>
      </c>
      <c r="P6" s="3" t="s">
        <v>3482</v>
      </c>
      <c r="Q6" s="3">
        <v>5</v>
      </c>
      <c r="R6" s="2" t="s">
        <v>7635</v>
      </c>
      <c r="S6" s="3" t="s">
        <v>7636</v>
      </c>
      <c r="T6" s="27" t="s">
        <v>7637</v>
      </c>
    </row>
    <row r="7" spans="1:37" ht="28">
      <c r="A7" s="3" t="s">
        <v>7601</v>
      </c>
      <c r="B7" s="3" t="s">
        <v>7638</v>
      </c>
      <c r="C7" s="3" t="s">
        <v>7639</v>
      </c>
      <c r="D7" s="3" t="s">
        <v>7640</v>
      </c>
      <c r="E7" s="54">
        <v>2020</v>
      </c>
      <c r="F7" s="54">
        <v>8</v>
      </c>
      <c r="G7" s="54">
        <v>78.900000000000006</v>
      </c>
      <c r="H7" s="3">
        <v>27040</v>
      </c>
      <c r="I7" s="2" t="s">
        <v>7641</v>
      </c>
      <c r="J7" s="2" t="s">
        <v>3482</v>
      </c>
      <c r="K7" s="56">
        <v>44176</v>
      </c>
      <c r="L7" s="3" t="s">
        <v>7642</v>
      </c>
      <c r="M7" s="3" t="s">
        <v>7643</v>
      </c>
      <c r="N7" s="3" t="s">
        <v>3482</v>
      </c>
      <c r="O7" s="3" t="s">
        <v>3482</v>
      </c>
      <c r="P7" s="3" t="s">
        <v>3482</v>
      </c>
      <c r="Q7" s="3">
        <v>1</v>
      </c>
      <c r="R7" s="60" t="s">
        <v>7644</v>
      </c>
      <c r="S7" s="3" t="s">
        <v>4179</v>
      </c>
      <c r="T7" s="33" t="s">
        <v>7645</v>
      </c>
    </row>
    <row r="8" spans="1:37" ht="196">
      <c r="A8" s="3" t="s">
        <v>7601</v>
      </c>
      <c r="B8" s="3" t="s">
        <v>7646</v>
      </c>
      <c r="C8" s="3" t="s">
        <v>7647</v>
      </c>
      <c r="D8" s="3" t="s">
        <v>7640</v>
      </c>
      <c r="E8" s="54">
        <v>2020</v>
      </c>
      <c r="F8" s="3">
        <v>51</v>
      </c>
      <c r="G8" s="54" t="s">
        <v>7648</v>
      </c>
      <c r="H8" s="35" t="s">
        <v>7649</v>
      </c>
      <c r="I8" s="57" t="s">
        <v>7650</v>
      </c>
      <c r="J8" s="2" t="s">
        <v>3482</v>
      </c>
      <c r="K8" s="56">
        <v>44177</v>
      </c>
      <c r="L8" s="3" t="s">
        <v>7651</v>
      </c>
      <c r="M8" s="3">
        <v>6984</v>
      </c>
      <c r="N8" s="3" t="s">
        <v>3482</v>
      </c>
      <c r="O8" s="3" t="s">
        <v>3482</v>
      </c>
      <c r="P8" s="3" t="s">
        <v>3482</v>
      </c>
      <c r="Q8" s="3">
        <v>10</v>
      </c>
      <c r="R8" s="61" t="s">
        <v>7652</v>
      </c>
      <c r="S8" s="3" t="s">
        <v>7636</v>
      </c>
      <c r="T8" s="33" t="s">
        <v>7653</v>
      </c>
    </row>
    <row r="9" spans="1:37" ht="26">
      <c r="A9" s="3" t="s">
        <v>7601</v>
      </c>
      <c r="B9" s="44" t="s">
        <v>7654</v>
      </c>
      <c r="C9" s="3" t="s">
        <v>7655</v>
      </c>
      <c r="D9" s="3" t="s">
        <v>7656</v>
      </c>
      <c r="E9" s="54">
        <v>2020</v>
      </c>
      <c r="F9" s="54">
        <v>16</v>
      </c>
      <c r="G9" s="54">
        <v>414.7</v>
      </c>
      <c r="H9" s="62">
        <v>49052</v>
      </c>
      <c r="I9" s="2" t="s">
        <v>7657</v>
      </c>
      <c r="J9" s="2" t="s">
        <v>7658</v>
      </c>
      <c r="K9" s="56">
        <v>44178</v>
      </c>
      <c r="L9" s="3" t="s">
        <v>7659</v>
      </c>
      <c r="M9" s="3" t="s">
        <v>3482</v>
      </c>
      <c r="N9" s="3" t="s">
        <v>3482</v>
      </c>
      <c r="O9" s="3" t="s">
        <v>3482</v>
      </c>
      <c r="P9" s="3" t="s">
        <v>3482</v>
      </c>
      <c r="Q9" s="32">
        <v>2</v>
      </c>
      <c r="R9" s="2" t="s">
        <v>7660</v>
      </c>
      <c r="S9" s="3" t="s">
        <v>7636</v>
      </c>
      <c r="T9" s="27" t="s">
        <v>7661</v>
      </c>
    </row>
    <row r="10" spans="1:37" ht="63">
      <c r="A10" s="3" t="s">
        <v>7601</v>
      </c>
      <c r="B10" s="3" t="s">
        <v>2725</v>
      </c>
      <c r="C10" s="3" t="s">
        <v>2772</v>
      </c>
      <c r="D10" s="3" t="s">
        <v>7662</v>
      </c>
      <c r="E10" s="54">
        <v>2020</v>
      </c>
      <c r="F10" s="3">
        <v>91</v>
      </c>
      <c r="G10" s="54" t="s">
        <v>7663</v>
      </c>
      <c r="H10" s="63">
        <v>90606</v>
      </c>
      <c r="I10" s="2" t="s">
        <v>7664</v>
      </c>
      <c r="J10" s="2" t="s">
        <v>3482</v>
      </c>
      <c r="K10" s="56">
        <v>44179</v>
      </c>
      <c r="L10" s="3" t="s">
        <v>7665</v>
      </c>
      <c r="M10" s="3">
        <v>80106</v>
      </c>
      <c r="N10" s="3" t="s">
        <v>3482</v>
      </c>
      <c r="O10" s="3" t="s">
        <v>3482</v>
      </c>
      <c r="P10" s="3" t="s">
        <v>3482</v>
      </c>
      <c r="Q10" s="3">
        <v>1</v>
      </c>
      <c r="R10" s="64" t="s">
        <v>7666</v>
      </c>
      <c r="S10" s="65" t="s">
        <v>7667</v>
      </c>
      <c r="T10" s="27" t="s">
        <v>7668</v>
      </c>
    </row>
    <row r="11" spans="1:37" ht="38.5">
      <c r="A11" s="3" t="s">
        <v>7601</v>
      </c>
      <c r="B11" s="3" t="s">
        <v>2782</v>
      </c>
      <c r="C11" s="3"/>
      <c r="D11" s="3" t="s">
        <v>32</v>
      </c>
      <c r="E11" s="54">
        <v>2020</v>
      </c>
      <c r="F11" s="54">
        <v>12</v>
      </c>
      <c r="G11" s="54">
        <v>466.2</v>
      </c>
      <c r="H11" s="62">
        <v>9463</v>
      </c>
      <c r="I11" s="57" t="s">
        <v>7669</v>
      </c>
      <c r="J11" s="2"/>
      <c r="K11" s="56">
        <v>44180</v>
      </c>
      <c r="R11" s="2"/>
    </row>
    <row r="12" spans="1:37" ht="14">
      <c r="C12" s="66"/>
      <c r="I12" s="2"/>
      <c r="J12" s="2"/>
      <c r="R12" s="2"/>
    </row>
    <row r="13" spans="1:37" ht="12.5">
      <c r="I13" s="2"/>
      <c r="J13" s="2"/>
      <c r="R13" s="2"/>
    </row>
    <row r="14" spans="1:37" ht="12.5">
      <c r="I14" s="2"/>
      <c r="J14" s="2"/>
      <c r="R14" s="2"/>
    </row>
    <row r="15" spans="1:37" ht="12.5">
      <c r="I15" s="2"/>
      <c r="J15" s="2"/>
      <c r="R15" s="2"/>
    </row>
    <row r="16" spans="1:37" ht="12.5">
      <c r="I16" s="2"/>
      <c r="J16" s="2"/>
      <c r="R16" s="2"/>
    </row>
    <row r="17" spans="9:18" ht="12.5">
      <c r="I17" s="2"/>
      <c r="J17" s="2"/>
      <c r="R17" s="2"/>
    </row>
    <row r="18" spans="9:18" ht="12.5">
      <c r="I18" s="2"/>
      <c r="J18" s="2"/>
      <c r="R18" s="2"/>
    </row>
    <row r="19" spans="9:18" ht="12.5">
      <c r="I19" s="2"/>
      <c r="J19" s="2"/>
      <c r="R19" s="2"/>
    </row>
    <row r="20" spans="9:18" ht="12.5">
      <c r="I20" s="2"/>
      <c r="J20" s="2"/>
      <c r="R20" s="2"/>
    </row>
    <row r="21" spans="9:18" ht="12.5">
      <c r="I21" s="2"/>
      <c r="J21" s="2"/>
      <c r="R21" s="2"/>
    </row>
    <row r="22" spans="9:18" ht="12.5">
      <c r="I22" s="2"/>
      <c r="J22" s="2"/>
      <c r="R22" s="2"/>
    </row>
    <row r="23" spans="9:18" ht="12.5">
      <c r="I23" s="2"/>
      <c r="J23" s="2"/>
      <c r="R23" s="2"/>
    </row>
    <row r="24" spans="9:18" ht="12.5">
      <c r="I24" s="2"/>
      <c r="J24" s="2"/>
      <c r="R24" s="2"/>
    </row>
    <row r="25" spans="9:18" ht="12.5">
      <c r="I25" s="2"/>
      <c r="J25" s="2"/>
      <c r="R25" s="2"/>
    </row>
    <row r="26" spans="9:18" ht="12.5">
      <c r="I26" s="2"/>
      <c r="J26" s="2"/>
      <c r="R26" s="2"/>
    </row>
    <row r="27" spans="9:18" ht="12.5">
      <c r="I27" s="2"/>
      <c r="J27" s="2"/>
      <c r="R27" s="2"/>
    </row>
    <row r="28" spans="9:18" ht="12.5">
      <c r="I28" s="2"/>
      <c r="J28" s="2"/>
      <c r="R28" s="2"/>
    </row>
    <row r="29" spans="9:18" ht="12.5">
      <c r="I29" s="2"/>
      <c r="J29" s="2"/>
      <c r="R29" s="2"/>
    </row>
    <row r="30" spans="9:18" ht="12.5">
      <c r="I30" s="2"/>
      <c r="J30" s="2"/>
      <c r="R30" s="2"/>
    </row>
    <row r="31" spans="9:18" ht="12.5">
      <c r="I31" s="2"/>
      <c r="J31" s="2"/>
      <c r="R31" s="2"/>
    </row>
    <row r="32" spans="9:18" ht="12.5">
      <c r="I32" s="2"/>
      <c r="J32" s="2"/>
      <c r="R32" s="2"/>
    </row>
    <row r="33" spans="9:18" ht="12.5">
      <c r="I33" s="2"/>
      <c r="J33" s="2"/>
      <c r="R33" s="2"/>
    </row>
    <row r="34" spans="9:18" ht="12.5">
      <c r="I34" s="2"/>
      <c r="J34" s="2"/>
      <c r="R34" s="2"/>
    </row>
    <row r="35" spans="9:18" ht="12.5">
      <c r="I35" s="2"/>
      <c r="J35" s="2"/>
      <c r="R35" s="2"/>
    </row>
    <row r="36" spans="9:18" ht="12.5">
      <c r="I36" s="2"/>
      <c r="J36" s="2"/>
      <c r="R36" s="2"/>
    </row>
    <row r="37" spans="9:18" ht="12.5">
      <c r="I37" s="2"/>
      <c r="J37" s="2"/>
      <c r="R37" s="2"/>
    </row>
    <row r="38" spans="9:18" ht="12.5">
      <c r="I38" s="2"/>
      <c r="J38" s="2"/>
      <c r="R38" s="2"/>
    </row>
    <row r="39" spans="9:18" ht="12.5">
      <c r="I39" s="2"/>
      <c r="J39" s="2"/>
      <c r="R39" s="2"/>
    </row>
    <row r="40" spans="9:18" ht="12.5">
      <c r="I40" s="2"/>
      <c r="J40" s="2"/>
      <c r="R40" s="2"/>
    </row>
    <row r="41" spans="9:18" ht="12.5">
      <c r="I41" s="2"/>
      <c r="J41" s="2"/>
      <c r="R41" s="2"/>
    </row>
    <row r="42" spans="9:18" ht="12.5">
      <c r="I42" s="2"/>
      <c r="J42" s="2"/>
      <c r="R42" s="2"/>
    </row>
    <row r="43" spans="9:18" ht="12.5">
      <c r="I43" s="2"/>
      <c r="J43" s="2"/>
      <c r="R43" s="2"/>
    </row>
    <row r="44" spans="9:18" ht="12.5">
      <c r="I44" s="2"/>
      <c r="J44" s="2"/>
      <c r="R44" s="2"/>
    </row>
    <row r="45" spans="9:18" ht="12.5">
      <c r="I45" s="2"/>
      <c r="J45" s="2"/>
      <c r="R45" s="2"/>
    </row>
    <row r="46" spans="9:18" ht="12.5">
      <c r="I46" s="2"/>
      <c r="J46" s="2"/>
      <c r="R46" s="2"/>
    </row>
    <row r="47" spans="9:18" ht="12.5">
      <c r="I47" s="2"/>
      <c r="J47" s="2"/>
      <c r="R47" s="2"/>
    </row>
    <row r="48" spans="9:18" ht="12.5">
      <c r="I48" s="2"/>
      <c r="J48" s="2"/>
      <c r="R48" s="2"/>
    </row>
    <row r="49" spans="9:18" ht="12.5">
      <c r="I49" s="2"/>
      <c r="J49" s="2"/>
      <c r="R49" s="2"/>
    </row>
    <row r="50" spans="9:18" ht="12.5">
      <c r="I50" s="2"/>
      <c r="J50" s="2"/>
      <c r="R50" s="2"/>
    </row>
    <row r="51" spans="9:18" ht="12.5">
      <c r="I51" s="2"/>
      <c r="J51" s="2"/>
      <c r="R51" s="2"/>
    </row>
    <row r="52" spans="9:18" ht="12.5">
      <c r="I52" s="2"/>
      <c r="J52" s="2"/>
      <c r="R52" s="2"/>
    </row>
    <row r="53" spans="9:18" ht="12.5">
      <c r="I53" s="2"/>
      <c r="J53" s="2"/>
      <c r="R53" s="2"/>
    </row>
    <row r="54" spans="9:18" ht="12.5">
      <c r="I54" s="2"/>
      <c r="J54" s="2"/>
      <c r="R54" s="2"/>
    </row>
    <row r="55" spans="9:18" ht="12.5">
      <c r="I55" s="2"/>
      <c r="J55" s="2"/>
      <c r="R55" s="2"/>
    </row>
    <row r="56" spans="9:18" ht="12.5">
      <c r="I56" s="2"/>
      <c r="J56" s="2"/>
      <c r="R56" s="2"/>
    </row>
    <row r="57" spans="9:18" ht="12.5">
      <c r="I57" s="2"/>
      <c r="J57" s="2"/>
      <c r="R57" s="2"/>
    </row>
    <row r="58" spans="9:18" ht="12.5">
      <c r="I58" s="2"/>
      <c r="J58" s="2"/>
      <c r="R58" s="2"/>
    </row>
    <row r="59" spans="9:18" ht="12.5">
      <c r="I59" s="2"/>
      <c r="J59" s="2"/>
      <c r="R59" s="2"/>
    </row>
    <row r="60" spans="9:18" ht="12.5">
      <c r="I60" s="2"/>
      <c r="J60" s="2"/>
      <c r="R60" s="2"/>
    </row>
    <row r="61" spans="9:18" ht="12.5">
      <c r="I61" s="2"/>
      <c r="J61" s="2"/>
      <c r="R61" s="2"/>
    </row>
    <row r="62" spans="9:18" ht="12.5">
      <c r="I62" s="2"/>
      <c r="J62" s="2"/>
      <c r="R62" s="2"/>
    </row>
    <row r="63" spans="9:18" ht="12.5">
      <c r="I63" s="2"/>
      <c r="J63" s="2"/>
      <c r="R63" s="2"/>
    </row>
    <row r="64" spans="9:18" ht="12.5">
      <c r="I64" s="2"/>
      <c r="J64" s="2"/>
      <c r="R64" s="2"/>
    </row>
    <row r="65" spans="9:18" ht="12.5">
      <c r="I65" s="2"/>
      <c r="J65" s="2"/>
      <c r="R65" s="2"/>
    </row>
    <row r="66" spans="9:18" ht="12.5">
      <c r="I66" s="2"/>
      <c r="J66" s="2"/>
      <c r="R66" s="2"/>
    </row>
    <row r="67" spans="9:18" ht="12.5">
      <c r="I67" s="2"/>
      <c r="J67" s="2"/>
      <c r="R67" s="2"/>
    </row>
    <row r="68" spans="9:18" ht="12.5">
      <c r="I68" s="2"/>
      <c r="J68" s="2"/>
      <c r="R68" s="2"/>
    </row>
    <row r="69" spans="9:18" ht="12.5">
      <c r="I69" s="2"/>
      <c r="J69" s="2"/>
      <c r="R69" s="2"/>
    </row>
    <row r="70" spans="9:18" ht="12.5">
      <c r="I70" s="2"/>
      <c r="J70" s="2"/>
      <c r="R70" s="2"/>
    </row>
    <row r="71" spans="9:18" ht="12.5">
      <c r="I71" s="2"/>
      <c r="J71" s="2"/>
      <c r="R71" s="2"/>
    </row>
    <row r="72" spans="9:18" ht="12.5">
      <c r="I72" s="2"/>
      <c r="J72" s="2"/>
      <c r="R72" s="2"/>
    </row>
    <row r="73" spans="9:18" ht="12.5">
      <c r="I73" s="2"/>
      <c r="J73" s="2"/>
      <c r="R73" s="2"/>
    </row>
    <row r="74" spans="9:18" ht="12.5">
      <c r="I74" s="2"/>
      <c r="J74" s="2"/>
      <c r="R74" s="2"/>
    </row>
    <row r="75" spans="9:18" ht="12.5">
      <c r="I75" s="2"/>
      <c r="J75" s="2"/>
      <c r="R75" s="2"/>
    </row>
    <row r="76" spans="9:18" ht="12.5">
      <c r="I76" s="2"/>
      <c r="J76" s="2"/>
      <c r="R76" s="2"/>
    </row>
    <row r="77" spans="9:18" ht="12.5">
      <c r="I77" s="2"/>
      <c r="J77" s="2"/>
      <c r="R77" s="2"/>
    </row>
    <row r="78" spans="9:18" ht="12.5">
      <c r="I78" s="2"/>
      <c r="J78" s="2"/>
      <c r="R78" s="2"/>
    </row>
    <row r="79" spans="9:18" ht="12.5">
      <c r="I79" s="2"/>
      <c r="J79" s="2"/>
      <c r="R79" s="2"/>
    </row>
    <row r="80" spans="9:18" ht="12.5">
      <c r="I80" s="2"/>
      <c r="J80" s="2"/>
      <c r="R80" s="2"/>
    </row>
    <row r="81" spans="9:18" ht="12.5">
      <c r="I81" s="2"/>
      <c r="J81" s="2"/>
      <c r="R81" s="2"/>
    </row>
    <row r="82" spans="9:18" ht="12.5">
      <c r="I82" s="2"/>
      <c r="J82" s="2"/>
      <c r="R82" s="2"/>
    </row>
    <row r="83" spans="9:18" ht="12.5">
      <c r="I83" s="2"/>
      <c r="J83" s="2"/>
      <c r="R83" s="2"/>
    </row>
    <row r="84" spans="9:18" ht="12.5">
      <c r="I84" s="2"/>
      <c r="J84" s="2"/>
      <c r="R84" s="2"/>
    </row>
    <row r="85" spans="9:18" ht="12.5">
      <c r="I85" s="2"/>
      <c r="J85" s="2"/>
      <c r="R85" s="2"/>
    </row>
    <row r="86" spans="9:18" ht="12.5">
      <c r="I86" s="2"/>
      <c r="J86" s="2"/>
      <c r="R86" s="2"/>
    </row>
    <row r="87" spans="9:18" ht="12.5">
      <c r="I87" s="2"/>
      <c r="J87" s="2"/>
      <c r="R87" s="2"/>
    </row>
    <row r="88" spans="9:18" ht="12.5">
      <c r="I88" s="2"/>
      <c r="J88" s="2"/>
      <c r="R88" s="2"/>
    </row>
    <row r="89" spans="9:18" ht="12.5">
      <c r="I89" s="2"/>
      <c r="J89" s="2"/>
      <c r="R89" s="2"/>
    </row>
    <row r="90" spans="9:18" ht="12.5">
      <c r="I90" s="2"/>
      <c r="J90" s="2"/>
      <c r="R90" s="2"/>
    </row>
    <row r="91" spans="9:18" ht="12.5">
      <c r="I91" s="2"/>
      <c r="J91" s="2"/>
      <c r="R91" s="2"/>
    </row>
    <row r="92" spans="9:18" ht="12.5">
      <c r="I92" s="2"/>
      <c r="J92" s="2"/>
      <c r="R92" s="2"/>
    </row>
    <row r="93" spans="9:18" ht="12.5">
      <c r="I93" s="2"/>
      <c r="J93" s="2"/>
      <c r="R93" s="2"/>
    </row>
    <row r="94" spans="9:18" ht="12.5">
      <c r="I94" s="2"/>
      <c r="J94" s="2"/>
      <c r="R94" s="2"/>
    </row>
    <row r="95" spans="9:18" ht="12.5">
      <c r="I95" s="2"/>
      <c r="J95" s="2"/>
      <c r="R95" s="2"/>
    </row>
    <row r="96" spans="9:18" ht="12.5">
      <c r="I96" s="2"/>
      <c r="J96" s="2"/>
      <c r="R96" s="2"/>
    </row>
    <row r="97" spans="9:18" ht="12.5">
      <c r="I97" s="2"/>
      <c r="J97" s="2"/>
      <c r="R97" s="2"/>
    </row>
    <row r="98" spans="9:18" ht="12.5">
      <c r="I98" s="2"/>
      <c r="J98" s="2"/>
      <c r="R98" s="2"/>
    </row>
    <row r="99" spans="9:18" ht="12.5">
      <c r="I99" s="2"/>
      <c r="J99" s="2"/>
      <c r="R99" s="2"/>
    </row>
    <row r="100" spans="9:18" ht="12.5">
      <c r="I100" s="2"/>
      <c r="J100" s="2"/>
      <c r="R100" s="2"/>
    </row>
    <row r="101" spans="9:18" ht="12.5">
      <c r="I101" s="2"/>
      <c r="J101" s="2"/>
      <c r="R101" s="2"/>
    </row>
    <row r="102" spans="9:18" ht="12.5">
      <c r="I102" s="2"/>
      <c r="J102" s="2"/>
      <c r="R102" s="2"/>
    </row>
    <row r="103" spans="9:18" ht="12.5">
      <c r="I103" s="2"/>
      <c r="J103" s="2"/>
      <c r="R103" s="2"/>
    </row>
    <row r="104" spans="9:18" ht="12.5">
      <c r="I104" s="2"/>
      <c r="J104" s="2"/>
      <c r="R104" s="2"/>
    </row>
    <row r="105" spans="9:18" ht="12.5">
      <c r="I105" s="2"/>
      <c r="J105" s="2"/>
      <c r="R105" s="2"/>
    </row>
    <row r="106" spans="9:18" ht="12.5">
      <c r="I106" s="2"/>
      <c r="J106" s="2"/>
      <c r="R106" s="2"/>
    </row>
    <row r="107" spans="9:18" ht="12.5">
      <c r="I107" s="2"/>
      <c r="J107" s="2"/>
      <c r="R107" s="2"/>
    </row>
    <row r="108" spans="9:18" ht="12.5">
      <c r="I108" s="2"/>
      <c r="J108" s="2"/>
      <c r="R108" s="2"/>
    </row>
    <row r="109" spans="9:18" ht="12.5">
      <c r="I109" s="2"/>
      <c r="J109" s="2"/>
      <c r="R109" s="2"/>
    </row>
    <row r="110" spans="9:18" ht="12.5">
      <c r="I110" s="2"/>
      <c r="J110" s="2"/>
      <c r="R110" s="2"/>
    </row>
    <row r="111" spans="9:18" ht="12.5">
      <c r="I111" s="2"/>
      <c r="J111" s="2"/>
      <c r="R111" s="2"/>
    </row>
    <row r="112" spans="9:18" ht="12.5">
      <c r="I112" s="2"/>
      <c r="J112" s="2"/>
      <c r="R112" s="2"/>
    </row>
    <row r="113" spans="9:18" ht="12.5">
      <c r="I113" s="2"/>
      <c r="J113" s="2"/>
      <c r="R113" s="2"/>
    </row>
    <row r="114" spans="9:18" ht="12.5">
      <c r="I114" s="2"/>
      <c r="J114" s="2"/>
      <c r="R114" s="2"/>
    </row>
    <row r="115" spans="9:18" ht="12.5">
      <c r="I115" s="2"/>
      <c r="J115" s="2"/>
      <c r="R115" s="2"/>
    </row>
    <row r="116" spans="9:18" ht="12.5">
      <c r="I116" s="2"/>
      <c r="J116" s="2"/>
      <c r="R116" s="2"/>
    </row>
    <row r="117" spans="9:18" ht="12.5">
      <c r="I117" s="2"/>
      <c r="J117" s="2"/>
      <c r="R117" s="2"/>
    </row>
    <row r="118" spans="9:18" ht="12.5">
      <c r="I118" s="2"/>
      <c r="J118" s="2"/>
      <c r="R118" s="2"/>
    </row>
    <row r="119" spans="9:18" ht="12.5">
      <c r="I119" s="2"/>
      <c r="J119" s="2"/>
      <c r="R119" s="2"/>
    </row>
    <row r="120" spans="9:18" ht="12.5">
      <c r="I120" s="2"/>
      <c r="J120" s="2"/>
      <c r="R120" s="2"/>
    </row>
    <row r="121" spans="9:18" ht="12.5">
      <c r="I121" s="2"/>
      <c r="J121" s="2"/>
      <c r="R121" s="2"/>
    </row>
    <row r="122" spans="9:18" ht="12.5">
      <c r="I122" s="2"/>
      <c r="J122" s="2"/>
      <c r="R122" s="2"/>
    </row>
    <row r="123" spans="9:18" ht="12.5">
      <c r="I123" s="2"/>
      <c r="J123" s="2"/>
      <c r="R123" s="2"/>
    </row>
    <row r="124" spans="9:18" ht="12.5">
      <c r="I124" s="2"/>
      <c r="J124" s="2"/>
      <c r="R124" s="2"/>
    </row>
    <row r="125" spans="9:18" ht="12.5">
      <c r="I125" s="2"/>
      <c r="J125" s="2"/>
      <c r="R125" s="2"/>
    </row>
    <row r="126" spans="9:18" ht="12.5">
      <c r="I126" s="2"/>
      <c r="J126" s="2"/>
      <c r="R126" s="2"/>
    </row>
    <row r="127" spans="9:18" ht="12.5">
      <c r="I127" s="2"/>
      <c r="J127" s="2"/>
      <c r="R127" s="2"/>
    </row>
    <row r="128" spans="9:18" ht="12.5">
      <c r="I128" s="2"/>
      <c r="J128" s="2"/>
      <c r="R128" s="2"/>
    </row>
    <row r="129" spans="9:18" ht="12.5">
      <c r="I129" s="2"/>
      <c r="J129" s="2"/>
      <c r="R129" s="2"/>
    </row>
    <row r="130" spans="9:18" ht="12.5">
      <c r="I130" s="2"/>
      <c r="J130" s="2"/>
      <c r="R130" s="2"/>
    </row>
    <row r="131" spans="9:18" ht="12.5">
      <c r="I131" s="2"/>
      <c r="J131" s="2"/>
      <c r="R131" s="2"/>
    </row>
    <row r="132" spans="9:18" ht="12.5">
      <c r="I132" s="2"/>
      <c r="J132" s="2"/>
      <c r="R132" s="2"/>
    </row>
    <row r="133" spans="9:18" ht="12.5">
      <c r="I133" s="2"/>
      <c r="J133" s="2"/>
      <c r="R133" s="2"/>
    </row>
    <row r="134" spans="9:18" ht="12.5">
      <c r="I134" s="2"/>
      <c r="J134" s="2"/>
      <c r="R134" s="2"/>
    </row>
    <row r="135" spans="9:18" ht="12.5">
      <c r="I135" s="2"/>
      <c r="J135" s="2"/>
      <c r="R135" s="2"/>
    </row>
    <row r="136" spans="9:18" ht="12.5">
      <c r="I136" s="2"/>
      <c r="J136" s="2"/>
      <c r="R136" s="2"/>
    </row>
    <row r="137" spans="9:18" ht="12.5">
      <c r="I137" s="2"/>
      <c r="J137" s="2"/>
      <c r="R137" s="2"/>
    </row>
    <row r="138" spans="9:18" ht="12.5">
      <c r="I138" s="2"/>
      <c r="J138" s="2"/>
      <c r="R138" s="2"/>
    </row>
    <row r="139" spans="9:18" ht="12.5">
      <c r="I139" s="2"/>
      <c r="J139" s="2"/>
      <c r="R139" s="2"/>
    </row>
    <row r="140" spans="9:18" ht="12.5">
      <c r="I140" s="2"/>
      <c r="J140" s="2"/>
      <c r="R140" s="2"/>
    </row>
    <row r="141" spans="9:18" ht="12.5">
      <c r="I141" s="2"/>
      <c r="J141" s="2"/>
      <c r="R141" s="2"/>
    </row>
    <row r="142" spans="9:18" ht="12.5">
      <c r="I142" s="2"/>
      <c r="J142" s="2"/>
      <c r="R142" s="2"/>
    </row>
    <row r="143" spans="9:18" ht="12.5">
      <c r="I143" s="2"/>
      <c r="J143" s="2"/>
      <c r="R143" s="2"/>
    </row>
    <row r="144" spans="9:18" ht="12.5">
      <c r="I144" s="2"/>
      <c r="J144" s="2"/>
      <c r="R144" s="2"/>
    </row>
    <row r="145" spans="9:18" ht="12.5">
      <c r="I145" s="2"/>
      <c r="J145" s="2"/>
      <c r="R145" s="2"/>
    </row>
    <row r="146" spans="9:18" ht="12.5">
      <c r="I146" s="2"/>
      <c r="J146" s="2"/>
      <c r="R146" s="2"/>
    </row>
    <row r="147" spans="9:18" ht="12.5">
      <c r="I147" s="2"/>
      <c r="J147" s="2"/>
      <c r="R147" s="2"/>
    </row>
    <row r="148" spans="9:18" ht="12.5">
      <c r="I148" s="2"/>
      <c r="J148" s="2"/>
      <c r="R148" s="2"/>
    </row>
    <row r="149" spans="9:18" ht="12.5">
      <c r="I149" s="2"/>
      <c r="J149" s="2"/>
      <c r="R149" s="2"/>
    </row>
    <row r="150" spans="9:18" ht="12.5">
      <c r="I150" s="2"/>
      <c r="J150" s="2"/>
      <c r="R150" s="2"/>
    </row>
    <row r="151" spans="9:18" ht="12.5">
      <c r="I151" s="2"/>
      <c r="J151" s="2"/>
      <c r="R151" s="2"/>
    </row>
    <row r="152" spans="9:18" ht="12.5">
      <c r="I152" s="2"/>
      <c r="J152" s="2"/>
      <c r="R152" s="2"/>
    </row>
    <row r="153" spans="9:18" ht="12.5">
      <c r="I153" s="2"/>
      <c r="J153" s="2"/>
      <c r="R153" s="2"/>
    </row>
    <row r="154" spans="9:18" ht="12.5">
      <c r="I154" s="2"/>
      <c r="J154" s="2"/>
      <c r="R154" s="2"/>
    </row>
    <row r="155" spans="9:18" ht="12.5">
      <c r="I155" s="2"/>
      <c r="J155" s="2"/>
      <c r="R155" s="2"/>
    </row>
    <row r="156" spans="9:18" ht="12.5">
      <c r="I156" s="2"/>
      <c r="J156" s="2"/>
      <c r="R156" s="2"/>
    </row>
    <row r="157" spans="9:18" ht="12.5">
      <c r="I157" s="2"/>
      <c r="J157" s="2"/>
      <c r="R157" s="2"/>
    </row>
    <row r="158" spans="9:18" ht="12.5">
      <c r="I158" s="2"/>
      <c r="J158" s="2"/>
      <c r="R158" s="2"/>
    </row>
    <row r="159" spans="9:18" ht="12.5">
      <c r="I159" s="2"/>
      <c r="J159" s="2"/>
      <c r="R159" s="2"/>
    </row>
    <row r="160" spans="9:18" ht="12.5">
      <c r="I160" s="2"/>
      <c r="J160" s="2"/>
      <c r="R160" s="2"/>
    </row>
    <row r="161" spans="9:18" ht="12.5">
      <c r="I161" s="2"/>
      <c r="J161" s="2"/>
      <c r="R161" s="2"/>
    </row>
    <row r="162" spans="9:18" ht="12.5">
      <c r="I162" s="2"/>
      <c r="J162" s="2"/>
      <c r="R162" s="2"/>
    </row>
    <row r="163" spans="9:18" ht="12.5">
      <c r="I163" s="2"/>
      <c r="J163" s="2"/>
      <c r="R163" s="2"/>
    </row>
    <row r="164" spans="9:18" ht="12.5">
      <c r="I164" s="2"/>
      <c r="J164" s="2"/>
      <c r="R164" s="2"/>
    </row>
    <row r="165" spans="9:18" ht="12.5">
      <c r="I165" s="2"/>
      <c r="J165" s="2"/>
      <c r="R165" s="2"/>
    </row>
    <row r="166" spans="9:18" ht="12.5">
      <c r="I166" s="2"/>
      <c r="J166" s="2"/>
      <c r="R166" s="2"/>
    </row>
    <row r="167" spans="9:18" ht="12.5">
      <c r="I167" s="2"/>
      <c r="J167" s="2"/>
      <c r="R167" s="2"/>
    </row>
    <row r="168" spans="9:18" ht="12.5">
      <c r="I168" s="2"/>
      <c r="J168" s="2"/>
      <c r="R168" s="2"/>
    </row>
    <row r="169" spans="9:18" ht="12.5">
      <c r="I169" s="2"/>
      <c r="J169" s="2"/>
      <c r="R169" s="2"/>
    </row>
    <row r="170" spans="9:18" ht="12.5">
      <c r="I170" s="2"/>
      <c r="J170" s="2"/>
      <c r="R170" s="2"/>
    </row>
    <row r="171" spans="9:18" ht="12.5">
      <c r="I171" s="2"/>
      <c r="J171" s="2"/>
      <c r="R171" s="2"/>
    </row>
    <row r="172" spans="9:18" ht="12.5">
      <c r="I172" s="2"/>
      <c r="J172" s="2"/>
      <c r="R172" s="2"/>
    </row>
    <row r="173" spans="9:18" ht="12.5">
      <c r="I173" s="2"/>
      <c r="J173" s="2"/>
      <c r="R173" s="2"/>
    </row>
    <row r="174" spans="9:18" ht="12.5">
      <c r="I174" s="2"/>
      <c r="J174" s="2"/>
      <c r="R174" s="2"/>
    </row>
    <row r="175" spans="9:18" ht="12.5">
      <c r="I175" s="2"/>
      <c r="J175" s="2"/>
      <c r="R175" s="2"/>
    </row>
    <row r="176" spans="9:18" ht="12.5">
      <c r="I176" s="2"/>
      <c r="J176" s="2"/>
      <c r="R176" s="2"/>
    </row>
    <row r="177" spans="9:18" ht="12.5">
      <c r="I177" s="2"/>
      <c r="J177" s="2"/>
      <c r="R177" s="2"/>
    </row>
    <row r="178" spans="9:18" ht="12.5">
      <c r="I178" s="2"/>
      <c r="J178" s="2"/>
      <c r="R178" s="2"/>
    </row>
    <row r="179" spans="9:18" ht="12.5">
      <c r="I179" s="2"/>
      <c r="J179" s="2"/>
      <c r="R179" s="2"/>
    </row>
    <row r="180" spans="9:18" ht="12.5">
      <c r="I180" s="2"/>
      <c r="J180" s="2"/>
      <c r="R180" s="2"/>
    </row>
    <row r="181" spans="9:18" ht="12.5">
      <c r="I181" s="2"/>
      <c r="J181" s="2"/>
      <c r="R181" s="2"/>
    </row>
    <row r="182" spans="9:18" ht="12.5">
      <c r="I182" s="2"/>
      <c r="J182" s="2"/>
      <c r="R182" s="2"/>
    </row>
    <row r="183" spans="9:18" ht="12.5">
      <c r="I183" s="2"/>
      <c r="J183" s="2"/>
      <c r="R183" s="2"/>
    </row>
    <row r="184" spans="9:18" ht="12.5">
      <c r="I184" s="2"/>
      <c r="J184" s="2"/>
      <c r="R184" s="2"/>
    </row>
    <row r="185" spans="9:18" ht="12.5">
      <c r="I185" s="2"/>
      <c r="J185" s="2"/>
      <c r="R185" s="2"/>
    </row>
    <row r="186" spans="9:18" ht="12.5">
      <c r="I186" s="2"/>
      <c r="J186" s="2"/>
      <c r="R186" s="2"/>
    </row>
    <row r="187" spans="9:18" ht="12.5">
      <c r="I187" s="2"/>
      <c r="J187" s="2"/>
      <c r="R187" s="2"/>
    </row>
    <row r="188" spans="9:18" ht="12.5">
      <c r="I188" s="2"/>
      <c r="J188" s="2"/>
      <c r="R188" s="2"/>
    </row>
    <row r="189" spans="9:18" ht="12.5">
      <c r="I189" s="2"/>
      <c r="J189" s="2"/>
      <c r="R189" s="2"/>
    </row>
    <row r="190" spans="9:18" ht="12.5">
      <c r="I190" s="2"/>
      <c r="J190" s="2"/>
      <c r="R190" s="2"/>
    </row>
    <row r="191" spans="9:18" ht="12.5">
      <c r="I191" s="2"/>
      <c r="J191" s="2"/>
      <c r="R191" s="2"/>
    </row>
    <row r="192" spans="9:18" ht="12.5">
      <c r="I192" s="2"/>
      <c r="J192" s="2"/>
      <c r="R192" s="2"/>
    </row>
    <row r="193" spans="9:18" ht="12.5">
      <c r="I193" s="2"/>
      <c r="J193" s="2"/>
      <c r="R193" s="2"/>
    </row>
    <row r="194" spans="9:18" ht="12.5">
      <c r="I194" s="2"/>
      <c r="J194" s="2"/>
      <c r="R194" s="2"/>
    </row>
    <row r="195" spans="9:18" ht="12.5">
      <c r="I195" s="2"/>
      <c r="J195" s="2"/>
      <c r="R195" s="2"/>
    </row>
    <row r="196" spans="9:18" ht="12.5">
      <c r="I196" s="2"/>
      <c r="J196" s="2"/>
      <c r="R196" s="2"/>
    </row>
    <row r="197" spans="9:18" ht="12.5">
      <c r="I197" s="2"/>
      <c r="J197" s="2"/>
      <c r="R197" s="2"/>
    </row>
    <row r="198" spans="9:18" ht="12.5">
      <c r="I198" s="2"/>
      <c r="J198" s="2"/>
      <c r="R198" s="2"/>
    </row>
    <row r="199" spans="9:18" ht="12.5">
      <c r="I199" s="2"/>
      <c r="J199" s="2"/>
      <c r="R199" s="2"/>
    </row>
    <row r="200" spans="9:18" ht="12.5">
      <c r="I200" s="2"/>
      <c r="J200" s="2"/>
      <c r="R200" s="2"/>
    </row>
    <row r="201" spans="9:18" ht="12.5">
      <c r="I201" s="2"/>
      <c r="J201" s="2"/>
      <c r="R201" s="2"/>
    </row>
    <row r="202" spans="9:18" ht="12.5">
      <c r="I202" s="2"/>
      <c r="J202" s="2"/>
      <c r="R202" s="2"/>
    </row>
    <row r="203" spans="9:18" ht="12.5">
      <c r="I203" s="2"/>
      <c r="J203" s="2"/>
      <c r="R203" s="2"/>
    </row>
    <row r="204" spans="9:18" ht="12.5">
      <c r="I204" s="2"/>
      <c r="J204" s="2"/>
      <c r="R204" s="2"/>
    </row>
    <row r="205" spans="9:18" ht="12.5">
      <c r="I205" s="2"/>
      <c r="J205" s="2"/>
      <c r="R205" s="2"/>
    </row>
    <row r="206" spans="9:18" ht="12.5">
      <c r="I206" s="2"/>
      <c r="J206" s="2"/>
      <c r="R206" s="2"/>
    </row>
    <row r="207" spans="9:18" ht="12.5">
      <c r="I207" s="2"/>
      <c r="J207" s="2"/>
      <c r="R207" s="2"/>
    </row>
    <row r="208" spans="9:18" ht="12.5">
      <c r="I208" s="2"/>
      <c r="J208" s="2"/>
      <c r="R208" s="2"/>
    </row>
    <row r="209" spans="9:18" ht="12.5">
      <c r="I209" s="2"/>
      <c r="J209" s="2"/>
      <c r="R209" s="2"/>
    </row>
    <row r="210" spans="9:18" ht="12.5">
      <c r="I210" s="2"/>
      <c r="J210" s="2"/>
      <c r="R210" s="2"/>
    </row>
    <row r="211" spans="9:18" ht="12.5">
      <c r="I211" s="2"/>
      <c r="J211" s="2"/>
      <c r="R211" s="2"/>
    </row>
    <row r="212" spans="9:18" ht="12.5">
      <c r="I212" s="2"/>
      <c r="J212" s="2"/>
      <c r="R212" s="2"/>
    </row>
    <row r="213" spans="9:18" ht="12.5">
      <c r="I213" s="2"/>
      <c r="J213" s="2"/>
      <c r="R213" s="2"/>
    </row>
    <row r="214" spans="9:18" ht="12.5">
      <c r="I214" s="2"/>
      <c r="J214" s="2"/>
      <c r="R214" s="2"/>
    </row>
    <row r="215" spans="9:18" ht="12.5">
      <c r="I215" s="2"/>
      <c r="J215" s="2"/>
      <c r="R215" s="2"/>
    </row>
    <row r="216" spans="9:18" ht="12.5">
      <c r="I216" s="2"/>
      <c r="J216" s="2"/>
      <c r="R216" s="2"/>
    </row>
    <row r="217" spans="9:18" ht="12.5">
      <c r="I217" s="2"/>
      <c r="J217" s="2"/>
      <c r="R217" s="2"/>
    </row>
    <row r="218" spans="9:18" ht="12.5">
      <c r="I218" s="2"/>
      <c r="J218" s="2"/>
      <c r="R218" s="2"/>
    </row>
    <row r="219" spans="9:18" ht="12.5">
      <c r="I219" s="2"/>
      <c r="J219" s="2"/>
      <c r="R219" s="2"/>
    </row>
    <row r="220" spans="9:18" ht="12.5">
      <c r="I220" s="2"/>
      <c r="J220" s="2"/>
      <c r="R220" s="2"/>
    </row>
    <row r="221" spans="9:18" ht="12.5">
      <c r="I221" s="2"/>
      <c r="J221" s="2"/>
      <c r="R221" s="2"/>
    </row>
    <row r="222" spans="9:18" ht="12.5">
      <c r="I222" s="2"/>
      <c r="J222" s="2"/>
      <c r="R222" s="2"/>
    </row>
    <row r="223" spans="9:18" ht="12.5">
      <c r="I223" s="2"/>
      <c r="J223" s="2"/>
      <c r="R223" s="2"/>
    </row>
    <row r="224" spans="9:18" ht="12.5">
      <c r="I224" s="2"/>
      <c r="J224" s="2"/>
      <c r="R224" s="2"/>
    </row>
    <row r="225" spans="9:18" ht="12.5">
      <c r="I225" s="2"/>
      <c r="J225" s="2"/>
      <c r="R225" s="2"/>
    </row>
    <row r="226" spans="9:18" ht="12.5">
      <c r="I226" s="2"/>
      <c r="J226" s="2"/>
      <c r="R226" s="2"/>
    </row>
    <row r="227" spans="9:18" ht="12.5">
      <c r="I227" s="2"/>
      <c r="J227" s="2"/>
      <c r="R227" s="2"/>
    </row>
    <row r="228" spans="9:18" ht="12.5">
      <c r="I228" s="2"/>
      <c r="J228" s="2"/>
      <c r="R228" s="2"/>
    </row>
    <row r="229" spans="9:18" ht="12.5">
      <c r="I229" s="2"/>
      <c r="J229" s="2"/>
      <c r="R229" s="2"/>
    </row>
    <row r="230" spans="9:18" ht="12.5">
      <c r="I230" s="2"/>
      <c r="J230" s="2"/>
      <c r="R230" s="2"/>
    </row>
    <row r="231" spans="9:18" ht="12.5">
      <c r="I231" s="2"/>
      <c r="J231" s="2"/>
      <c r="R231" s="2"/>
    </row>
    <row r="232" spans="9:18" ht="12.5">
      <c r="I232" s="2"/>
      <c r="J232" s="2"/>
      <c r="R232" s="2"/>
    </row>
    <row r="233" spans="9:18" ht="12.5">
      <c r="I233" s="2"/>
      <c r="J233" s="2"/>
      <c r="R233" s="2"/>
    </row>
    <row r="234" spans="9:18" ht="12.5">
      <c r="I234" s="2"/>
      <c r="J234" s="2"/>
      <c r="R234" s="2"/>
    </row>
    <row r="235" spans="9:18" ht="12.5">
      <c r="I235" s="2"/>
      <c r="J235" s="2"/>
      <c r="R235" s="2"/>
    </row>
    <row r="236" spans="9:18" ht="12.5">
      <c r="I236" s="2"/>
      <c r="J236" s="2"/>
      <c r="R236" s="2"/>
    </row>
    <row r="237" spans="9:18" ht="12.5">
      <c r="I237" s="2"/>
      <c r="J237" s="2"/>
      <c r="R237" s="2"/>
    </row>
    <row r="238" spans="9:18" ht="12.5">
      <c r="I238" s="2"/>
      <c r="J238" s="2"/>
      <c r="R238" s="2"/>
    </row>
    <row r="239" spans="9:18" ht="12.5">
      <c r="I239" s="2"/>
      <c r="J239" s="2"/>
      <c r="R239" s="2"/>
    </row>
    <row r="240" spans="9:18" ht="12.5">
      <c r="I240" s="2"/>
      <c r="J240" s="2"/>
      <c r="R240" s="2"/>
    </row>
    <row r="241" spans="9:18" ht="12.5">
      <c r="I241" s="2"/>
      <c r="J241" s="2"/>
      <c r="R241" s="2"/>
    </row>
    <row r="242" spans="9:18" ht="12.5">
      <c r="I242" s="2"/>
      <c r="J242" s="2"/>
      <c r="R242" s="2"/>
    </row>
    <row r="243" spans="9:18" ht="12.5">
      <c r="I243" s="2"/>
      <c r="J243" s="2"/>
      <c r="R243" s="2"/>
    </row>
    <row r="244" spans="9:18" ht="12.5">
      <c r="I244" s="2"/>
      <c r="J244" s="2"/>
      <c r="R244" s="2"/>
    </row>
    <row r="245" spans="9:18" ht="12.5">
      <c r="I245" s="2"/>
      <c r="J245" s="2"/>
      <c r="R245" s="2"/>
    </row>
    <row r="246" spans="9:18" ht="12.5">
      <c r="I246" s="2"/>
      <c r="J246" s="2"/>
      <c r="R246" s="2"/>
    </row>
    <row r="247" spans="9:18" ht="12.5">
      <c r="I247" s="2"/>
      <c r="J247" s="2"/>
      <c r="R247" s="2"/>
    </row>
    <row r="248" spans="9:18" ht="12.5">
      <c r="I248" s="2"/>
      <c r="J248" s="2"/>
      <c r="R248" s="2"/>
    </row>
    <row r="249" spans="9:18" ht="12.5">
      <c r="I249" s="2"/>
      <c r="J249" s="2"/>
      <c r="R249" s="2"/>
    </row>
    <row r="250" spans="9:18" ht="12.5">
      <c r="I250" s="2"/>
      <c r="J250" s="2"/>
      <c r="R250" s="2"/>
    </row>
    <row r="251" spans="9:18" ht="12.5">
      <c r="I251" s="2"/>
      <c r="J251" s="2"/>
      <c r="R251" s="2"/>
    </row>
    <row r="252" spans="9:18" ht="12.5">
      <c r="I252" s="2"/>
      <c r="J252" s="2"/>
      <c r="R252" s="2"/>
    </row>
    <row r="253" spans="9:18" ht="12.5">
      <c r="I253" s="2"/>
      <c r="J253" s="2"/>
      <c r="R253" s="2"/>
    </row>
    <row r="254" spans="9:18" ht="12.5">
      <c r="I254" s="2"/>
      <c r="J254" s="2"/>
      <c r="R254" s="2"/>
    </row>
    <row r="255" spans="9:18" ht="12.5">
      <c r="I255" s="2"/>
      <c r="J255" s="2"/>
      <c r="R255" s="2"/>
    </row>
    <row r="256" spans="9:18" ht="12.5">
      <c r="I256" s="2"/>
      <c r="J256" s="2"/>
      <c r="R256" s="2"/>
    </row>
    <row r="257" spans="9:18" ht="12.5">
      <c r="I257" s="2"/>
      <c r="J257" s="2"/>
      <c r="R257" s="2"/>
    </row>
    <row r="258" spans="9:18" ht="12.5">
      <c r="I258" s="2"/>
      <c r="J258" s="2"/>
      <c r="R258" s="2"/>
    </row>
    <row r="259" spans="9:18" ht="12.5">
      <c r="I259" s="2"/>
      <c r="J259" s="2"/>
      <c r="R259" s="2"/>
    </row>
    <row r="260" spans="9:18" ht="12.5">
      <c r="I260" s="2"/>
      <c r="J260" s="2"/>
      <c r="R260" s="2"/>
    </row>
    <row r="261" spans="9:18" ht="12.5">
      <c r="I261" s="2"/>
      <c r="J261" s="2"/>
      <c r="R261" s="2"/>
    </row>
    <row r="262" spans="9:18" ht="12.5">
      <c r="I262" s="2"/>
      <c r="J262" s="2"/>
      <c r="R262" s="2"/>
    </row>
    <row r="263" spans="9:18" ht="12.5">
      <c r="I263" s="2"/>
      <c r="J263" s="2"/>
      <c r="R263" s="2"/>
    </row>
    <row r="264" spans="9:18" ht="12.5">
      <c r="I264" s="2"/>
      <c r="J264" s="2"/>
      <c r="R264" s="2"/>
    </row>
    <row r="265" spans="9:18" ht="12.5">
      <c r="I265" s="2"/>
      <c r="J265" s="2"/>
      <c r="R265" s="2"/>
    </row>
    <row r="266" spans="9:18" ht="12.5">
      <c r="I266" s="2"/>
      <c r="J266" s="2"/>
      <c r="R266" s="2"/>
    </row>
    <row r="267" spans="9:18" ht="12.5">
      <c r="I267" s="2"/>
      <c r="J267" s="2"/>
      <c r="R267" s="2"/>
    </row>
    <row r="268" spans="9:18" ht="12.5">
      <c r="I268" s="2"/>
      <c r="J268" s="2"/>
      <c r="R268" s="2"/>
    </row>
    <row r="269" spans="9:18" ht="12.5">
      <c r="I269" s="2"/>
      <c r="J269" s="2"/>
      <c r="R269" s="2"/>
    </row>
    <row r="270" spans="9:18" ht="12.5">
      <c r="I270" s="2"/>
      <c r="J270" s="2"/>
      <c r="R270" s="2"/>
    </row>
    <row r="271" spans="9:18" ht="12.5">
      <c r="I271" s="2"/>
      <c r="J271" s="2"/>
      <c r="R271" s="2"/>
    </row>
    <row r="272" spans="9:18" ht="12.5">
      <c r="I272" s="2"/>
      <c r="J272" s="2"/>
      <c r="R272" s="2"/>
    </row>
    <row r="273" spans="9:18" ht="12.5">
      <c r="I273" s="2"/>
      <c r="J273" s="2"/>
      <c r="R273" s="2"/>
    </row>
    <row r="274" spans="9:18" ht="12.5">
      <c r="I274" s="2"/>
      <c r="J274" s="2"/>
      <c r="R274" s="2"/>
    </row>
    <row r="275" spans="9:18" ht="12.5">
      <c r="I275" s="2"/>
      <c r="J275" s="2"/>
      <c r="R275" s="2"/>
    </row>
    <row r="276" spans="9:18" ht="12.5">
      <c r="I276" s="2"/>
      <c r="J276" s="2"/>
      <c r="R276" s="2"/>
    </row>
    <row r="277" spans="9:18" ht="12.5">
      <c r="I277" s="2"/>
      <c r="J277" s="2"/>
      <c r="R277" s="2"/>
    </row>
    <row r="278" spans="9:18" ht="12.5">
      <c r="I278" s="2"/>
      <c r="J278" s="2"/>
      <c r="R278" s="2"/>
    </row>
    <row r="279" spans="9:18" ht="12.5">
      <c r="I279" s="2"/>
      <c r="J279" s="2"/>
      <c r="R279" s="2"/>
    </row>
    <row r="280" spans="9:18" ht="12.5">
      <c r="I280" s="2"/>
      <c r="J280" s="2"/>
      <c r="R280" s="2"/>
    </row>
    <row r="281" spans="9:18" ht="12.5">
      <c r="I281" s="2"/>
      <c r="J281" s="2"/>
      <c r="R281" s="2"/>
    </row>
    <row r="282" spans="9:18" ht="12.5">
      <c r="I282" s="2"/>
      <c r="J282" s="2"/>
      <c r="R282" s="2"/>
    </row>
    <row r="283" spans="9:18" ht="12.5">
      <c r="I283" s="2"/>
      <c r="J283" s="2"/>
      <c r="R283" s="2"/>
    </row>
    <row r="284" spans="9:18" ht="12.5">
      <c r="I284" s="2"/>
      <c r="J284" s="2"/>
      <c r="R284" s="2"/>
    </row>
    <row r="285" spans="9:18" ht="12.5">
      <c r="I285" s="2"/>
      <c r="J285" s="2"/>
      <c r="R285" s="2"/>
    </row>
    <row r="286" spans="9:18" ht="12.5">
      <c r="I286" s="2"/>
      <c r="J286" s="2"/>
      <c r="R286" s="2"/>
    </row>
    <row r="287" spans="9:18" ht="12.5">
      <c r="I287" s="2"/>
      <c r="J287" s="2"/>
      <c r="R287" s="2"/>
    </row>
    <row r="288" spans="9:18" ht="12.5">
      <c r="I288" s="2"/>
      <c r="J288" s="2"/>
      <c r="R288" s="2"/>
    </row>
    <row r="289" spans="9:18" ht="12.5">
      <c r="I289" s="2"/>
      <c r="J289" s="2"/>
      <c r="R289" s="2"/>
    </row>
    <row r="290" spans="9:18" ht="12.5">
      <c r="I290" s="2"/>
      <c r="J290" s="2"/>
      <c r="R290" s="2"/>
    </row>
    <row r="291" spans="9:18" ht="12.5">
      <c r="I291" s="2"/>
      <c r="J291" s="2"/>
      <c r="R291" s="2"/>
    </row>
    <row r="292" spans="9:18" ht="12.5">
      <c r="I292" s="2"/>
      <c r="J292" s="2"/>
      <c r="R292" s="2"/>
    </row>
    <row r="293" spans="9:18" ht="12.5">
      <c r="I293" s="2"/>
      <c r="J293" s="2"/>
      <c r="R293" s="2"/>
    </row>
    <row r="294" spans="9:18" ht="12.5">
      <c r="I294" s="2"/>
      <c r="J294" s="2"/>
      <c r="R294" s="2"/>
    </row>
    <row r="295" spans="9:18" ht="12.5">
      <c r="I295" s="2"/>
      <c r="J295" s="2"/>
      <c r="R295" s="2"/>
    </row>
    <row r="296" spans="9:18" ht="12.5">
      <c r="I296" s="2"/>
      <c r="J296" s="2"/>
      <c r="R296" s="2"/>
    </row>
    <row r="297" spans="9:18" ht="12.5">
      <c r="I297" s="2"/>
      <c r="J297" s="2"/>
      <c r="R297" s="2"/>
    </row>
    <row r="298" spans="9:18" ht="12.5">
      <c r="I298" s="2"/>
      <c r="J298" s="2"/>
      <c r="R298" s="2"/>
    </row>
    <row r="299" spans="9:18" ht="12.5">
      <c r="I299" s="2"/>
      <c r="J299" s="2"/>
      <c r="R299" s="2"/>
    </row>
    <row r="300" spans="9:18" ht="12.5">
      <c r="I300" s="2"/>
      <c r="J300" s="2"/>
      <c r="R300" s="2"/>
    </row>
    <row r="301" spans="9:18" ht="12.5">
      <c r="I301" s="2"/>
      <c r="J301" s="2"/>
      <c r="R301" s="2"/>
    </row>
    <row r="302" spans="9:18" ht="12.5">
      <c r="I302" s="2"/>
      <c r="J302" s="2"/>
      <c r="R302" s="2"/>
    </row>
    <row r="303" spans="9:18" ht="12.5">
      <c r="I303" s="2"/>
      <c r="J303" s="2"/>
      <c r="R303" s="2"/>
    </row>
    <row r="304" spans="9:18" ht="12.5">
      <c r="I304" s="2"/>
      <c r="J304" s="2"/>
      <c r="R304" s="2"/>
    </row>
    <row r="305" spans="9:18" ht="12.5">
      <c r="I305" s="2"/>
      <c r="J305" s="2"/>
      <c r="R305" s="2"/>
    </row>
    <row r="306" spans="9:18" ht="12.5">
      <c r="I306" s="2"/>
      <c r="J306" s="2"/>
      <c r="R306" s="2"/>
    </row>
    <row r="307" spans="9:18" ht="12.5">
      <c r="I307" s="2"/>
      <c r="J307" s="2"/>
      <c r="R307" s="2"/>
    </row>
    <row r="308" spans="9:18" ht="12.5">
      <c r="I308" s="2"/>
      <c r="J308" s="2"/>
      <c r="R308" s="2"/>
    </row>
    <row r="309" spans="9:18" ht="12.5">
      <c r="I309" s="2"/>
      <c r="J309" s="2"/>
      <c r="R309" s="2"/>
    </row>
    <row r="310" spans="9:18" ht="12.5">
      <c r="I310" s="2"/>
      <c r="J310" s="2"/>
      <c r="R310" s="2"/>
    </row>
    <row r="311" spans="9:18" ht="12.5">
      <c r="I311" s="2"/>
      <c r="J311" s="2"/>
      <c r="R311" s="2"/>
    </row>
    <row r="312" spans="9:18" ht="12.5">
      <c r="I312" s="2"/>
      <c r="J312" s="2"/>
      <c r="R312" s="2"/>
    </row>
    <row r="313" spans="9:18" ht="12.5">
      <c r="I313" s="2"/>
      <c r="J313" s="2"/>
      <c r="R313" s="2"/>
    </row>
    <row r="314" spans="9:18" ht="12.5">
      <c r="I314" s="2"/>
      <c r="J314" s="2"/>
      <c r="R314" s="2"/>
    </row>
    <row r="315" spans="9:18" ht="12.5">
      <c r="I315" s="2"/>
      <c r="J315" s="2"/>
      <c r="R315" s="2"/>
    </row>
    <row r="316" spans="9:18" ht="12.5">
      <c r="I316" s="2"/>
      <c r="J316" s="2"/>
      <c r="R316" s="2"/>
    </row>
    <row r="317" spans="9:18" ht="12.5">
      <c r="I317" s="2"/>
      <c r="J317" s="2"/>
      <c r="R317" s="2"/>
    </row>
    <row r="318" spans="9:18" ht="12.5">
      <c r="I318" s="2"/>
      <c r="J318" s="2"/>
      <c r="R318" s="2"/>
    </row>
    <row r="319" spans="9:18" ht="12.5">
      <c r="I319" s="2"/>
      <c r="J319" s="2"/>
      <c r="R319" s="2"/>
    </row>
    <row r="320" spans="9:18" ht="12.5">
      <c r="I320" s="2"/>
      <c r="J320" s="2"/>
      <c r="R320" s="2"/>
    </row>
    <row r="321" spans="9:18" ht="12.5">
      <c r="I321" s="2"/>
      <c r="J321" s="2"/>
      <c r="R321" s="2"/>
    </row>
    <row r="322" spans="9:18" ht="12.5">
      <c r="I322" s="2"/>
      <c r="J322" s="2"/>
      <c r="R322" s="2"/>
    </row>
    <row r="323" spans="9:18" ht="12.5">
      <c r="I323" s="2"/>
      <c r="J323" s="2"/>
      <c r="R323" s="2"/>
    </row>
    <row r="324" spans="9:18" ht="12.5">
      <c r="I324" s="2"/>
      <c r="J324" s="2"/>
      <c r="R324" s="2"/>
    </row>
    <row r="325" spans="9:18" ht="12.5">
      <c r="I325" s="2"/>
      <c r="J325" s="2"/>
      <c r="R325" s="2"/>
    </row>
    <row r="326" spans="9:18" ht="12.5">
      <c r="I326" s="2"/>
      <c r="J326" s="2"/>
      <c r="R326" s="2"/>
    </row>
    <row r="327" spans="9:18" ht="12.5">
      <c r="I327" s="2"/>
      <c r="J327" s="2"/>
      <c r="R327" s="2"/>
    </row>
    <row r="328" spans="9:18" ht="12.5">
      <c r="I328" s="2"/>
      <c r="J328" s="2"/>
      <c r="R328" s="2"/>
    </row>
    <row r="329" spans="9:18" ht="12.5">
      <c r="I329" s="2"/>
      <c r="J329" s="2"/>
      <c r="R329" s="2"/>
    </row>
    <row r="330" spans="9:18" ht="12.5">
      <c r="I330" s="2"/>
      <c r="J330" s="2"/>
      <c r="R330" s="2"/>
    </row>
    <row r="331" spans="9:18" ht="12.5">
      <c r="I331" s="2"/>
      <c r="J331" s="2"/>
      <c r="R331" s="2"/>
    </row>
    <row r="332" spans="9:18" ht="12.5">
      <c r="I332" s="2"/>
      <c r="J332" s="2"/>
      <c r="R332" s="2"/>
    </row>
    <row r="333" spans="9:18" ht="12.5">
      <c r="I333" s="2"/>
      <c r="J333" s="2"/>
      <c r="R333" s="2"/>
    </row>
    <row r="334" spans="9:18" ht="12.5">
      <c r="I334" s="2"/>
      <c r="J334" s="2"/>
      <c r="R334" s="2"/>
    </row>
    <row r="335" spans="9:18" ht="12.5">
      <c r="I335" s="2"/>
      <c r="J335" s="2"/>
      <c r="R335" s="2"/>
    </row>
    <row r="336" spans="9:18" ht="12.5">
      <c r="I336" s="2"/>
      <c r="J336" s="2"/>
      <c r="R336" s="2"/>
    </row>
    <row r="337" spans="9:18" ht="12.5">
      <c r="I337" s="2"/>
      <c r="J337" s="2"/>
      <c r="R337" s="2"/>
    </row>
    <row r="338" spans="9:18" ht="12.5">
      <c r="I338" s="2"/>
      <c r="J338" s="2"/>
      <c r="R338" s="2"/>
    </row>
    <row r="339" spans="9:18" ht="12.5">
      <c r="I339" s="2"/>
      <c r="J339" s="2"/>
      <c r="R339" s="2"/>
    </row>
    <row r="340" spans="9:18" ht="12.5">
      <c r="I340" s="2"/>
      <c r="J340" s="2"/>
      <c r="R340" s="2"/>
    </row>
    <row r="341" spans="9:18" ht="12.5">
      <c r="I341" s="2"/>
      <c r="J341" s="2"/>
      <c r="R341" s="2"/>
    </row>
    <row r="342" spans="9:18" ht="12.5">
      <c r="I342" s="2"/>
      <c r="J342" s="2"/>
      <c r="R342" s="2"/>
    </row>
    <row r="343" spans="9:18" ht="12.5">
      <c r="I343" s="2"/>
      <c r="J343" s="2"/>
      <c r="R343" s="2"/>
    </row>
    <row r="344" spans="9:18" ht="12.5">
      <c r="I344" s="2"/>
      <c r="J344" s="2"/>
      <c r="R344" s="2"/>
    </row>
    <row r="345" spans="9:18" ht="12.5">
      <c r="I345" s="2"/>
      <c r="J345" s="2"/>
      <c r="R345" s="2"/>
    </row>
    <row r="346" spans="9:18" ht="12.5">
      <c r="I346" s="2"/>
      <c r="J346" s="2"/>
      <c r="R346" s="2"/>
    </row>
    <row r="347" spans="9:18" ht="12.5">
      <c r="I347" s="2"/>
      <c r="J347" s="2"/>
      <c r="R347" s="2"/>
    </row>
    <row r="348" spans="9:18" ht="12.5">
      <c r="I348" s="2"/>
      <c r="J348" s="2"/>
      <c r="R348" s="2"/>
    </row>
    <row r="349" spans="9:18" ht="12.5">
      <c r="I349" s="2"/>
      <c r="J349" s="2"/>
      <c r="R349" s="2"/>
    </row>
    <row r="350" spans="9:18" ht="12.5">
      <c r="I350" s="2"/>
      <c r="J350" s="2"/>
      <c r="R350" s="2"/>
    </row>
    <row r="351" spans="9:18" ht="12.5">
      <c r="I351" s="2"/>
      <c r="J351" s="2"/>
      <c r="R351" s="2"/>
    </row>
    <row r="352" spans="9:18" ht="12.5">
      <c r="I352" s="2"/>
      <c r="J352" s="2"/>
      <c r="R352" s="2"/>
    </row>
    <row r="353" spans="9:18" ht="12.5">
      <c r="I353" s="2"/>
      <c r="J353" s="2"/>
      <c r="R353" s="2"/>
    </row>
    <row r="354" spans="9:18" ht="12.5">
      <c r="I354" s="2"/>
      <c r="J354" s="2"/>
      <c r="R354" s="2"/>
    </row>
    <row r="355" spans="9:18" ht="12.5">
      <c r="I355" s="2"/>
      <c r="J355" s="2"/>
      <c r="R355" s="2"/>
    </row>
    <row r="356" spans="9:18" ht="12.5">
      <c r="I356" s="2"/>
      <c r="J356" s="2"/>
      <c r="R356" s="2"/>
    </row>
    <row r="357" spans="9:18" ht="12.5">
      <c r="I357" s="2"/>
      <c r="J357" s="2"/>
      <c r="R357" s="2"/>
    </row>
    <row r="358" spans="9:18" ht="12.5">
      <c r="I358" s="2"/>
      <c r="J358" s="2"/>
      <c r="R358" s="2"/>
    </row>
    <row r="359" spans="9:18" ht="12.5">
      <c r="I359" s="2"/>
      <c r="J359" s="2"/>
      <c r="R359" s="2"/>
    </row>
    <row r="360" spans="9:18" ht="12.5">
      <c r="I360" s="2"/>
      <c r="J360" s="2"/>
      <c r="R360" s="2"/>
    </row>
    <row r="361" spans="9:18" ht="12.5">
      <c r="I361" s="2"/>
      <c r="J361" s="2"/>
      <c r="R361" s="2"/>
    </row>
    <row r="362" spans="9:18" ht="12.5">
      <c r="I362" s="2"/>
      <c r="J362" s="2"/>
      <c r="R362" s="2"/>
    </row>
    <row r="363" spans="9:18" ht="12.5">
      <c r="I363" s="2"/>
      <c r="J363" s="2"/>
      <c r="R363" s="2"/>
    </row>
    <row r="364" spans="9:18" ht="12.5">
      <c r="I364" s="2"/>
      <c r="J364" s="2"/>
      <c r="R364" s="2"/>
    </row>
    <row r="365" spans="9:18" ht="12.5">
      <c r="I365" s="2"/>
      <c r="J365" s="2"/>
      <c r="R365" s="2"/>
    </row>
    <row r="366" spans="9:18" ht="12.5">
      <c r="I366" s="2"/>
      <c r="J366" s="2"/>
      <c r="R366" s="2"/>
    </row>
    <row r="367" spans="9:18" ht="12.5">
      <c r="I367" s="2"/>
      <c r="J367" s="2"/>
      <c r="R367" s="2"/>
    </row>
    <row r="368" spans="9:18" ht="12.5">
      <c r="I368" s="2"/>
      <c r="J368" s="2"/>
      <c r="R368" s="2"/>
    </row>
    <row r="369" spans="9:18" ht="12.5">
      <c r="I369" s="2"/>
      <c r="J369" s="2"/>
      <c r="R369" s="2"/>
    </row>
    <row r="370" spans="9:18" ht="12.5">
      <c r="I370" s="2"/>
      <c r="J370" s="2"/>
      <c r="R370" s="2"/>
    </row>
    <row r="371" spans="9:18" ht="12.5">
      <c r="I371" s="2"/>
      <c r="J371" s="2"/>
      <c r="R371" s="2"/>
    </row>
    <row r="372" spans="9:18" ht="12.5">
      <c r="I372" s="2"/>
      <c r="J372" s="2"/>
      <c r="R372" s="2"/>
    </row>
    <row r="373" spans="9:18" ht="12.5">
      <c r="I373" s="2"/>
      <c r="J373" s="2"/>
      <c r="R373" s="2"/>
    </row>
    <row r="374" spans="9:18" ht="12.5">
      <c r="I374" s="2"/>
      <c r="J374" s="2"/>
      <c r="R374" s="2"/>
    </row>
    <row r="375" spans="9:18" ht="12.5">
      <c r="I375" s="2"/>
      <c r="J375" s="2"/>
      <c r="R375" s="2"/>
    </row>
    <row r="376" spans="9:18" ht="12.5">
      <c r="I376" s="2"/>
      <c r="J376" s="2"/>
      <c r="R376" s="2"/>
    </row>
    <row r="377" spans="9:18" ht="12.5">
      <c r="I377" s="2"/>
      <c r="J377" s="2"/>
      <c r="R377" s="2"/>
    </row>
    <row r="378" spans="9:18" ht="12.5">
      <c r="I378" s="2"/>
      <c r="J378" s="2"/>
      <c r="R378" s="2"/>
    </row>
    <row r="379" spans="9:18" ht="12.5">
      <c r="I379" s="2"/>
      <c r="J379" s="2"/>
      <c r="R379" s="2"/>
    </row>
    <row r="380" spans="9:18" ht="12.5">
      <c r="I380" s="2"/>
      <c r="J380" s="2"/>
      <c r="R380" s="2"/>
    </row>
    <row r="381" spans="9:18" ht="12.5">
      <c r="I381" s="2"/>
      <c r="J381" s="2"/>
      <c r="R381" s="2"/>
    </row>
    <row r="382" spans="9:18" ht="12.5">
      <c r="I382" s="2"/>
      <c r="J382" s="2"/>
      <c r="R382" s="2"/>
    </row>
    <row r="383" spans="9:18" ht="12.5">
      <c r="I383" s="2"/>
      <c r="J383" s="2"/>
      <c r="R383" s="2"/>
    </row>
    <row r="384" spans="9:18" ht="12.5">
      <c r="I384" s="2"/>
      <c r="J384" s="2"/>
      <c r="R384" s="2"/>
    </row>
    <row r="385" spans="9:18" ht="12.5">
      <c r="I385" s="2"/>
      <c r="J385" s="2"/>
      <c r="R385" s="2"/>
    </row>
    <row r="386" spans="9:18" ht="12.5">
      <c r="I386" s="2"/>
      <c r="J386" s="2"/>
      <c r="R386" s="2"/>
    </row>
    <row r="387" spans="9:18" ht="12.5">
      <c r="I387" s="2"/>
      <c r="J387" s="2"/>
      <c r="R387" s="2"/>
    </row>
    <row r="388" spans="9:18" ht="12.5">
      <c r="I388" s="2"/>
      <c r="J388" s="2"/>
      <c r="R388" s="2"/>
    </row>
    <row r="389" spans="9:18" ht="12.5">
      <c r="I389" s="2"/>
      <c r="J389" s="2"/>
      <c r="R389" s="2"/>
    </row>
    <row r="390" spans="9:18" ht="12.5">
      <c r="I390" s="2"/>
      <c r="J390" s="2"/>
      <c r="R390" s="2"/>
    </row>
    <row r="391" spans="9:18" ht="12.5">
      <c r="I391" s="2"/>
      <c r="J391" s="2"/>
      <c r="R391" s="2"/>
    </row>
    <row r="392" spans="9:18" ht="12.5">
      <c r="I392" s="2"/>
      <c r="J392" s="2"/>
      <c r="R392" s="2"/>
    </row>
    <row r="393" spans="9:18" ht="12.5">
      <c r="I393" s="2"/>
      <c r="J393" s="2"/>
      <c r="R393" s="2"/>
    </row>
    <row r="394" spans="9:18" ht="12.5">
      <c r="I394" s="2"/>
      <c r="J394" s="2"/>
      <c r="R394" s="2"/>
    </row>
    <row r="395" spans="9:18" ht="12.5">
      <c r="I395" s="2"/>
      <c r="J395" s="2"/>
      <c r="R395" s="2"/>
    </row>
    <row r="396" spans="9:18" ht="12.5">
      <c r="I396" s="2"/>
      <c r="J396" s="2"/>
      <c r="R396" s="2"/>
    </row>
    <row r="397" spans="9:18" ht="12.5">
      <c r="I397" s="2"/>
      <c r="J397" s="2"/>
      <c r="R397" s="2"/>
    </row>
    <row r="398" spans="9:18" ht="12.5">
      <c r="I398" s="2"/>
      <c r="J398" s="2"/>
      <c r="R398" s="2"/>
    </row>
    <row r="399" spans="9:18" ht="12.5">
      <c r="I399" s="2"/>
      <c r="J399" s="2"/>
      <c r="R399" s="2"/>
    </row>
    <row r="400" spans="9:18" ht="12.5">
      <c r="I400" s="2"/>
      <c r="J400" s="2"/>
      <c r="R400" s="2"/>
    </row>
    <row r="401" spans="9:18" ht="12.5">
      <c r="I401" s="2"/>
      <c r="J401" s="2"/>
      <c r="R401" s="2"/>
    </row>
    <row r="402" spans="9:18" ht="12.5">
      <c r="I402" s="2"/>
      <c r="J402" s="2"/>
      <c r="R402" s="2"/>
    </row>
    <row r="403" spans="9:18" ht="12.5">
      <c r="I403" s="2"/>
      <c r="J403" s="2"/>
      <c r="R403" s="2"/>
    </row>
    <row r="404" spans="9:18" ht="12.5">
      <c r="I404" s="2"/>
      <c r="J404" s="2"/>
      <c r="R404" s="2"/>
    </row>
    <row r="405" spans="9:18" ht="12.5">
      <c r="I405" s="2"/>
      <c r="J405" s="2"/>
      <c r="R405" s="2"/>
    </row>
    <row r="406" spans="9:18" ht="12.5">
      <c r="I406" s="2"/>
      <c r="J406" s="2"/>
      <c r="R406" s="2"/>
    </row>
    <row r="407" spans="9:18" ht="12.5">
      <c r="I407" s="2"/>
      <c r="J407" s="2"/>
      <c r="R407" s="2"/>
    </row>
    <row r="408" spans="9:18" ht="12.5">
      <c r="I408" s="2"/>
      <c r="J408" s="2"/>
      <c r="R408" s="2"/>
    </row>
    <row r="409" spans="9:18" ht="12.5">
      <c r="I409" s="2"/>
      <c r="J409" s="2"/>
      <c r="R409" s="2"/>
    </row>
    <row r="410" spans="9:18" ht="12.5">
      <c r="I410" s="2"/>
      <c r="J410" s="2"/>
      <c r="R410" s="2"/>
    </row>
    <row r="411" spans="9:18" ht="12.5">
      <c r="I411" s="2"/>
      <c r="J411" s="2"/>
      <c r="R411" s="2"/>
    </row>
    <row r="412" spans="9:18" ht="12.5">
      <c r="I412" s="2"/>
      <c r="J412" s="2"/>
      <c r="R412" s="2"/>
    </row>
    <row r="413" spans="9:18" ht="12.5">
      <c r="I413" s="2"/>
      <c r="J413" s="2"/>
      <c r="R413" s="2"/>
    </row>
    <row r="414" spans="9:18" ht="12.5">
      <c r="I414" s="2"/>
      <c r="J414" s="2"/>
      <c r="R414" s="2"/>
    </row>
    <row r="415" spans="9:18" ht="12.5">
      <c r="I415" s="2"/>
      <c r="J415" s="2"/>
      <c r="R415" s="2"/>
    </row>
    <row r="416" spans="9:18" ht="12.5">
      <c r="I416" s="2"/>
      <c r="J416" s="2"/>
      <c r="R416" s="2"/>
    </row>
    <row r="417" spans="9:18" ht="12.5">
      <c r="I417" s="2"/>
      <c r="J417" s="2"/>
      <c r="R417" s="2"/>
    </row>
    <row r="418" spans="9:18" ht="12.5">
      <c r="I418" s="2"/>
      <c r="J418" s="2"/>
      <c r="R418" s="2"/>
    </row>
    <row r="419" spans="9:18" ht="12.5">
      <c r="I419" s="2"/>
      <c r="J419" s="2"/>
      <c r="R419" s="2"/>
    </row>
    <row r="420" spans="9:18" ht="12.5">
      <c r="I420" s="2"/>
      <c r="J420" s="2"/>
      <c r="R420" s="2"/>
    </row>
    <row r="421" spans="9:18" ht="12.5">
      <c r="I421" s="2"/>
      <c r="J421" s="2"/>
      <c r="R421" s="2"/>
    </row>
    <row r="422" spans="9:18" ht="12.5">
      <c r="I422" s="2"/>
      <c r="J422" s="2"/>
      <c r="R422" s="2"/>
    </row>
    <row r="423" spans="9:18" ht="12.5">
      <c r="I423" s="2"/>
      <c r="J423" s="2"/>
      <c r="R423" s="2"/>
    </row>
    <row r="424" spans="9:18" ht="12.5">
      <c r="I424" s="2"/>
      <c r="J424" s="2"/>
      <c r="R424" s="2"/>
    </row>
    <row r="425" spans="9:18" ht="12.5">
      <c r="I425" s="2"/>
      <c r="J425" s="2"/>
      <c r="R425" s="2"/>
    </row>
    <row r="426" spans="9:18" ht="12.5">
      <c r="I426" s="2"/>
      <c r="J426" s="2"/>
      <c r="R426" s="2"/>
    </row>
    <row r="427" spans="9:18" ht="12.5">
      <c r="I427" s="2"/>
      <c r="J427" s="2"/>
      <c r="R427" s="2"/>
    </row>
    <row r="428" spans="9:18" ht="12.5">
      <c r="I428" s="2"/>
      <c r="J428" s="2"/>
      <c r="R428" s="2"/>
    </row>
    <row r="429" spans="9:18" ht="12.5">
      <c r="I429" s="2"/>
      <c r="J429" s="2"/>
      <c r="R429" s="2"/>
    </row>
    <row r="430" spans="9:18" ht="12.5">
      <c r="I430" s="2"/>
      <c r="J430" s="2"/>
      <c r="R430" s="2"/>
    </row>
    <row r="431" spans="9:18" ht="12.5">
      <c r="I431" s="2"/>
      <c r="J431" s="2"/>
      <c r="R431" s="2"/>
    </row>
    <row r="432" spans="9:18" ht="12.5">
      <c r="I432" s="2"/>
      <c r="J432" s="2"/>
      <c r="R432" s="2"/>
    </row>
    <row r="433" spans="9:18" ht="12.5">
      <c r="I433" s="2"/>
      <c r="J433" s="2"/>
      <c r="R433" s="2"/>
    </row>
    <row r="434" spans="9:18" ht="12.5">
      <c r="I434" s="2"/>
      <c r="J434" s="2"/>
      <c r="R434" s="2"/>
    </row>
    <row r="435" spans="9:18" ht="12.5">
      <c r="I435" s="2"/>
      <c r="J435" s="2"/>
      <c r="R435" s="2"/>
    </row>
    <row r="436" spans="9:18" ht="12.5">
      <c r="I436" s="2"/>
      <c r="J436" s="2"/>
      <c r="R436" s="2"/>
    </row>
    <row r="437" spans="9:18" ht="12.5">
      <c r="I437" s="2"/>
      <c r="J437" s="2"/>
      <c r="R437" s="2"/>
    </row>
    <row r="438" spans="9:18" ht="12.5">
      <c r="I438" s="2"/>
      <c r="J438" s="2"/>
      <c r="R438" s="2"/>
    </row>
    <row r="439" spans="9:18" ht="12.5">
      <c r="I439" s="2"/>
      <c r="J439" s="2"/>
      <c r="R439" s="2"/>
    </row>
    <row r="440" spans="9:18" ht="12.5">
      <c r="I440" s="2"/>
      <c r="J440" s="2"/>
      <c r="R440" s="2"/>
    </row>
    <row r="441" spans="9:18" ht="12.5">
      <c r="I441" s="2"/>
      <c r="J441" s="2"/>
      <c r="R441" s="2"/>
    </row>
    <row r="442" spans="9:18" ht="12.5">
      <c r="I442" s="2"/>
      <c r="J442" s="2"/>
      <c r="R442" s="2"/>
    </row>
    <row r="443" spans="9:18" ht="12.5">
      <c r="I443" s="2"/>
      <c r="J443" s="2"/>
      <c r="R443" s="2"/>
    </row>
    <row r="444" spans="9:18" ht="12.5">
      <c r="I444" s="2"/>
      <c r="J444" s="2"/>
      <c r="R444" s="2"/>
    </row>
    <row r="445" spans="9:18" ht="12.5">
      <c r="I445" s="2"/>
      <c r="J445" s="2"/>
      <c r="R445" s="2"/>
    </row>
    <row r="446" spans="9:18" ht="12.5">
      <c r="I446" s="2"/>
      <c r="J446" s="2"/>
      <c r="R446" s="2"/>
    </row>
    <row r="447" spans="9:18" ht="12.5">
      <c r="I447" s="2"/>
      <c r="J447" s="2"/>
      <c r="R447" s="2"/>
    </row>
    <row r="448" spans="9:18" ht="12.5">
      <c r="I448" s="2"/>
      <c r="J448" s="2"/>
      <c r="R448" s="2"/>
    </row>
    <row r="449" spans="9:18" ht="12.5">
      <c r="I449" s="2"/>
      <c r="J449" s="2"/>
      <c r="R449" s="2"/>
    </row>
    <row r="450" spans="9:18" ht="12.5">
      <c r="I450" s="2"/>
      <c r="J450" s="2"/>
      <c r="R450" s="2"/>
    </row>
    <row r="451" spans="9:18" ht="12.5">
      <c r="I451" s="2"/>
      <c r="J451" s="2"/>
      <c r="R451" s="2"/>
    </row>
    <row r="452" spans="9:18" ht="12.5">
      <c r="I452" s="2"/>
      <c r="J452" s="2"/>
      <c r="R452" s="2"/>
    </row>
    <row r="453" spans="9:18" ht="12.5">
      <c r="I453" s="2"/>
      <c r="J453" s="2"/>
      <c r="R453" s="2"/>
    </row>
    <row r="454" spans="9:18" ht="12.5">
      <c r="I454" s="2"/>
      <c r="J454" s="2"/>
      <c r="R454" s="2"/>
    </row>
    <row r="455" spans="9:18" ht="12.5">
      <c r="I455" s="2"/>
      <c r="J455" s="2"/>
      <c r="R455" s="2"/>
    </row>
    <row r="456" spans="9:18" ht="12.5">
      <c r="I456" s="2"/>
      <c r="J456" s="2"/>
      <c r="R456" s="2"/>
    </row>
    <row r="457" spans="9:18" ht="12.5">
      <c r="I457" s="2"/>
      <c r="J457" s="2"/>
      <c r="R457" s="2"/>
    </row>
    <row r="458" spans="9:18" ht="12.5">
      <c r="I458" s="2"/>
      <c r="J458" s="2"/>
      <c r="R458" s="2"/>
    </row>
    <row r="459" spans="9:18" ht="12.5">
      <c r="I459" s="2"/>
      <c r="J459" s="2"/>
      <c r="R459" s="2"/>
    </row>
    <row r="460" spans="9:18" ht="12.5">
      <c r="I460" s="2"/>
      <c r="J460" s="2"/>
      <c r="R460" s="2"/>
    </row>
    <row r="461" spans="9:18" ht="12.5">
      <c r="I461" s="2"/>
      <c r="J461" s="2"/>
      <c r="R461" s="2"/>
    </row>
    <row r="462" spans="9:18" ht="12.5">
      <c r="I462" s="2"/>
      <c r="J462" s="2"/>
      <c r="R462" s="2"/>
    </row>
    <row r="463" spans="9:18" ht="12.5">
      <c r="I463" s="2"/>
      <c r="J463" s="2"/>
      <c r="R463" s="2"/>
    </row>
    <row r="464" spans="9:18" ht="12.5">
      <c r="I464" s="2"/>
      <c r="J464" s="2"/>
      <c r="R464" s="2"/>
    </row>
    <row r="465" spans="9:18" ht="12.5">
      <c r="I465" s="2"/>
      <c r="J465" s="2"/>
      <c r="R465" s="2"/>
    </row>
    <row r="466" spans="9:18" ht="12.5">
      <c r="I466" s="2"/>
      <c r="J466" s="2"/>
      <c r="R466" s="2"/>
    </row>
    <row r="467" spans="9:18" ht="12.5">
      <c r="I467" s="2"/>
      <c r="J467" s="2"/>
      <c r="R467" s="2"/>
    </row>
    <row r="468" spans="9:18" ht="12.5">
      <c r="I468" s="2"/>
      <c r="J468" s="2"/>
      <c r="R468" s="2"/>
    </row>
    <row r="469" spans="9:18" ht="12.5">
      <c r="I469" s="2"/>
      <c r="J469" s="2"/>
      <c r="R469" s="2"/>
    </row>
    <row r="470" spans="9:18" ht="12.5">
      <c r="I470" s="2"/>
      <c r="J470" s="2"/>
      <c r="R470" s="2"/>
    </row>
    <row r="471" spans="9:18" ht="12.5">
      <c r="I471" s="2"/>
      <c r="J471" s="2"/>
      <c r="R471" s="2"/>
    </row>
    <row r="472" spans="9:18" ht="12.5">
      <c r="I472" s="2"/>
      <c r="J472" s="2"/>
      <c r="R472" s="2"/>
    </row>
    <row r="473" spans="9:18" ht="12.5">
      <c r="I473" s="2"/>
      <c r="J473" s="2"/>
      <c r="R473" s="2"/>
    </row>
    <row r="474" spans="9:18" ht="12.5">
      <c r="I474" s="2"/>
      <c r="J474" s="2"/>
      <c r="R474" s="2"/>
    </row>
    <row r="475" spans="9:18" ht="12.5">
      <c r="I475" s="2"/>
      <c r="J475" s="2"/>
      <c r="R475" s="2"/>
    </row>
    <row r="476" spans="9:18" ht="12.5">
      <c r="I476" s="2"/>
      <c r="J476" s="2"/>
      <c r="R476" s="2"/>
    </row>
    <row r="477" spans="9:18" ht="12.5">
      <c r="I477" s="2"/>
      <c r="J477" s="2"/>
      <c r="R477" s="2"/>
    </row>
    <row r="478" spans="9:18" ht="12.5">
      <c r="I478" s="2"/>
      <c r="J478" s="2"/>
      <c r="R478" s="2"/>
    </row>
    <row r="479" spans="9:18" ht="12.5">
      <c r="I479" s="2"/>
      <c r="J479" s="2"/>
      <c r="R479" s="2"/>
    </row>
    <row r="480" spans="9:18" ht="12.5">
      <c r="I480" s="2"/>
      <c r="J480" s="2"/>
      <c r="R480" s="2"/>
    </row>
    <row r="481" spans="9:18" ht="12.5">
      <c r="I481" s="2"/>
      <c r="J481" s="2"/>
      <c r="R481" s="2"/>
    </row>
    <row r="482" spans="9:18" ht="12.5">
      <c r="I482" s="2"/>
      <c r="J482" s="2"/>
      <c r="R482" s="2"/>
    </row>
    <row r="483" spans="9:18" ht="12.5">
      <c r="I483" s="2"/>
      <c r="J483" s="2"/>
      <c r="R483" s="2"/>
    </row>
    <row r="484" spans="9:18" ht="12.5">
      <c r="I484" s="2"/>
      <c r="J484" s="2"/>
      <c r="R484" s="2"/>
    </row>
    <row r="485" spans="9:18" ht="12.5">
      <c r="I485" s="2"/>
      <c r="J485" s="2"/>
      <c r="R485" s="2"/>
    </row>
    <row r="486" spans="9:18" ht="12.5">
      <c r="I486" s="2"/>
      <c r="J486" s="2"/>
      <c r="R486" s="2"/>
    </row>
    <row r="487" spans="9:18" ht="12.5">
      <c r="I487" s="2"/>
      <c r="J487" s="2"/>
      <c r="R487" s="2"/>
    </row>
    <row r="488" spans="9:18" ht="12.5">
      <c r="I488" s="2"/>
      <c r="J488" s="2"/>
      <c r="R488" s="2"/>
    </row>
    <row r="489" spans="9:18" ht="12.5">
      <c r="I489" s="2"/>
      <c r="J489" s="2"/>
      <c r="R489" s="2"/>
    </row>
    <row r="490" spans="9:18" ht="12.5">
      <c r="I490" s="2"/>
      <c r="J490" s="2"/>
      <c r="R490" s="2"/>
    </row>
    <row r="491" spans="9:18" ht="12.5">
      <c r="I491" s="2"/>
      <c r="J491" s="2"/>
      <c r="R491" s="2"/>
    </row>
    <row r="492" spans="9:18" ht="12.5">
      <c r="I492" s="2"/>
      <c r="J492" s="2"/>
      <c r="R492" s="2"/>
    </row>
    <row r="493" spans="9:18" ht="12.5">
      <c r="I493" s="2"/>
      <c r="J493" s="2"/>
      <c r="R493" s="2"/>
    </row>
    <row r="494" spans="9:18" ht="12.5">
      <c r="I494" s="2"/>
      <c r="J494" s="2"/>
      <c r="R494" s="2"/>
    </row>
    <row r="495" spans="9:18" ht="12.5">
      <c r="I495" s="2"/>
      <c r="J495" s="2"/>
      <c r="R495" s="2"/>
    </row>
    <row r="496" spans="9:18" ht="12.5">
      <c r="I496" s="2"/>
      <c r="J496" s="2"/>
      <c r="R496" s="2"/>
    </row>
    <row r="497" spans="9:18" ht="12.5">
      <c r="I497" s="2"/>
      <c r="J497" s="2"/>
      <c r="R497" s="2"/>
    </row>
    <row r="498" spans="9:18" ht="12.5">
      <c r="I498" s="2"/>
      <c r="J498" s="2"/>
      <c r="R498" s="2"/>
    </row>
    <row r="499" spans="9:18" ht="12.5">
      <c r="I499" s="2"/>
      <c r="J499" s="2"/>
      <c r="R499" s="2"/>
    </row>
    <row r="500" spans="9:18" ht="12.5">
      <c r="I500" s="2"/>
      <c r="J500" s="2"/>
      <c r="R500" s="2"/>
    </row>
    <row r="501" spans="9:18" ht="12.5">
      <c r="I501" s="2"/>
      <c r="J501" s="2"/>
      <c r="R501" s="2"/>
    </row>
    <row r="502" spans="9:18" ht="12.5">
      <c r="I502" s="2"/>
      <c r="J502" s="2"/>
      <c r="R502" s="2"/>
    </row>
    <row r="503" spans="9:18" ht="12.5">
      <c r="I503" s="2"/>
      <c r="J503" s="2"/>
      <c r="R503" s="2"/>
    </row>
    <row r="504" spans="9:18" ht="12.5">
      <c r="I504" s="2"/>
      <c r="J504" s="2"/>
      <c r="R504" s="2"/>
    </row>
    <row r="505" spans="9:18" ht="12.5">
      <c r="I505" s="2"/>
      <c r="J505" s="2"/>
      <c r="R505" s="2"/>
    </row>
    <row r="506" spans="9:18" ht="12.5">
      <c r="I506" s="2"/>
      <c r="J506" s="2"/>
      <c r="R506" s="2"/>
    </row>
    <row r="507" spans="9:18" ht="12.5">
      <c r="I507" s="2"/>
      <c r="J507" s="2"/>
      <c r="R507" s="2"/>
    </row>
    <row r="508" spans="9:18" ht="12.5">
      <c r="I508" s="2"/>
      <c r="J508" s="2"/>
      <c r="R508" s="2"/>
    </row>
    <row r="509" spans="9:18" ht="12.5">
      <c r="I509" s="2"/>
      <c r="J509" s="2"/>
      <c r="R509" s="2"/>
    </row>
    <row r="510" spans="9:18" ht="12.5">
      <c r="I510" s="2"/>
      <c r="J510" s="2"/>
      <c r="R510" s="2"/>
    </row>
    <row r="511" spans="9:18" ht="12.5">
      <c r="I511" s="2"/>
      <c r="J511" s="2"/>
      <c r="R511" s="2"/>
    </row>
    <row r="512" spans="9:18" ht="12.5">
      <c r="I512" s="2"/>
      <c r="J512" s="2"/>
      <c r="R512" s="2"/>
    </row>
    <row r="513" spans="9:18" ht="12.5">
      <c r="I513" s="2"/>
      <c r="J513" s="2"/>
      <c r="R513" s="2"/>
    </row>
    <row r="514" spans="9:18" ht="12.5">
      <c r="I514" s="2"/>
      <c r="J514" s="2"/>
      <c r="R514" s="2"/>
    </row>
    <row r="515" spans="9:18" ht="12.5">
      <c r="I515" s="2"/>
      <c r="J515" s="2"/>
      <c r="R515" s="2"/>
    </row>
    <row r="516" spans="9:18" ht="12.5">
      <c r="I516" s="2"/>
      <c r="J516" s="2"/>
      <c r="R516" s="2"/>
    </row>
    <row r="517" spans="9:18" ht="12.5">
      <c r="I517" s="2"/>
      <c r="J517" s="2"/>
      <c r="R517" s="2"/>
    </row>
    <row r="518" spans="9:18" ht="12.5">
      <c r="I518" s="2"/>
      <c r="J518" s="2"/>
      <c r="R518" s="2"/>
    </row>
    <row r="519" spans="9:18" ht="12.5">
      <c r="I519" s="2"/>
      <c r="J519" s="2"/>
      <c r="R519" s="2"/>
    </row>
    <row r="520" spans="9:18" ht="12.5">
      <c r="I520" s="2"/>
      <c r="J520" s="2"/>
      <c r="R520" s="2"/>
    </row>
    <row r="521" spans="9:18" ht="12.5">
      <c r="I521" s="2"/>
      <c r="J521" s="2"/>
      <c r="R521" s="2"/>
    </row>
    <row r="522" spans="9:18" ht="12.5">
      <c r="I522" s="2"/>
      <c r="J522" s="2"/>
      <c r="R522" s="2"/>
    </row>
    <row r="523" spans="9:18" ht="12.5">
      <c r="I523" s="2"/>
      <c r="J523" s="2"/>
      <c r="R523" s="2"/>
    </row>
    <row r="524" spans="9:18" ht="12.5">
      <c r="I524" s="2"/>
      <c r="J524" s="2"/>
      <c r="R524" s="2"/>
    </row>
    <row r="525" spans="9:18" ht="12.5">
      <c r="I525" s="2"/>
      <c r="J525" s="2"/>
      <c r="R525" s="2"/>
    </row>
    <row r="526" spans="9:18" ht="12.5">
      <c r="I526" s="2"/>
      <c r="J526" s="2"/>
      <c r="R526" s="2"/>
    </row>
    <row r="527" spans="9:18" ht="12.5">
      <c r="I527" s="2"/>
      <c r="J527" s="2"/>
      <c r="R527" s="2"/>
    </row>
    <row r="528" spans="9:18" ht="12.5">
      <c r="I528" s="2"/>
      <c r="J528" s="2"/>
      <c r="R528" s="2"/>
    </row>
    <row r="529" spans="9:18" ht="12.5">
      <c r="I529" s="2"/>
      <c r="J529" s="2"/>
      <c r="R529" s="2"/>
    </row>
    <row r="530" spans="9:18" ht="12.5">
      <c r="I530" s="2"/>
      <c r="J530" s="2"/>
      <c r="R530" s="2"/>
    </row>
    <row r="531" spans="9:18" ht="12.5">
      <c r="I531" s="2"/>
      <c r="J531" s="2"/>
      <c r="R531" s="2"/>
    </row>
    <row r="532" spans="9:18" ht="12.5">
      <c r="I532" s="2"/>
      <c r="J532" s="2"/>
      <c r="R532" s="2"/>
    </row>
    <row r="533" spans="9:18" ht="12.5">
      <c r="I533" s="2"/>
      <c r="J533" s="2"/>
      <c r="R533" s="2"/>
    </row>
    <row r="534" spans="9:18" ht="12.5">
      <c r="I534" s="2"/>
      <c r="J534" s="2"/>
      <c r="R534" s="2"/>
    </row>
    <row r="535" spans="9:18" ht="12.5">
      <c r="I535" s="2"/>
      <c r="J535" s="2"/>
      <c r="R535" s="2"/>
    </row>
    <row r="536" spans="9:18" ht="12.5">
      <c r="I536" s="2"/>
      <c r="J536" s="2"/>
      <c r="R536" s="2"/>
    </row>
    <row r="537" spans="9:18" ht="12.5">
      <c r="I537" s="2"/>
      <c r="J537" s="2"/>
      <c r="R537" s="2"/>
    </row>
    <row r="538" spans="9:18" ht="12.5">
      <c r="I538" s="2"/>
      <c r="J538" s="2"/>
      <c r="R538" s="2"/>
    </row>
    <row r="539" spans="9:18" ht="12.5">
      <c r="I539" s="2"/>
      <c r="J539" s="2"/>
      <c r="R539" s="2"/>
    </row>
    <row r="540" spans="9:18" ht="12.5">
      <c r="I540" s="2"/>
      <c r="J540" s="2"/>
      <c r="R540" s="2"/>
    </row>
    <row r="541" spans="9:18" ht="12.5">
      <c r="I541" s="2"/>
      <c r="J541" s="2"/>
      <c r="R541" s="2"/>
    </row>
    <row r="542" spans="9:18" ht="12.5">
      <c r="I542" s="2"/>
      <c r="J542" s="2"/>
      <c r="R542" s="2"/>
    </row>
    <row r="543" spans="9:18" ht="12.5">
      <c r="I543" s="2"/>
      <c r="J543" s="2"/>
      <c r="R543" s="2"/>
    </row>
    <row r="544" spans="9:18" ht="12.5">
      <c r="I544" s="2"/>
      <c r="J544" s="2"/>
      <c r="R544" s="2"/>
    </row>
    <row r="545" spans="9:18" ht="12.5">
      <c r="I545" s="2"/>
      <c r="J545" s="2"/>
      <c r="R545" s="2"/>
    </row>
    <row r="546" spans="9:18" ht="12.5">
      <c r="I546" s="2"/>
      <c r="J546" s="2"/>
      <c r="R546" s="2"/>
    </row>
    <row r="547" spans="9:18" ht="12.5">
      <c r="I547" s="2"/>
      <c r="J547" s="2"/>
      <c r="R547" s="2"/>
    </row>
    <row r="548" spans="9:18" ht="12.5">
      <c r="I548" s="2"/>
      <c r="J548" s="2"/>
      <c r="R548" s="2"/>
    </row>
    <row r="549" spans="9:18" ht="12.5">
      <c r="I549" s="2"/>
      <c r="J549" s="2"/>
      <c r="R549" s="2"/>
    </row>
    <row r="550" spans="9:18" ht="12.5">
      <c r="I550" s="2"/>
      <c r="J550" s="2"/>
      <c r="R550" s="2"/>
    </row>
    <row r="551" spans="9:18" ht="12.5">
      <c r="I551" s="2"/>
      <c r="J551" s="2"/>
      <c r="R551" s="2"/>
    </row>
    <row r="552" spans="9:18" ht="12.5">
      <c r="I552" s="2"/>
      <c r="J552" s="2"/>
      <c r="R552" s="2"/>
    </row>
    <row r="553" spans="9:18" ht="12.5">
      <c r="I553" s="2"/>
      <c r="J553" s="2"/>
      <c r="R553" s="2"/>
    </row>
    <row r="554" spans="9:18" ht="12.5">
      <c r="I554" s="2"/>
      <c r="J554" s="2"/>
      <c r="R554" s="2"/>
    </row>
    <row r="555" spans="9:18" ht="12.5">
      <c r="I555" s="2"/>
      <c r="J555" s="2"/>
      <c r="R555" s="2"/>
    </row>
    <row r="556" spans="9:18" ht="12.5">
      <c r="I556" s="2"/>
      <c r="J556" s="2"/>
      <c r="R556" s="2"/>
    </row>
    <row r="557" spans="9:18" ht="12.5">
      <c r="I557" s="2"/>
      <c r="J557" s="2"/>
      <c r="R557" s="2"/>
    </row>
    <row r="558" spans="9:18" ht="12.5">
      <c r="I558" s="2"/>
      <c r="J558" s="2"/>
      <c r="R558" s="2"/>
    </row>
    <row r="559" spans="9:18" ht="12.5">
      <c r="I559" s="2"/>
      <c r="J559" s="2"/>
      <c r="R559" s="2"/>
    </row>
    <row r="560" spans="9:18" ht="12.5">
      <c r="I560" s="2"/>
      <c r="J560" s="2"/>
      <c r="R560" s="2"/>
    </row>
    <row r="561" spans="9:18" ht="12.5">
      <c r="I561" s="2"/>
      <c r="J561" s="2"/>
      <c r="R561" s="2"/>
    </row>
    <row r="562" spans="9:18" ht="12.5">
      <c r="I562" s="2"/>
      <c r="J562" s="2"/>
      <c r="R562" s="2"/>
    </row>
    <row r="563" spans="9:18" ht="12.5">
      <c r="I563" s="2"/>
      <c r="J563" s="2"/>
      <c r="R563" s="2"/>
    </row>
    <row r="564" spans="9:18" ht="12.5">
      <c r="I564" s="2"/>
      <c r="J564" s="2"/>
      <c r="R564" s="2"/>
    </row>
    <row r="565" spans="9:18" ht="12.5">
      <c r="I565" s="2"/>
      <c r="J565" s="2"/>
      <c r="R565" s="2"/>
    </row>
    <row r="566" spans="9:18" ht="12.5">
      <c r="I566" s="2"/>
      <c r="J566" s="2"/>
      <c r="R566" s="2"/>
    </row>
    <row r="567" spans="9:18" ht="12.5">
      <c r="I567" s="2"/>
      <c r="J567" s="2"/>
      <c r="R567" s="2"/>
    </row>
    <row r="568" spans="9:18" ht="12.5">
      <c r="I568" s="2"/>
      <c r="J568" s="2"/>
      <c r="R568" s="2"/>
    </row>
    <row r="569" spans="9:18" ht="12.5">
      <c r="I569" s="2"/>
      <c r="J569" s="2"/>
      <c r="R569" s="2"/>
    </row>
    <row r="570" spans="9:18" ht="12.5">
      <c r="I570" s="2"/>
      <c r="J570" s="2"/>
      <c r="R570" s="2"/>
    </row>
    <row r="571" spans="9:18" ht="12.5">
      <c r="I571" s="2"/>
      <c r="J571" s="2"/>
      <c r="R571" s="2"/>
    </row>
    <row r="572" spans="9:18" ht="12.5">
      <c r="I572" s="2"/>
      <c r="J572" s="2"/>
      <c r="R572" s="2"/>
    </row>
    <row r="573" spans="9:18" ht="12.5">
      <c r="I573" s="2"/>
      <c r="J573" s="2"/>
      <c r="R573" s="2"/>
    </row>
    <row r="574" spans="9:18" ht="12.5">
      <c r="I574" s="2"/>
      <c r="J574" s="2"/>
      <c r="R574" s="2"/>
    </row>
    <row r="575" spans="9:18" ht="12.5">
      <c r="I575" s="2"/>
      <c r="J575" s="2"/>
      <c r="R575" s="2"/>
    </row>
    <row r="576" spans="9:18" ht="12.5">
      <c r="I576" s="2"/>
      <c r="J576" s="2"/>
      <c r="R576" s="2"/>
    </row>
    <row r="577" spans="9:18" ht="12.5">
      <c r="I577" s="2"/>
      <c r="J577" s="2"/>
      <c r="R577" s="2"/>
    </row>
    <row r="578" spans="9:18" ht="12.5">
      <c r="I578" s="2"/>
      <c r="J578" s="2"/>
      <c r="R578" s="2"/>
    </row>
    <row r="579" spans="9:18" ht="12.5">
      <c r="I579" s="2"/>
      <c r="J579" s="2"/>
      <c r="R579" s="2"/>
    </row>
    <row r="580" spans="9:18" ht="12.5">
      <c r="I580" s="2"/>
      <c r="J580" s="2"/>
      <c r="R580" s="2"/>
    </row>
    <row r="581" spans="9:18" ht="12.5">
      <c r="I581" s="2"/>
      <c r="J581" s="2"/>
      <c r="R581" s="2"/>
    </row>
    <row r="582" spans="9:18" ht="12.5">
      <c r="I582" s="2"/>
      <c r="J582" s="2"/>
      <c r="R582" s="2"/>
    </row>
    <row r="583" spans="9:18" ht="12.5">
      <c r="I583" s="2"/>
      <c r="J583" s="2"/>
      <c r="R583" s="2"/>
    </row>
    <row r="584" spans="9:18" ht="12.5">
      <c r="I584" s="2"/>
      <c r="J584" s="2"/>
      <c r="R584" s="2"/>
    </row>
    <row r="585" spans="9:18" ht="12.5">
      <c r="I585" s="2"/>
      <c r="J585" s="2"/>
      <c r="R585" s="2"/>
    </row>
    <row r="586" spans="9:18" ht="12.5">
      <c r="I586" s="2"/>
      <c r="J586" s="2"/>
      <c r="R586" s="2"/>
    </row>
    <row r="587" spans="9:18" ht="12.5">
      <c r="I587" s="2"/>
      <c r="J587" s="2"/>
      <c r="R587" s="2"/>
    </row>
    <row r="588" spans="9:18" ht="12.5">
      <c r="I588" s="2"/>
      <c r="J588" s="2"/>
      <c r="R588" s="2"/>
    </row>
    <row r="589" spans="9:18" ht="12.5">
      <c r="I589" s="2"/>
      <c r="J589" s="2"/>
      <c r="R589" s="2"/>
    </row>
    <row r="590" spans="9:18" ht="12.5">
      <c r="I590" s="2"/>
      <c r="J590" s="2"/>
      <c r="R590" s="2"/>
    </row>
    <row r="591" spans="9:18" ht="12.5">
      <c r="I591" s="2"/>
      <c r="J591" s="2"/>
      <c r="R591" s="2"/>
    </row>
    <row r="592" spans="9:18" ht="12.5">
      <c r="I592" s="2"/>
      <c r="J592" s="2"/>
      <c r="R592" s="2"/>
    </row>
    <row r="593" spans="9:18" ht="12.5">
      <c r="I593" s="2"/>
      <c r="J593" s="2"/>
      <c r="R593" s="2"/>
    </row>
    <row r="594" spans="9:18" ht="12.5">
      <c r="I594" s="2"/>
      <c r="J594" s="2"/>
      <c r="R594" s="2"/>
    </row>
    <row r="595" spans="9:18" ht="12.5">
      <c r="I595" s="2"/>
      <c r="J595" s="2"/>
      <c r="R595" s="2"/>
    </row>
    <row r="596" spans="9:18" ht="12.5">
      <c r="I596" s="2"/>
      <c r="J596" s="2"/>
      <c r="R596" s="2"/>
    </row>
    <row r="597" spans="9:18" ht="12.5">
      <c r="I597" s="2"/>
      <c r="J597" s="2"/>
      <c r="R597" s="2"/>
    </row>
    <row r="598" spans="9:18" ht="12.5">
      <c r="I598" s="2"/>
      <c r="J598" s="2"/>
      <c r="R598" s="2"/>
    </row>
    <row r="599" spans="9:18" ht="12.5">
      <c r="I599" s="2"/>
      <c r="J599" s="2"/>
      <c r="R599" s="2"/>
    </row>
    <row r="600" spans="9:18" ht="12.5">
      <c r="I600" s="2"/>
      <c r="J600" s="2"/>
      <c r="R600" s="2"/>
    </row>
    <row r="601" spans="9:18" ht="12.5">
      <c r="I601" s="2"/>
      <c r="J601" s="2"/>
      <c r="R601" s="2"/>
    </row>
    <row r="602" spans="9:18" ht="12.5">
      <c r="I602" s="2"/>
      <c r="J602" s="2"/>
      <c r="R602" s="2"/>
    </row>
    <row r="603" spans="9:18" ht="12.5">
      <c r="I603" s="2"/>
      <c r="J603" s="2"/>
      <c r="R603" s="2"/>
    </row>
    <row r="604" spans="9:18" ht="12.5">
      <c r="I604" s="2"/>
      <c r="J604" s="2"/>
      <c r="R604" s="2"/>
    </row>
    <row r="605" spans="9:18" ht="12.5">
      <c r="I605" s="2"/>
      <c r="J605" s="2"/>
      <c r="R605" s="2"/>
    </row>
    <row r="606" spans="9:18" ht="12.5">
      <c r="I606" s="2"/>
      <c r="J606" s="2"/>
      <c r="R606" s="2"/>
    </row>
    <row r="607" spans="9:18" ht="12.5">
      <c r="I607" s="2"/>
      <c r="J607" s="2"/>
      <c r="R607" s="2"/>
    </row>
    <row r="608" spans="9:18" ht="12.5">
      <c r="I608" s="2"/>
      <c r="J608" s="2"/>
      <c r="R608" s="2"/>
    </row>
    <row r="609" spans="9:18" ht="12.5">
      <c r="I609" s="2"/>
      <c r="J609" s="2"/>
      <c r="R609" s="2"/>
    </row>
    <row r="610" spans="9:18" ht="12.5">
      <c r="I610" s="2"/>
      <c r="J610" s="2"/>
      <c r="R610" s="2"/>
    </row>
    <row r="611" spans="9:18" ht="12.5">
      <c r="I611" s="2"/>
      <c r="J611" s="2"/>
      <c r="R611" s="2"/>
    </row>
    <row r="612" spans="9:18" ht="12.5">
      <c r="I612" s="2"/>
      <c r="J612" s="2"/>
      <c r="R612" s="2"/>
    </row>
    <row r="613" spans="9:18" ht="12.5">
      <c r="I613" s="2"/>
      <c r="J613" s="2"/>
      <c r="R613" s="2"/>
    </row>
    <row r="614" spans="9:18" ht="12.5">
      <c r="I614" s="2"/>
      <c r="J614" s="2"/>
      <c r="R614" s="2"/>
    </row>
    <row r="615" spans="9:18" ht="12.5">
      <c r="I615" s="2"/>
      <c r="J615" s="2"/>
      <c r="R615" s="2"/>
    </row>
    <row r="616" spans="9:18" ht="12.5">
      <c r="I616" s="2"/>
      <c r="J616" s="2"/>
      <c r="R616" s="2"/>
    </row>
    <row r="617" spans="9:18" ht="12.5">
      <c r="I617" s="2"/>
      <c r="J617" s="2"/>
      <c r="R617" s="2"/>
    </row>
    <row r="618" spans="9:18" ht="12.5">
      <c r="I618" s="2"/>
      <c r="J618" s="2"/>
      <c r="R618" s="2"/>
    </row>
    <row r="619" spans="9:18" ht="12.5">
      <c r="I619" s="2"/>
      <c r="J619" s="2"/>
      <c r="R619" s="2"/>
    </row>
    <row r="620" spans="9:18" ht="12.5">
      <c r="I620" s="2"/>
      <c r="J620" s="2"/>
      <c r="R620" s="2"/>
    </row>
    <row r="621" spans="9:18" ht="12.5">
      <c r="I621" s="2"/>
      <c r="J621" s="2"/>
      <c r="R621" s="2"/>
    </row>
    <row r="622" spans="9:18" ht="12.5">
      <c r="I622" s="2"/>
      <c r="J622" s="2"/>
      <c r="R622" s="2"/>
    </row>
    <row r="623" spans="9:18" ht="12.5">
      <c r="I623" s="2"/>
      <c r="J623" s="2"/>
      <c r="R623" s="2"/>
    </row>
    <row r="624" spans="9:18" ht="12.5">
      <c r="I624" s="2"/>
      <c r="J624" s="2"/>
      <c r="R624" s="2"/>
    </row>
    <row r="625" spans="9:18" ht="12.5">
      <c r="I625" s="2"/>
      <c r="J625" s="2"/>
      <c r="R625" s="2"/>
    </row>
    <row r="626" spans="9:18" ht="12.5">
      <c r="I626" s="2"/>
      <c r="J626" s="2"/>
      <c r="R626" s="2"/>
    </row>
    <row r="627" spans="9:18" ht="12.5">
      <c r="I627" s="2"/>
      <c r="J627" s="2"/>
      <c r="R627" s="2"/>
    </row>
    <row r="628" spans="9:18" ht="12.5">
      <c r="I628" s="2"/>
      <c r="J628" s="2"/>
      <c r="R628" s="2"/>
    </row>
    <row r="629" spans="9:18" ht="12.5">
      <c r="I629" s="2"/>
      <c r="J629" s="2"/>
      <c r="R629" s="2"/>
    </row>
    <row r="630" spans="9:18" ht="12.5">
      <c r="I630" s="2"/>
      <c r="J630" s="2"/>
      <c r="R630" s="2"/>
    </row>
    <row r="631" spans="9:18" ht="12.5">
      <c r="I631" s="2"/>
      <c r="J631" s="2"/>
      <c r="R631" s="2"/>
    </row>
    <row r="632" spans="9:18" ht="12.5">
      <c r="I632" s="2"/>
      <c r="J632" s="2"/>
      <c r="R632" s="2"/>
    </row>
    <row r="633" spans="9:18" ht="12.5">
      <c r="I633" s="2"/>
      <c r="J633" s="2"/>
      <c r="R633" s="2"/>
    </row>
    <row r="634" spans="9:18" ht="12.5">
      <c r="I634" s="2"/>
      <c r="J634" s="2"/>
      <c r="R634" s="2"/>
    </row>
    <row r="635" spans="9:18" ht="12.5">
      <c r="I635" s="2"/>
      <c r="J635" s="2"/>
      <c r="R635" s="2"/>
    </row>
    <row r="636" spans="9:18" ht="12.5">
      <c r="I636" s="2"/>
      <c r="J636" s="2"/>
      <c r="R636" s="2"/>
    </row>
    <row r="637" spans="9:18" ht="12.5">
      <c r="I637" s="2"/>
      <c r="J637" s="2"/>
      <c r="R637" s="2"/>
    </row>
    <row r="638" spans="9:18" ht="12.5">
      <c r="I638" s="2"/>
      <c r="J638" s="2"/>
      <c r="R638" s="2"/>
    </row>
    <row r="639" spans="9:18" ht="12.5">
      <c r="I639" s="2"/>
      <c r="J639" s="2"/>
      <c r="R639" s="2"/>
    </row>
    <row r="640" spans="9:18" ht="12.5">
      <c r="I640" s="2"/>
      <c r="J640" s="2"/>
      <c r="R640" s="2"/>
    </row>
    <row r="641" spans="9:18" ht="12.5">
      <c r="I641" s="2"/>
      <c r="J641" s="2"/>
      <c r="R641" s="2"/>
    </row>
    <row r="642" spans="9:18" ht="12.5">
      <c r="I642" s="2"/>
      <c r="J642" s="2"/>
      <c r="R642" s="2"/>
    </row>
    <row r="643" spans="9:18" ht="12.5">
      <c r="I643" s="2"/>
      <c r="J643" s="2"/>
      <c r="R643" s="2"/>
    </row>
    <row r="644" spans="9:18" ht="12.5">
      <c r="I644" s="2"/>
      <c r="J644" s="2"/>
      <c r="R644" s="2"/>
    </row>
    <row r="645" spans="9:18" ht="12.5">
      <c r="I645" s="2"/>
      <c r="J645" s="2"/>
      <c r="R645" s="2"/>
    </row>
    <row r="646" spans="9:18" ht="12.5">
      <c r="I646" s="2"/>
      <c r="J646" s="2"/>
      <c r="R646" s="2"/>
    </row>
    <row r="647" spans="9:18" ht="12.5">
      <c r="I647" s="2"/>
      <c r="J647" s="2"/>
      <c r="R647" s="2"/>
    </row>
    <row r="648" spans="9:18" ht="12.5">
      <c r="I648" s="2"/>
      <c r="J648" s="2"/>
      <c r="R648" s="2"/>
    </row>
    <row r="649" spans="9:18" ht="12.5">
      <c r="I649" s="2"/>
      <c r="J649" s="2"/>
      <c r="R649" s="2"/>
    </row>
    <row r="650" spans="9:18" ht="12.5">
      <c r="I650" s="2"/>
      <c r="J650" s="2"/>
      <c r="R650" s="2"/>
    </row>
    <row r="651" spans="9:18" ht="12.5">
      <c r="I651" s="2"/>
      <c r="J651" s="2"/>
      <c r="R651" s="2"/>
    </row>
    <row r="652" spans="9:18" ht="12.5">
      <c r="I652" s="2"/>
      <c r="J652" s="2"/>
      <c r="R652" s="2"/>
    </row>
    <row r="653" spans="9:18" ht="12.5">
      <c r="I653" s="2"/>
      <c r="J653" s="2"/>
      <c r="R653" s="2"/>
    </row>
    <row r="654" spans="9:18" ht="12.5">
      <c r="I654" s="2"/>
      <c r="J654" s="2"/>
      <c r="R654" s="2"/>
    </row>
    <row r="655" spans="9:18" ht="12.5">
      <c r="I655" s="2"/>
      <c r="J655" s="2"/>
      <c r="R655" s="2"/>
    </row>
    <row r="656" spans="9:18" ht="12.5">
      <c r="I656" s="2"/>
      <c r="J656" s="2"/>
      <c r="R656" s="2"/>
    </row>
    <row r="657" spans="9:18" ht="12.5">
      <c r="I657" s="2"/>
      <c r="J657" s="2"/>
      <c r="R657" s="2"/>
    </row>
    <row r="658" spans="9:18" ht="12.5">
      <c r="I658" s="2"/>
      <c r="J658" s="2"/>
      <c r="R658" s="2"/>
    </row>
    <row r="659" spans="9:18" ht="12.5">
      <c r="I659" s="2"/>
      <c r="J659" s="2"/>
      <c r="R659" s="2"/>
    </row>
    <row r="660" spans="9:18" ht="12.5">
      <c r="I660" s="2"/>
      <c r="J660" s="2"/>
      <c r="R660" s="2"/>
    </row>
    <row r="661" spans="9:18" ht="12.5">
      <c r="I661" s="2"/>
      <c r="J661" s="2"/>
      <c r="R661" s="2"/>
    </row>
    <row r="662" spans="9:18" ht="12.5">
      <c r="I662" s="2"/>
      <c r="J662" s="2"/>
      <c r="R662" s="2"/>
    </row>
    <row r="663" spans="9:18" ht="12.5">
      <c r="I663" s="2"/>
      <c r="J663" s="2"/>
      <c r="R663" s="2"/>
    </row>
    <row r="664" spans="9:18" ht="12.5">
      <c r="I664" s="2"/>
      <c r="J664" s="2"/>
      <c r="R664" s="2"/>
    </row>
    <row r="665" spans="9:18" ht="12.5">
      <c r="I665" s="2"/>
      <c r="J665" s="2"/>
      <c r="R665" s="2"/>
    </row>
    <row r="666" spans="9:18" ht="12.5">
      <c r="I666" s="2"/>
      <c r="J666" s="2"/>
      <c r="R666" s="2"/>
    </row>
    <row r="667" spans="9:18" ht="12.5">
      <c r="I667" s="2"/>
      <c r="J667" s="2"/>
      <c r="R667" s="2"/>
    </row>
    <row r="668" spans="9:18" ht="12.5">
      <c r="I668" s="2"/>
      <c r="J668" s="2"/>
      <c r="R668" s="2"/>
    </row>
    <row r="669" spans="9:18" ht="12.5">
      <c r="I669" s="2"/>
      <c r="J669" s="2"/>
      <c r="R669" s="2"/>
    </row>
    <row r="670" spans="9:18" ht="12.5">
      <c r="I670" s="2"/>
      <c r="J670" s="2"/>
      <c r="R670" s="2"/>
    </row>
    <row r="671" spans="9:18" ht="12.5">
      <c r="I671" s="2"/>
      <c r="J671" s="2"/>
      <c r="R671" s="2"/>
    </row>
    <row r="672" spans="9:18" ht="12.5">
      <c r="I672" s="2"/>
      <c r="J672" s="2"/>
      <c r="R672" s="2"/>
    </row>
    <row r="673" spans="9:18" ht="12.5">
      <c r="I673" s="2"/>
      <c r="J673" s="2"/>
      <c r="R673" s="2"/>
    </row>
    <row r="674" spans="9:18" ht="12.5">
      <c r="I674" s="2"/>
      <c r="J674" s="2"/>
      <c r="R674" s="2"/>
    </row>
    <row r="675" spans="9:18" ht="12.5">
      <c r="I675" s="2"/>
      <c r="J675" s="2"/>
      <c r="R675" s="2"/>
    </row>
    <row r="676" spans="9:18" ht="12.5">
      <c r="I676" s="2"/>
      <c r="J676" s="2"/>
      <c r="R676" s="2"/>
    </row>
    <row r="677" spans="9:18" ht="12.5">
      <c r="I677" s="2"/>
      <c r="J677" s="2"/>
      <c r="R677" s="2"/>
    </row>
    <row r="678" spans="9:18" ht="12.5">
      <c r="I678" s="2"/>
      <c r="J678" s="2"/>
      <c r="R678" s="2"/>
    </row>
    <row r="679" spans="9:18" ht="12.5">
      <c r="I679" s="2"/>
      <c r="J679" s="2"/>
      <c r="R679" s="2"/>
    </row>
    <row r="680" spans="9:18" ht="12.5">
      <c r="I680" s="2"/>
      <c r="J680" s="2"/>
      <c r="R680" s="2"/>
    </row>
    <row r="681" spans="9:18" ht="12.5">
      <c r="I681" s="2"/>
      <c r="J681" s="2"/>
      <c r="R681" s="2"/>
    </row>
    <row r="682" spans="9:18" ht="12.5">
      <c r="I682" s="2"/>
      <c r="J682" s="2"/>
      <c r="R682" s="2"/>
    </row>
    <row r="683" spans="9:18" ht="12.5">
      <c r="I683" s="2"/>
      <c r="J683" s="2"/>
      <c r="R683" s="2"/>
    </row>
    <row r="684" spans="9:18" ht="12.5">
      <c r="I684" s="2"/>
      <c r="J684" s="2"/>
      <c r="R684" s="2"/>
    </row>
    <row r="685" spans="9:18" ht="12.5">
      <c r="I685" s="2"/>
      <c r="J685" s="2"/>
      <c r="R685" s="2"/>
    </row>
    <row r="686" spans="9:18" ht="12.5">
      <c r="I686" s="2"/>
      <c r="J686" s="2"/>
      <c r="R686" s="2"/>
    </row>
    <row r="687" spans="9:18" ht="12.5">
      <c r="I687" s="2"/>
      <c r="J687" s="2"/>
      <c r="R687" s="2"/>
    </row>
    <row r="688" spans="9:18" ht="12.5">
      <c r="I688" s="2"/>
      <c r="J688" s="2"/>
      <c r="R688" s="2"/>
    </row>
    <row r="689" spans="9:18" ht="12.5">
      <c r="I689" s="2"/>
      <c r="J689" s="2"/>
      <c r="R689" s="2"/>
    </row>
    <row r="690" spans="9:18" ht="12.5">
      <c r="I690" s="2"/>
      <c r="J690" s="2"/>
      <c r="R690" s="2"/>
    </row>
    <row r="691" spans="9:18" ht="12.5">
      <c r="I691" s="2"/>
      <c r="J691" s="2"/>
      <c r="R691" s="2"/>
    </row>
    <row r="692" spans="9:18" ht="12.5">
      <c r="I692" s="2"/>
      <c r="J692" s="2"/>
      <c r="R692" s="2"/>
    </row>
    <row r="693" spans="9:18" ht="12.5">
      <c r="I693" s="2"/>
      <c r="J693" s="2"/>
      <c r="R693" s="2"/>
    </row>
    <row r="694" spans="9:18" ht="12.5">
      <c r="I694" s="2"/>
      <c r="J694" s="2"/>
      <c r="R694" s="2"/>
    </row>
    <row r="695" spans="9:18" ht="12.5">
      <c r="I695" s="2"/>
      <c r="J695" s="2"/>
      <c r="R695" s="2"/>
    </row>
    <row r="696" spans="9:18" ht="12.5">
      <c r="I696" s="2"/>
      <c r="J696" s="2"/>
      <c r="R696" s="2"/>
    </row>
    <row r="697" spans="9:18" ht="12.5">
      <c r="I697" s="2"/>
      <c r="J697" s="2"/>
      <c r="R697" s="2"/>
    </row>
    <row r="698" spans="9:18" ht="12.5">
      <c r="I698" s="2"/>
      <c r="J698" s="2"/>
      <c r="R698" s="2"/>
    </row>
    <row r="699" spans="9:18" ht="12.5">
      <c r="I699" s="2"/>
      <c r="J699" s="2"/>
      <c r="R699" s="2"/>
    </row>
    <row r="700" spans="9:18" ht="12.5">
      <c r="I700" s="2"/>
      <c r="J700" s="2"/>
      <c r="R700" s="2"/>
    </row>
    <row r="701" spans="9:18" ht="12.5">
      <c r="I701" s="2"/>
      <c r="J701" s="2"/>
      <c r="R701" s="2"/>
    </row>
    <row r="702" spans="9:18" ht="12.5">
      <c r="I702" s="2"/>
      <c r="J702" s="2"/>
      <c r="R702" s="2"/>
    </row>
    <row r="703" spans="9:18" ht="12.5">
      <c r="I703" s="2"/>
      <c r="J703" s="2"/>
      <c r="R703" s="2"/>
    </row>
    <row r="704" spans="9:18" ht="12.5">
      <c r="I704" s="2"/>
      <c r="J704" s="2"/>
      <c r="R704" s="2"/>
    </row>
    <row r="705" spans="9:18" ht="12.5">
      <c r="I705" s="2"/>
      <c r="J705" s="2"/>
      <c r="R705" s="2"/>
    </row>
    <row r="706" spans="9:18" ht="12.5">
      <c r="I706" s="2"/>
      <c r="J706" s="2"/>
      <c r="R706" s="2"/>
    </row>
    <row r="707" spans="9:18" ht="12.5">
      <c r="I707" s="2"/>
      <c r="J707" s="2"/>
      <c r="R707" s="2"/>
    </row>
    <row r="708" spans="9:18" ht="12.5">
      <c r="I708" s="2"/>
      <c r="J708" s="2"/>
      <c r="R708" s="2"/>
    </row>
    <row r="709" spans="9:18" ht="12.5">
      <c r="I709" s="2"/>
      <c r="J709" s="2"/>
      <c r="R709" s="2"/>
    </row>
    <row r="710" spans="9:18" ht="12.5">
      <c r="I710" s="2"/>
      <c r="J710" s="2"/>
      <c r="R710" s="2"/>
    </row>
    <row r="711" spans="9:18" ht="12.5">
      <c r="I711" s="2"/>
      <c r="J711" s="2"/>
      <c r="R711" s="2"/>
    </row>
    <row r="712" spans="9:18" ht="12.5">
      <c r="I712" s="2"/>
      <c r="J712" s="2"/>
      <c r="R712" s="2"/>
    </row>
    <row r="713" spans="9:18" ht="12.5">
      <c r="I713" s="2"/>
      <c r="J713" s="2"/>
      <c r="R713" s="2"/>
    </row>
    <row r="714" spans="9:18" ht="12.5">
      <c r="I714" s="2"/>
      <c r="J714" s="2"/>
      <c r="R714" s="2"/>
    </row>
    <row r="715" spans="9:18" ht="12.5">
      <c r="I715" s="2"/>
      <c r="J715" s="2"/>
      <c r="R715" s="2"/>
    </row>
    <row r="716" spans="9:18" ht="12.5">
      <c r="I716" s="2"/>
      <c r="J716" s="2"/>
      <c r="R716" s="2"/>
    </row>
    <row r="717" spans="9:18" ht="12.5">
      <c r="I717" s="2"/>
      <c r="J717" s="2"/>
      <c r="R717" s="2"/>
    </row>
    <row r="718" spans="9:18" ht="12.5">
      <c r="I718" s="2"/>
      <c r="J718" s="2"/>
      <c r="R718" s="2"/>
    </row>
    <row r="719" spans="9:18" ht="12.5">
      <c r="I719" s="2"/>
      <c r="J719" s="2"/>
      <c r="R719" s="2"/>
    </row>
    <row r="720" spans="9:18" ht="12.5">
      <c r="I720" s="2"/>
      <c r="J720" s="2"/>
      <c r="R720" s="2"/>
    </row>
    <row r="721" spans="9:18" ht="12.5">
      <c r="I721" s="2"/>
      <c r="J721" s="2"/>
      <c r="R721" s="2"/>
    </row>
    <row r="722" spans="9:18" ht="12.5">
      <c r="I722" s="2"/>
      <c r="J722" s="2"/>
      <c r="R722" s="2"/>
    </row>
    <row r="723" spans="9:18" ht="12.5">
      <c r="I723" s="2"/>
      <c r="J723" s="2"/>
      <c r="R723" s="2"/>
    </row>
    <row r="724" spans="9:18" ht="12.5">
      <c r="I724" s="2"/>
      <c r="J724" s="2"/>
      <c r="R724" s="2"/>
    </row>
    <row r="725" spans="9:18" ht="12.5">
      <c r="I725" s="2"/>
      <c r="J725" s="2"/>
      <c r="R725" s="2"/>
    </row>
    <row r="726" spans="9:18" ht="12.5">
      <c r="I726" s="2"/>
      <c r="J726" s="2"/>
      <c r="R726" s="2"/>
    </row>
    <row r="727" spans="9:18" ht="12.5">
      <c r="I727" s="2"/>
      <c r="J727" s="2"/>
      <c r="R727" s="2"/>
    </row>
    <row r="728" spans="9:18" ht="12.5">
      <c r="I728" s="2"/>
      <c r="J728" s="2"/>
      <c r="R728" s="2"/>
    </row>
    <row r="729" spans="9:18" ht="12.5">
      <c r="I729" s="2"/>
      <c r="J729" s="2"/>
      <c r="R729" s="2"/>
    </row>
    <row r="730" spans="9:18" ht="12.5">
      <c r="I730" s="2"/>
      <c r="J730" s="2"/>
      <c r="R730" s="2"/>
    </row>
    <row r="731" spans="9:18" ht="12.5">
      <c r="I731" s="2"/>
      <c r="J731" s="2"/>
      <c r="R731" s="2"/>
    </row>
    <row r="732" spans="9:18" ht="12.5">
      <c r="I732" s="2"/>
      <c r="J732" s="2"/>
      <c r="R732" s="2"/>
    </row>
    <row r="733" spans="9:18" ht="12.5">
      <c r="I733" s="2"/>
      <c r="J733" s="2"/>
      <c r="R733" s="2"/>
    </row>
    <row r="734" spans="9:18" ht="12.5">
      <c r="I734" s="2"/>
      <c r="J734" s="2"/>
      <c r="R734" s="2"/>
    </row>
    <row r="735" spans="9:18" ht="12.5">
      <c r="I735" s="2"/>
      <c r="J735" s="2"/>
      <c r="R735" s="2"/>
    </row>
    <row r="736" spans="9:18" ht="12.5">
      <c r="I736" s="2"/>
      <c r="J736" s="2"/>
      <c r="R736" s="2"/>
    </row>
    <row r="737" spans="9:18" ht="12.5">
      <c r="I737" s="2"/>
      <c r="J737" s="2"/>
      <c r="R737" s="2"/>
    </row>
    <row r="738" spans="9:18" ht="12.5">
      <c r="I738" s="2"/>
      <c r="J738" s="2"/>
      <c r="R738" s="2"/>
    </row>
    <row r="739" spans="9:18" ht="12.5">
      <c r="I739" s="2"/>
      <c r="J739" s="2"/>
      <c r="R739" s="2"/>
    </row>
    <row r="740" spans="9:18" ht="12.5">
      <c r="I740" s="2"/>
      <c r="J740" s="2"/>
      <c r="R740" s="2"/>
    </row>
    <row r="741" spans="9:18" ht="12.5">
      <c r="I741" s="2"/>
      <c r="J741" s="2"/>
      <c r="R741" s="2"/>
    </row>
    <row r="742" spans="9:18" ht="12.5">
      <c r="I742" s="2"/>
      <c r="J742" s="2"/>
      <c r="R742" s="2"/>
    </row>
    <row r="743" spans="9:18" ht="12.5">
      <c r="I743" s="2"/>
      <c r="J743" s="2"/>
      <c r="R743" s="2"/>
    </row>
    <row r="744" spans="9:18" ht="12.5">
      <c r="I744" s="2"/>
      <c r="J744" s="2"/>
      <c r="R744" s="2"/>
    </row>
    <row r="745" spans="9:18" ht="12.5">
      <c r="I745" s="2"/>
      <c r="J745" s="2"/>
      <c r="R745" s="2"/>
    </row>
    <row r="746" spans="9:18" ht="12.5">
      <c r="I746" s="2"/>
      <c r="J746" s="2"/>
      <c r="R746" s="2"/>
    </row>
    <row r="747" spans="9:18" ht="12.5">
      <c r="I747" s="2"/>
      <c r="J747" s="2"/>
      <c r="R747" s="2"/>
    </row>
    <row r="748" spans="9:18" ht="12.5">
      <c r="I748" s="2"/>
      <c r="J748" s="2"/>
      <c r="R748" s="2"/>
    </row>
    <row r="749" spans="9:18" ht="12.5">
      <c r="I749" s="2"/>
      <c r="J749" s="2"/>
      <c r="R749" s="2"/>
    </row>
    <row r="750" spans="9:18" ht="12.5">
      <c r="I750" s="2"/>
      <c r="J750" s="2"/>
      <c r="R750" s="2"/>
    </row>
    <row r="751" spans="9:18" ht="12.5">
      <c r="I751" s="2"/>
      <c r="J751" s="2"/>
      <c r="R751" s="2"/>
    </row>
    <row r="752" spans="9:18" ht="12.5">
      <c r="I752" s="2"/>
      <c r="J752" s="2"/>
      <c r="R752" s="2"/>
    </row>
    <row r="753" spans="9:18" ht="12.5">
      <c r="I753" s="2"/>
      <c r="J753" s="2"/>
      <c r="R753" s="2"/>
    </row>
    <row r="754" spans="9:18" ht="12.5">
      <c r="I754" s="2"/>
      <c r="J754" s="2"/>
      <c r="R754" s="2"/>
    </row>
    <row r="755" spans="9:18" ht="12.5">
      <c r="I755" s="2"/>
      <c r="J755" s="2"/>
      <c r="R755" s="2"/>
    </row>
    <row r="756" spans="9:18" ht="12.5">
      <c r="I756" s="2"/>
      <c r="J756" s="2"/>
      <c r="R756" s="2"/>
    </row>
    <row r="757" spans="9:18" ht="12.5">
      <c r="I757" s="2"/>
      <c r="J757" s="2"/>
      <c r="R757" s="2"/>
    </row>
    <row r="758" spans="9:18" ht="12.5">
      <c r="I758" s="2"/>
      <c r="J758" s="2"/>
      <c r="R758" s="2"/>
    </row>
    <row r="759" spans="9:18" ht="12.5">
      <c r="I759" s="2"/>
      <c r="J759" s="2"/>
      <c r="R759" s="2"/>
    </row>
    <row r="760" spans="9:18" ht="12.5">
      <c r="I760" s="2"/>
      <c r="J760" s="2"/>
      <c r="R760" s="2"/>
    </row>
    <row r="761" spans="9:18" ht="12.5">
      <c r="I761" s="2"/>
      <c r="J761" s="2"/>
      <c r="R761" s="2"/>
    </row>
    <row r="762" spans="9:18" ht="12.5">
      <c r="I762" s="2"/>
      <c r="J762" s="2"/>
      <c r="R762" s="2"/>
    </row>
    <row r="763" spans="9:18" ht="12.5">
      <c r="I763" s="2"/>
      <c r="J763" s="2"/>
      <c r="R763" s="2"/>
    </row>
    <row r="764" spans="9:18" ht="12.5">
      <c r="I764" s="2"/>
      <c r="J764" s="2"/>
      <c r="R764" s="2"/>
    </row>
    <row r="765" spans="9:18" ht="12.5">
      <c r="I765" s="2"/>
      <c r="J765" s="2"/>
      <c r="R765" s="2"/>
    </row>
    <row r="766" spans="9:18" ht="12.5">
      <c r="I766" s="2"/>
      <c r="J766" s="2"/>
      <c r="R766" s="2"/>
    </row>
    <row r="767" spans="9:18" ht="12.5">
      <c r="I767" s="2"/>
      <c r="J767" s="2"/>
      <c r="R767" s="2"/>
    </row>
    <row r="768" spans="9:18" ht="12.5">
      <c r="I768" s="2"/>
      <c r="J768" s="2"/>
      <c r="R768" s="2"/>
    </row>
    <row r="769" spans="9:18" ht="12.5">
      <c r="I769" s="2"/>
      <c r="J769" s="2"/>
      <c r="R769" s="2"/>
    </row>
    <row r="770" spans="9:18" ht="12.5">
      <c r="I770" s="2"/>
      <c r="J770" s="2"/>
      <c r="R770" s="2"/>
    </row>
    <row r="771" spans="9:18" ht="12.5">
      <c r="I771" s="2"/>
      <c r="J771" s="2"/>
      <c r="R771" s="2"/>
    </row>
    <row r="772" spans="9:18" ht="12.5">
      <c r="I772" s="2"/>
      <c r="J772" s="2"/>
      <c r="R772" s="2"/>
    </row>
    <row r="773" spans="9:18" ht="12.5">
      <c r="I773" s="2"/>
      <c r="J773" s="2"/>
      <c r="R773" s="2"/>
    </row>
    <row r="774" spans="9:18" ht="12.5">
      <c r="I774" s="2"/>
      <c r="J774" s="2"/>
      <c r="R774" s="2"/>
    </row>
    <row r="775" spans="9:18" ht="12.5">
      <c r="I775" s="2"/>
      <c r="J775" s="2"/>
      <c r="R775" s="2"/>
    </row>
    <row r="776" spans="9:18" ht="12.5">
      <c r="I776" s="2"/>
      <c r="J776" s="2"/>
      <c r="R776" s="2"/>
    </row>
    <row r="777" spans="9:18" ht="12.5">
      <c r="I777" s="2"/>
      <c r="J777" s="2"/>
      <c r="R777" s="2"/>
    </row>
    <row r="778" spans="9:18" ht="12.5">
      <c r="I778" s="2"/>
      <c r="J778" s="2"/>
      <c r="R778" s="2"/>
    </row>
    <row r="779" spans="9:18" ht="12.5">
      <c r="I779" s="2"/>
      <c r="J779" s="2"/>
      <c r="R779" s="2"/>
    </row>
    <row r="780" spans="9:18" ht="12.5">
      <c r="I780" s="2"/>
      <c r="J780" s="2"/>
      <c r="R780" s="2"/>
    </row>
    <row r="781" spans="9:18" ht="12.5">
      <c r="I781" s="2"/>
      <c r="J781" s="2"/>
      <c r="R781" s="2"/>
    </row>
    <row r="782" spans="9:18" ht="12.5">
      <c r="I782" s="2"/>
      <c r="J782" s="2"/>
      <c r="R782" s="2"/>
    </row>
    <row r="783" spans="9:18" ht="12.5">
      <c r="I783" s="2"/>
      <c r="J783" s="2"/>
      <c r="R783" s="2"/>
    </row>
    <row r="784" spans="9:18" ht="12.5">
      <c r="I784" s="2"/>
      <c r="J784" s="2"/>
      <c r="R784" s="2"/>
    </row>
    <row r="785" spans="9:18" ht="12.5">
      <c r="I785" s="2"/>
      <c r="J785" s="2"/>
      <c r="R785" s="2"/>
    </row>
    <row r="786" spans="9:18" ht="12.5">
      <c r="I786" s="2"/>
      <c r="J786" s="2"/>
      <c r="R786" s="2"/>
    </row>
    <row r="787" spans="9:18" ht="12.5">
      <c r="I787" s="2"/>
      <c r="J787" s="2"/>
      <c r="R787" s="2"/>
    </row>
    <row r="788" spans="9:18" ht="12.5">
      <c r="I788" s="2"/>
      <c r="J788" s="2"/>
      <c r="R788" s="2"/>
    </row>
    <row r="789" spans="9:18" ht="12.5">
      <c r="I789" s="2"/>
      <c r="J789" s="2"/>
      <c r="R789" s="2"/>
    </row>
    <row r="790" spans="9:18" ht="12.5">
      <c r="I790" s="2"/>
      <c r="J790" s="2"/>
      <c r="R790" s="2"/>
    </row>
    <row r="791" spans="9:18" ht="12.5">
      <c r="I791" s="2"/>
      <c r="J791" s="2"/>
      <c r="R791" s="2"/>
    </row>
    <row r="792" spans="9:18" ht="12.5">
      <c r="I792" s="2"/>
      <c r="J792" s="2"/>
      <c r="R792" s="2"/>
    </row>
    <row r="793" spans="9:18" ht="12.5">
      <c r="I793" s="2"/>
      <c r="J793" s="2"/>
      <c r="R793" s="2"/>
    </row>
    <row r="794" spans="9:18" ht="12.5">
      <c r="I794" s="2"/>
      <c r="J794" s="2"/>
      <c r="R794" s="2"/>
    </row>
    <row r="795" spans="9:18" ht="12.5">
      <c r="I795" s="2"/>
      <c r="J795" s="2"/>
      <c r="R795" s="2"/>
    </row>
    <row r="796" spans="9:18" ht="12.5">
      <c r="I796" s="2"/>
      <c r="J796" s="2"/>
      <c r="R796" s="2"/>
    </row>
    <row r="797" spans="9:18" ht="12.5">
      <c r="I797" s="2"/>
      <c r="J797" s="2"/>
      <c r="R797" s="2"/>
    </row>
    <row r="798" spans="9:18" ht="12.5">
      <c r="I798" s="2"/>
      <c r="J798" s="2"/>
      <c r="R798" s="2"/>
    </row>
    <row r="799" spans="9:18" ht="12.5">
      <c r="I799" s="2"/>
      <c r="J799" s="2"/>
      <c r="R799" s="2"/>
    </row>
    <row r="800" spans="9:18" ht="12.5">
      <c r="I800" s="2"/>
      <c r="J800" s="2"/>
      <c r="R800" s="2"/>
    </row>
    <row r="801" spans="9:18" ht="12.5">
      <c r="I801" s="2"/>
      <c r="J801" s="2"/>
      <c r="R801" s="2"/>
    </row>
    <row r="802" spans="9:18" ht="12.5">
      <c r="I802" s="2"/>
      <c r="J802" s="2"/>
      <c r="R802" s="2"/>
    </row>
    <row r="803" spans="9:18" ht="12.5">
      <c r="I803" s="2"/>
      <c r="J803" s="2"/>
      <c r="R803" s="2"/>
    </row>
    <row r="804" spans="9:18" ht="12.5">
      <c r="I804" s="2"/>
      <c r="J804" s="2"/>
      <c r="R804" s="2"/>
    </row>
    <row r="805" spans="9:18" ht="12.5">
      <c r="I805" s="2"/>
      <c r="J805" s="2"/>
      <c r="R805" s="2"/>
    </row>
    <row r="806" spans="9:18" ht="12.5">
      <c r="I806" s="2"/>
      <c r="J806" s="2"/>
      <c r="R806" s="2"/>
    </row>
    <row r="807" spans="9:18" ht="12.5">
      <c r="I807" s="2"/>
      <c r="J807" s="2"/>
      <c r="R807" s="2"/>
    </row>
    <row r="808" spans="9:18" ht="12.5">
      <c r="I808" s="2"/>
      <c r="J808" s="2"/>
      <c r="R808" s="2"/>
    </row>
    <row r="809" spans="9:18" ht="12.5">
      <c r="I809" s="2"/>
      <c r="J809" s="2"/>
      <c r="R809" s="2"/>
    </row>
    <row r="810" spans="9:18" ht="12.5">
      <c r="I810" s="2"/>
      <c r="J810" s="2"/>
      <c r="R810" s="2"/>
    </row>
    <row r="811" spans="9:18" ht="12.5">
      <c r="I811" s="2"/>
      <c r="J811" s="2"/>
      <c r="R811" s="2"/>
    </row>
    <row r="812" spans="9:18" ht="12.5">
      <c r="I812" s="2"/>
      <c r="J812" s="2"/>
      <c r="R812" s="2"/>
    </row>
    <row r="813" spans="9:18" ht="12.5">
      <c r="I813" s="2"/>
      <c r="J813" s="2"/>
      <c r="R813" s="2"/>
    </row>
    <row r="814" spans="9:18" ht="12.5">
      <c r="I814" s="2"/>
      <c r="J814" s="2"/>
      <c r="R814" s="2"/>
    </row>
    <row r="815" spans="9:18" ht="12.5">
      <c r="I815" s="2"/>
      <c r="J815" s="2"/>
      <c r="R815" s="2"/>
    </row>
    <row r="816" spans="9:18" ht="12.5">
      <c r="I816" s="2"/>
      <c r="J816" s="2"/>
      <c r="R816" s="2"/>
    </row>
    <row r="817" spans="9:18" ht="12.5">
      <c r="I817" s="2"/>
      <c r="J817" s="2"/>
      <c r="R817" s="2"/>
    </row>
    <row r="818" spans="9:18" ht="12.5">
      <c r="I818" s="2"/>
      <c r="J818" s="2"/>
      <c r="R818" s="2"/>
    </row>
    <row r="819" spans="9:18" ht="12.5">
      <c r="I819" s="2"/>
      <c r="J819" s="2"/>
      <c r="R819" s="2"/>
    </row>
    <row r="820" spans="9:18" ht="12.5">
      <c r="I820" s="2"/>
      <c r="J820" s="2"/>
      <c r="R820" s="2"/>
    </row>
    <row r="821" spans="9:18" ht="12.5">
      <c r="I821" s="2"/>
      <c r="J821" s="2"/>
      <c r="R821" s="2"/>
    </row>
    <row r="822" spans="9:18" ht="12.5">
      <c r="I822" s="2"/>
      <c r="J822" s="2"/>
      <c r="R822" s="2"/>
    </row>
    <row r="823" spans="9:18" ht="12.5">
      <c r="I823" s="2"/>
      <c r="J823" s="2"/>
      <c r="R823" s="2"/>
    </row>
    <row r="824" spans="9:18" ht="12.5">
      <c r="I824" s="2"/>
      <c r="J824" s="2"/>
      <c r="R824" s="2"/>
    </row>
    <row r="825" spans="9:18" ht="12.5">
      <c r="I825" s="2"/>
      <c r="J825" s="2"/>
      <c r="R825" s="2"/>
    </row>
    <row r="826" spans="9:18" ht="12.5">
      <c r="I826" s="2"/>
      <c r="J826" s="2"/>
      <c r="R826" s="2"/>
    </row>
    <row r="827" spans="9:18" ht="12.5">
      <c r="I827" s="2"/>
      <c r="J827" s="2"/>
      <c r="R827" s="2"/>
    </row>
    <row r="828" spans="9:18" ht="12.5">
      <c r="I828" s="2"/>
      <c r="J828" s="2"/>
      <c r="R828" s="2"/>
    </row>
    <row r="829" spans="9:18" ht="12.5">
      <c r="I829" s="2"/>
      <c r="J829" s="2"/>
      <c r="R829" s="2"/>
    </row>
    <row r="830" spans="9:18" ht="12.5">
      <c r="I830" s="2"/>
      <c r="J830" s="2"/>
      <c r="R830" s="2"/>
    </row>
    <row r="831" spans="9:18" ht="12.5">
      <c r="I831" s="2"/>
      <c r="J831" s="2"/>
      <c r="R831" s="2"/>
    </row>
    <row r="832" spans="9:18" ht="12.5">
      <c r="I832" s="2"/>
      <c r="J832" s="2"/>
      <c r="R832" s="2"/>
    </row>
    <row r="833" spans="9:18" ht="12.5">
      <c r="I833" s="2"/>
      <c r="J833" s="2"/>
      <c r="R833" s="2"/>
    </row>
    <row r="834" spans="9:18" ht="12.5">
      <c r="I834" s="2"/>
      <c r="J834" s="2"/>
      <c r="R834" s="2"/>
    </row>
    <row r="835" spans="9:18" ht="12.5">
      <c r="I835" s="2"/>
      <c r="J835" s="2"/>
      <c r="R835" s="2"/>
    </row>
    <row r="836" spans="9:18" ht="12.5">
      <c r="I836" s="2"/>
      <c r="J836" s="2"/>
      <c r="R836" s="2"/>
    </row>
    <row r="837" spans="9:18" ht="12.5">
      <c r="I837" s="2"/>
      <c r="J837" s="2"/>
      <c r="R837" s="2"/>
    </row>
    <row r="838" spans="9:18" ht="12.5">
      <c r="I838" s="2"/>
      <c r="J838" s="2"/>
      <c r="R838" s="2"/>
    </row>
    <row r="839" spans="9:18" ht="12.5">
      <c r="I839" s="2"/>
      <c r="J839" s="2"/>
      <c r="R839" s="2"/>
    </row>
    <row r="840" spans="9:18" ht="12.5">
      <c r="I840" s="2"/>
      <c r="J840" s="2"/>
      <c r="R840" s="2"/>
    </row>
    <row r="841" spans="9:18" ht="12.5">
      <c r="I841" s="2"/>
      <c r="J841" s="2"/>
      <c r="R841" s="2"/>
    </row>
    <row r="842" spans="9:18" ht="12.5">
      <c r="I842" s="2"/>
      <c r="J842" s="2"/>
      <c r="R842" s="2"/>
    </row>
    <row r="843" spans="9:18" ht="12.5">
      <c r="I843" s="2"/>
      <c r="J843" s="2"/>
      <c r="R843" s="2"/>
    </row>
    <row r="844" spans="9:18" ht="12.5">
      <c r="I844" s="2"/>
      <c r="J844" s="2"/>
      <c r="R844" s="2"/>
    </row>
    <row r="845" spans="9:18" ht="12.5">
      <c r="I845" s="2"/>
      <c r="J845" s="2"/>
      <c r="R845" s="2"/>
    </row>
    <row r="846" spans="9:18" ht="12.5">
      <c r="I846" s="2"/>
      <c r="J846" s="2"/>
      <c r="R846" s="2"/>
    </row>
    <row r="847" spans="9:18" ht="12.5">
      <c r="I847" s="2"/>
      <c r="J847" s="2"/>
      <c r="R847" s="2"/>
    </row>
    <row r="848" spans="9:18" ht="12.5">
      <c r="I848" s="2"/>
      <c r="J848" s="2"/>
      <c r="R848" s="2"/>
    </row>
    <row r="849" spans="9:18" ht="12.5">
      <c r="I849" s="2"/>
      <c r="J849" s="2"/>
      <c r="R849" s="2"/>
    </row>
    <row r="850" spans="9:18" ht="12.5">
      <c r="I850" s="2"/>
      <c r="J850" s="2"/>
      <c r="R850" s="2"/>
    </row>
    <row r="851" spans="9:18" ht="12.5">
      <c r="I851" s="2"/>
      <c r="J851" s="2"/>
      <c r="R851" s="2"/>
    </row>
    <row r="852" spans="9:18" ht="12.5">
      <c r="I852" s="2"/>
      <c r="J852" s="2"/>
      <c r="R852" s="2"/>
    </row>
    <row r="853" spans="9:18" ht="12.5">
      <c r="I853" s="2"/>
      <c r="J853" s="2"/>
      <c r="R853" s="2"/>
    </row>
    <row r="854" spans="9:18" ht="12.5">
      <c r="I854" s="2"/>
      <c r="J854" s="2"/>
      <c r="R854" s="2"/>
    </row>
    <row r="855" spans="9:18" ht="12.5">
      <c r="I855" s="2"/>
      <c r="J855" s="2"/>
      <c r="R855" s="2"/>
    </row>
    <row r="856" spans="9:18" ht="12.5">
      <c r="I856" s="2"/>
      <c r="J856" s="2"/>
      <c r="R856" s="2"/>
    </row>
    <row r="857" spans="9:18" ht="12.5">
      <c r="I857" s="2"/>
      <c r="J857" s="2"/>
      <c r="R857" s="2"/>
    </row>
    <row r="858" spans="9:18" ht="12.5">
      <c r="I858" s="2"/>
      <c r="J858" s="2"/>
      <c r="R858" s="2"/>
    </row>
    <row r="859" spans="9:18" ht="12.5">
      <c r="I859" s="2"/>
      <c r="J859" s="2"/>
      <c r="R859" s="2"/>
    </row>
    <row r="860" spans="9:18" ht="12.5">
      <c r="I860" s="2"/>
      <c r="J860" s="2"/>
      <c r="R860" s="2"/>
    </row>
    <row r="861" spans="9:18" ht="12.5">
      <c r="I861" s="2"/>
      <c r="J861" s="2"/>
      <c r="R861" s="2"/>
    </row>
    <row r="862" spans="9:18" ht="12.5">
      <c r="I862" s="2"/>
      <c r="J862" s="2"/>
      <c r="R862" s="2"/>
    </row>
    <row r="863" spans="9:18" ht="12.5">
      <c r="I863" s="2"/>
      <c r="J863" s="2"/>
      <c r="R863" s="2"/>
    </row>
    <row r="864" spans="9:18" ht="12.5">
      <c r="I864" s="2"/>
      <c r="J864" s="2"/>
      <c r="R864" s="2"/>
    </row>
    <row r="865" spans="9:18" ht="12.5">
      <c r="I865" s="2"/>
      <c r="J865" s="2"/>
      <c r="R865" s="2"/>
    </row>
    <row r="866" spans="9:18" ht="12.5">
      <c r="I866" s="2"/>
      <c r="J866" s="2"/>
      <c r="R866" s="2"/>
    </row>
    <row r="867" spans="9:18" ht="12.5">
      <c r="I867" s="2"/>
      <c r="J867" s="2"/>
      <c r="R867" s="2"/>
    </row>
    <row r="868" spans="9:18" ht="12.5">
      <c r="I868" s="2"/>
      <c r="J868" s="2"/>
      <c r="R868" s="2"/>
    </row>
    <row r="869" spans="9:18" ht="12.5">
      <c r="I869" s="2"/>
      <c r="J869" s="2"/>
      <c r="R869" s="2"/>
    </row>
    <row r="870" spans="9:18" ht="12.5">
      <c r="I870" s="2"/>
      <c r="J870" s="2"/>
      <c r="R870" s="2"/>
    </row>
    <row r="871" spans="9:18" ht="12.5">
      <c r="I871" s="2"/>
      <c r="J871" s="2"/>
      <c r="R871" s="2"/>
    </row>
    <row r="872" spans="9:18" ht="12.5">
      <c r="I872" s="2"/>
      <c r="J872" s="2"/>
      <c r="R872" s="2"/>
    </row>
    <row r="873" spans="9:18" ht="12.5">
      <c r="I873" s="2"/>
      <c r="J873" s="2"/>
      <c r="R873" s="2"/>
    </row>
    <row r="874" spans="9:18" ht="12.5">
      <c r="I874" s="2"/>
      <c r="J874" s="2"/>
      <c r="R874" s="2"/>
    </row>
    <row r="875" spans="9:18" ht="12.5">
      <c r="I875" s="2"/>
      <c r="J875" s="2"/>
      <c r="R875" s="2"/>
    </row>
    <row r="876" spans="9:18" ht="12.5">
      <c r="I876" s="2"/>
      <c r="J876" s="2"/>
      <c r="R876" s="2"/>
    </row>
    <row r="877" spans="9:18" ht="12.5">
      <c r="I877" s="2"/>
      <c r="J877" s="2"/>
      <c r="R877" s="2"/>
    </row>
    <row r="878" spans="9:18" ht="12.5">
      <c r="I878" s="2"/>
      <c r="J878" s="2"/>
      <c r="R878" s="2"/>
    </row>
    <row r="879" spans="9:18" ht="12.5">
      <c r="I879" s="2"/>
      <c r="J879" s="2"/>
      <c r="R879" s="2"/>
    </row>
    <row r="880" spans="9:18" ht="12.5">
      <c r="I880" s="2"/>
      <c r="J880" s="2"/>
      <c r="R880" s="2"/>
    </row>
    <row r="881" spans="9:18" ht="12.5">
      <c r="I881" s="2"/>
      <c r="J881" s="2"/>
      <c r="R881" s="2"/>
    </row>
    <row r="882" spans="9:18" ht="12.5">
      <c r="I882" s="2"/>
      <c r="J882" s="2"/>
      <c r="R882" s="2"/>
    </row>
    <row r="883" spans="9:18" ht="12.5">
      <c r="I883" s="2"/>
      <c r="J883" s="2"/>
      <c r="R883" s="2"/>
    </row>
    <row r="884" spans="9:18" ht="12.5">
      <c r="I884" s="2"/>
      <c r="J884" s="2"/>
      <c r="R884" s="2"/>
    </row>
    <row r="885" spans="9:18" ht="12.5">
      <c r="I885" s="2"/>
      <c r="J885" s="2"/>
      <c r="R885" s="2"/>
    </row>
    <row r="886" spans="9:18" ht="12.5">
      <c r="I886" s="2"/>
      <c r="J886" s="2"/>
      <c r="R886" s="2"/>
    </row>
    <row r="887" spans="9:18" ht="12.5">
      <c r="I887" s="2"/>
      <c r="J887" s="2"/>
      <c r="R887" s="2"/>
    </row>
    <row r="888" spans="9:18" ht="12.5">
      <c r="I888" s="2"/>
      <c r="J888" s="2"/>
      <c r="R888" s="2"/>
    </row>
    <row r="889" spans="9:18" ht="12.5">
      <c r="I889" s="2"/>
      <c r="J889" s="2"/>
      <c r="R889" s="2"/>
    </row>
    <row r="890" spans="9:18" ht="12.5">
      <c r="I890" s="2"/>
      <c r="J890" s="2"/>
      <c r="R890" s="2"/>
    </row>
    <row r="891" spans="9:18" ht="12.5">
      <c r="I891" s="2"/>
      <c r="J891" s="2"/>
      <c r="R891" s="2"/>
    </row>
    <row r="892" spans="9:18" ht="12.5">
      <c r="I892" s="2"/>
      <c r="J892" s="2"/>
      <c r="R892" s="2"/>
    </row>
    <row r="893" spans="9:18" ht="12.5">
      <c r="I893" s="2"/>
      <c r="J893" s="2"/>
      <c r="R893" s="2"/>
    </row>
    <row r="894" spans="9:18" ht="12.5">
      <c r="I894" s="2"/>
      <c r="J894" s="2"/>
      <c r="R894" s="2"/>
    </row>
    <row r="895" spans="9:18" ht="12.5">
      <c r="I895" s="2"/>
      <c r="J895" s="2"/>
      <c r="R895" s="2"/>
    </row>
    <row r="896" spans="9:18" ht="12.5">
      <c r="I896" s="2"/>
      <c r="J896" s="2"/>
      <c r="R896" s="2"/>
    </row>
    <row r="897" spans="9:18" ht="12.5">
      <c r="I897" s="2"/>
      <c r="J897" s="2"/>
      <c r="R897" s="2"/>
    </row>
    <row r="898" spans="9:18" ht="12.5">
      <c r="I898" s="2"/>
      <c r="J898" s="2"/>
      <c r="R898" s="2"/>
    </row>
    <row r="899" spans="9:18" ht="12.5">
      <c r="I899" s="2"/>
      <c r="J899" s="2"/>
      <c r="R899" s="2"/>
    </row>
    <row r="900" spans="9:18" ht="12.5">
      <c r="I900" s="2"/>
      <c r="J900" s="2"/>
      <c r="R900" s="2"/>
    </row>
    <row r="901" spans="9:18" ht="12.5">
      <c r="I901" s="2"/>
      <c r="J901" s="2"/>
      <c r="R901" s="2"/>
    </row>
    <row r="902" spans="9:18" ht="12.5">
      <c r="I902" s="2"/>
      <c r="J902" s="2"/>
      <c r="R902" s="2"/>
    </row>
    <row r="903" spans="9:18" ht="12.5">
      <c r="I903" s="2"/>
      <c r="J903" s="2"/>
      <c r="R903" s="2"/>
    </row>
    <row r="904" spans="9:18" ht="12.5">
      <c r="I904" s="2"/>
      <c r="J904" s="2"/>
      <c r="R904" s="2"/>
    </row>
    <row r="905" spans="9:18" ht="12.5">
      <c r="I905" s="2"/>
      <c r="J905" s="2"/>
      <c r="R905" s="2"/>
    </row>
    <row r="906" spans="9:18" ht="12.5">
      <c r="I906" s="2"/>
      <c r="J906" s="2"/>
      <c r="R906" s="2"/>
    </row>
    <row r="907" spans="9:18" ht="12.5">
      <c r="I907" s="2"/>
      <c r="J907" s="2"/>
      <c r="R907" s="2"/>
    </row>
    <row r="908" spans="9:18" ht="12.5">
      <c r="I908" s="2"/>
      <c r="J908" s="2"/>
      <c r="R908" s="2"/>
    </row>
    <row r="909" spans="9:18" ht="12.5">
      <c r="I909" s="2"/>
      <c r="J909" s="2"/>
      <c r="R909" s="2"/>
    </row>
    <row r="910" spans="9:18" ht="12.5">
      <c r="I910" s="2"/>
      <c r="J910" s="2"/>
      <c r="R910" s="2"/>
    </row>
    <row r="911" spans="9:18" ht="12.5">
      <c r="I911" s="2"/>
      <c r="J911" s="2"/>
      <c r="R911" s="2"/>
    </row>
    <row r="912" spans="9:18" ht="12.5">
      <c r="I912" s="2"/>
      <c r="J912" s="2"/>
      <c r="R912" s="2"/>
    </row>
    <row r="913" spans="9:18" ht="12.5">
      <c r="I913" s="2"/>
      <c r="J913" s="2"/>
      <c r="R913" s="2"/>
    </row>
    <row r="914" spans="9:18" ht="12.5">
      <c r="I914" s="2"/>
      <c r="J914" s="2"/>
      <c r="R914" s="2"/>
    </row>
    <row r="915" spans="9:18" ht="12.5">
      <c r="I915" s="2"/>
      <c r="J915" s="2"/>
      <c r="R915" s="2"/>
    </row>
    <row r="916" spans="9:18" ht="12.5">
      <c r="I916" s="2"/>
      <c r="J916" s="2"/>
      <c r="R916" s="2"/>
    </row>
    <row r="917" spans="9:18" ht="12.5">
      <c r="I917" s="2"/>
      <c r="J917" s="2"/>
      <c r="R917" s="2"/>
    </row>
    <row r="918" spans="9:18" ht="12.5">
      <c r="I918" s="2"/>
      <c r="J918" s="2"/>
      <c r="R918" s="2"/>
    </row>
    <row r="919" spans="9:18" ht="12.5">
      <c r="I919" s="2"/>
      <c r="J919" s="2"/>
      <c r="R919" s="2"/>
    </row>
    <row r="920" spans="9:18" ht="12.5">
      <c r="I920" s="2"/>
      <c r="J920" s="2"/>
      <c r="R920" s="2"/>
    </row>
    <row r="921" spans="9:18" ht="12.5">
      <c r="I921" s="2"/>
      <c r="J921" s="2"/>
      <c r="R921" s="2"/>
    </row>
    <row r="922" spans="9:18" ht="12.5">
      <c r="I922" s="2"/>
      <c r="J922" s="2"/>
      <c r="R922" s="2"/>
    </row>
    <row r="923" spans="9:18" ht="12.5">
      <c r="I923" s="2"/>
      <c r="J923" s="2"/>
      <c r="R923" s="2"/>
    </row>
    <row r="924" spans="9:18" ht="12.5">
      <c r="I924" s="2"/>
      <c r="J924" s="2"/>
      <c r="R924" s="2"/>
    </row>
    <row r="925" spans="9:18" ht="12.5">
      <c r="I925" s="2"/>
      <c r="J925" s="2"/>
      <c r="R925" s="2"/>
    </row>
    <row r="926" spans="9:18" ht="12.5">
      <c r="I926" s="2"/>
      <c r="J926" s="2"/>
      <c r="R926" s="2"/>
    </row>
    <row r="927" spans="9:18" ht="12.5">
      <c r="I927" s="2"/>
      <c r="J927" s="2"/>
      <c r="R927" s="2"/>
    </row>
    <row r="928" spans="9:18" ht="12.5">
      <c r="I928" s="2"/>
      <c r="J928" s="2"/>
      <c r="R928" s="2"/>
    </row>
    <row r="929" spans="9:18" ht="12.5">
      <c r="I929" s="2"/>
      <c r="J929" s="2"/>
      <c r="R929" s="2"/>
    </row>
    <row r="930" spans="9:18" ht="12.5">
      <c r="I930" s="2"/>
      <c r="J930" s="2"/>
      <c r="R930" s="2"/>
    </row>
    <row r="931" spans="9:18" ht="12.5">
      <c r="I931" s="2"/>
      <c r="J931" s="2"/>
      <c r="R931" s="2"/>
    </row>
    <row r="932" spans="9:18" ht="12.5">
      <c r="I932" s="2"/>
      <c r="J932" s="2"/>
      <c r="R932" s="2"/>
    </row>
    <row r="933" spans="9:18" ht="12.5">
      <c r="I933" s="2"/>
      <c r="J933" s="2"/>
      <c r="R933" s="2"/>
    </row>
    <row r="934" spans="9:18" ht="12.5">
      <c r="I934" s="2"/>
      <c r="J934" s="2"/>
      <c r="R934" s="2"/>
    </row>
    <row r="935" spans="9:18" ht="12.5">
      <c r="I935" s="2"/>
      <c r="J935" s="2"/>
      <c r="R935" s="2"/>
    </row>
    <row r="936" spans="9:18" ht="12.5">
      <c r="I936" s="2"/>
      <c r="J936" s="2"/>
      <c r="R936" s="2"/>
    </row>
    <row r="937" spans="9:18" ht="12.5">
      <c r="I937" s="2"/>
      <c r="J937" s="2"/>
      <c r="R937" s="2"/>
    </row>
    <row r="938" spans="9:18" ht="12.5">
      <c r="I938" s="2"/>
      <c r="J938" s="2"/>
      <c r="R938" s="2"/>
    </row>
    <row r="939" spans="9:18" ht="12.5">
      <c r="I939" s="2"/>
      <c r="J939" s="2"/>
      <c r="R939" s="2"/>
    </row>
    <row r="940" spans="9:18" ht="12.5">
      <c r="I940" s="2"/>
      <c r="J940" s="2"/>
      <c r="R940" s="2"/>
    </row>
    <row r="941" spans="9:18" ht="12.5">
      <c r="I941" s="2"/>
      <c r="J941" s="2"/>
      <c r="R941" s="2"/>
    </row>
    <row r="942" spans="9:18" ht="12.5">
      <c r="I942" s="2"/>
      <c r="J942" s="2"/>
      <c r="R942" s="2"/>
    </row>
    <row r="943" spans="9:18" ht="12.5">
      <c r="I943" s="2"/>
      <c r="J943" s="2"/>
      <c r="R943" s="2"/>
    </row>
    <row r="944" spans="9:18" ht="12.5">
      <c r="I944" s="2"/>
      <c r="J944" s="2"/>
      <c r="R944" s="2"/>
    </row>
    <row r="945" spans="9:18" ht="12.5">
      <c r="I945" s="2"/>
      <c r="J945" s="2"/>
      <c r="R945" s="2"/>
    </row>
    <row r="946" spans="9:18" ht="12.5">
      <c r="I946" s="2"/>
      <c r="J946" s="2"/>
      <c r="R946" s="2"/>
    </row>
    <row r="947" spans="9:18" ht="12.5">
      <c r="I947" s="2"/>
      <c r="J947" s="2"/>
      <c r="R947" s="2"/>
    </row>
    <row r="948" spans="9:18" ht="12.5">
      <c r="I948" s="2"/>
      <c r="J948" s="2"/>
      <c r="R948" s="2"/>
    </row>
    <row r="949" spans="9:18" ht="12.5">
      <c r="I949" s="2"/>
      <c r="J949" s="2"/>
      <c r="R949" s="2"/>
    </row>
    <row r="950" spans="9:18" ht="12.5">
      <c r="I950" s="2"/>
      <c r="J950" s="2"/>
      <c r="R950" s="2"/>
    </row>
    <row r="951" spans="9:18" ht="12.5">
      <c r="I951" s="2"/>
      <c r="J951" s="2"/>
      <c r="R951" s="2"/>
    </row>
    <row r="952" spans="9:18" ht="12.5">
      <c r="I952" s="2"/>
      <c r="J952" s="2"/>
      <c r="R952" s="2"/>
    </row>
    <row r="953" spans="9:18" ht="12.5">
      <c r="I953" s="2"/>
      <c r="J953" s="2"/>
      <c r="R953" s="2"/>
    </row>
    <row r="954" spans="9:18" ht="12.5">
      <c r="I954" s="2"/>
      <c r="J954" s="2"/>
      <c r="R954" s="2"/>
    </row>
    <row r="955" spans="9:18" ht="12.5">
      <c r="I955" s="2"/>
      <c r="J955" s="2"/>
      <c r="R955" s="2"/>
    </row>
    <row r="956" spans="9:18" ht="12.5">
      <c r="I956" s="2"/>
      <c r="J956" s="2"/>
      <c r="R956" s="2"/>
    </row>
    <row r="957" spans="9:18" ht="12.5">
      <c r="I957" s="2"/>
      <c r="J957" s="2"/>
      <c r="R957" s="2"/>
    </row>
    <row r="958" spans="9:18" ht="12.5">
      <c r="I958" s="2"/>
      <c r="J958" s="2"/>
      <c r="R958" s="2"/>
    </row>
    <row r="959" spans="9:18" ht="12.5">
      <c r="I959" s="2"/>
      <c r="J959" s="2"/>
      <c r="R959" s="2"/>
    </row>
    <row r="960" spans="9:18" ht="12.5">
      <c r="I960" s="2"/>
      <c r="J960" s="2"/>
      <c r="R960" s="2"/>
    </row>
    <row r="961" spans="9:18" ht="12.5">
      <c r="I961" s="2"/>
      <c r="J961" s="2"/>
      <c r="R961" s="2"/>
    </row>
    <row r="962" spans="9:18" ht="12.5">
      <c r="I962" s="2"/>
      <c r="J962" s="2"/>
      <c r="R962" s="2"/>
    </row>
    <row r="963" spans="9:18" ht="12.5">
      <c r="I963" s="2"/>
      <c r="J963" s="2"/>
      <c r="R963" s="2"/>
    </row>
    <row r="964" spans="9:18" ht="12.5">
      <c r="I964" s="2"/>
      <c r="J964" s="2"/>
      <c r="R964" s="2"/>
    </row>
    <row r="965" spans="9:18" ht="12.5">
      <c r="I965" s="2"/>
      <c r="J965" s="2"/>
      <c r="R965" s="2"/>
    </row>
    <row r="966" spans="9:18" ht="12.5">
      <c r="I966" s="2"/>
      <c r="J966" s="2"/>
      <c r="R966" s="2"/>
    </row>
    <row r="967" spans="9:18" ht="12.5">
      <c r="I967" s="2"/>
      <c r="J967" s="2"/>
      <c r="R967" s="2"/>
    </row>
    <row r="968" spans="9:18" ht="12.5">
      <c r="I968" s="2"/>
      <c r="J968" s="2"/>
      <c r="R968" s="2"/>
    </row>
    <row r="969" spans="9:18" ht="12.5">
      <c r="I969" s="2"/>
      <c r="J969" s="2"/>
      <c r="R969" s="2"/>
    </row>
    <row r="970" spans="9:18" ht="12.5">
      <c r="I970" s="2"/>
      <c r="J970" s="2"/>
      <c r="R970" s="2"/>
    </row>
    <row r="971" spans="9:18" ht="12.5">
      <c r="I971" s="2"/>
      <c r="J971" s="2"/>
      <c r="R971" s="2"/>
    </row>
    <row r="972" spans="9:18" ht="12.5">
      <c r="I972" s="2"/>
      <c r="J972" s="2"/>
      <c r="R972" s="2"/>
    </row>
    <row r="973" spans="9:18" ht="12.5">
      <c r="I973" s="2"/>
      <c r="J973" s="2"/>
      <c r="R973" s="2"/>
    </row>
    <row r="974" spans="9:18" ht="12.5">
      <c r="I974" s="2"/>
      <c r="J974" s="2"/>
      <c r="R974" s="2"/>
    </row>
    <row r="975" spans="9:18" ht="12.5">
      <c r="I975" s="2"/>
      <c r="J975" s="2"/>
      <c r="R975" s="2"/>
    </row>
    <row r="976" spans="9:18" ht="12.5">
      <c r="I976" s="2"/>
      <c r="J976" s="2"/>
      <c r="R976" s="2"/>
    </row>
    <row r="977" spans="9:18" ht="12.5">
      <c r="I977" s="2"/>
      <c r="J977" s="2"/>
      <c r="R977" s="2"/>
    </row>
    <row r="978" spans="9:18" ht="12.5">
      <c r="I978" s="2"/>
      <c r="J978" s="2"/>
      <c r="R978" s="2"/>
    </row>
    <row r="979" spans="9:18" ht="12.5">
      <c r="I979" s="2"/>
      <c r="J979" s="2"/>
      <c r="R979" s="2"/>
    </row>
    <row r="980" spans="9:18" ht="12.5">
      <c r="I980" s="2"/>
      <c r="J980" s="2"/>
      <c r="R980" s="2"/>
    </row>
    <row r="981" spans="9:18" ht="12.5">
      <c r="I981" s="2"/>
      <c r="J981" s="2"/>
      <c r="R981" s="2"/>
    </row>
    <row r="982" spans="9:18" ht="12.5">
      <c r="I982" s="2"/>
      <c r="J982" s="2"/>
      <c r="R982" s="2"/>
    </row>
    <row r="983" spans="9:18" ht="12.5">
      <c r="I983" s="2"/>
      <c r="J983" s="2"/>
      <c r="R983" s="2"/>
    </row>
    <row r="984" spans="9:18" ht="12.5">
      <c r="I984" s="2"/>
      <c r="J984" s="2"/>
      <c r="R984" s="2"/>
    </row>
    <row r="985" spans="9:18" ht="12.5">
      <c r="I985" s="2"/>
      <c r="J985" s="2"/>
      <c r="R985" s="2"/>
    </row>
    <row r="986" spans="9:18" ht="12.5">
      <c r="I986" s="2"/>
      <c r="J986" s="2"/>
      <c r="R986" s="2"/>
    </row>
    <row r="987" spans="9:18" ht="12.5">
      <c r="I987" s="2"/>
      <c r="J987" s="2"/>
      <c r="R987" s="2"/>
    </row>
    <row r="988" spans="9:18" ht="12.5">
      <c r="I988" s="2"/>
      <c r="J988" s="2"/>
      <c r="R988" s="2"/>
    </row>
    <row r="989" spans="9:18" ht="12.5">
      <c r="I989" s="2"/>
      <c r="J989" s="2"/>
      <c r="R989" s="2"/>
    </row>
    <row r="990" spans="9:18" ht="12.5">
      <c r="I990" s="2"/>
      <c r="J990" s="2"/>
      <c r="R990" s="2"/>
    </row>
    <row r="991" spans="9:18" ht="12.5">
      <c r="I991" s="2"/>
      <c r="J991" s="2"/>
      <c r="R991" s="2"/>
    </row>
    <row r="992" spans="9:18" ht="12.5">
      <c r="I992" s="2"/>
      <c r="J992" s="2"/>
      <c r="R992" s="2"/>
    </row>
    <row r="993" spans="9:18" ht="12.5">
      <c r="I993" s="2"/>
      <c r="J993" s="2"/>
      <c r="R993" s="2"/>
    </row>
    <row r="994" spans="9:18" ht="12.5">
      <c r="I994" s="2"/>
      <c r="J994" s="2"/>
      <c r="R994" s="2"/>
    </row>
    <row r="995" spans="9:18" ht="12.5">
      <c r="I995" s="2"/>
      <c r="J995" s="2"/>
      <c r="R995" s="2"/>
    </row>
    <row r="996" spans="9:18" ht="12.5">
      <c r="I996" s="2"/>
      <c r="J996" s="2"/>
      <c r="R996" s="2"/>
    </row>
    <row r="997" spans="9:18" ht="12.5">
      <c r="I997" s="2"/>
      <c r="J997" s="2"/>
      <c r="R997" s="2"/>
    </row>
    <row r="998" spans="9:18" ht="12.5">
      <c r="I998" s="2"/>
      <c r="J998" s="2"/>
      <c r="R998" s="2"/>
    </row>
    <row r="999" spans="9:18" ht="12.5">
      <c r="I999" s="2"/>
      <c r="J999" s="2"/>
      <c r="R999" s="2"/>
    </row>
    <row r="1000" spans="9:18" ht="12.5">
      <c r="I1000" s="2"/>
      <c r="J1000" s="2"/>
      <c r="R1000" s="2"/>
    </row>
    <row r="1001" spans="9:18" ht="12.5">
      <c r="I1001" s="2"/>
      <c r="J1001" s="2"/>
      <c r="R1001" s="2"/>
    </row>
  </sheetData>
  <dataValidations count="1">
    <dataValidation type="custom" allowBlank="1" showDropDown="1" sqref="K1" xr:uid="{00000000-0002-0000-0500-000000000000}">
      <formula1>OR(NOT(ISERROR(DATEVALUE(K1))), AND(ISNUMBER(K1), LEFT(CELL("format", K1))="D"))</formula1>
    </dataValidation>
  </dataValidations>
  <hyperlinks>
    <hyperlink ref="T2" r:id="rId1" xr:uid="{00000000-0004-0000-0500-000000000000}"/>
    <hyperlink ref="T3" r:id="rId2" xr:uid="{00000000-0004-0000-0500-000001000000}"/>
    <hyperlink ref="I4" r:id="rId3" xr:uid="{00000000-0004-0000-0500-000002000000}"/>
    <hyperlink ref="T4" r:id="rId4" xr:uid="{00000000-0004-0000-0500-000003000000}"/>
    <hyperlink ref="T5" r:id="rId5" xr:uid="{00000000-0004-0000-0500-000004000000}"/>
    <hyperlink ref="L6" r:id="rId6" xr:uid="{00000000-0004-0000-0500-000005000000}"/>
    <hyperlink ref="T6" r:id="rId7" xr:uid="{00000000-0004-0000-0500-000006000000}"/>
    <hyperlink ref="T7" r:id="rId8" xr:uid="{00000000-0004-0000-0500-000007000000}"/>
    <hyperlink ref="I8" r:id="rId9" xr:uid="{00000000-0004-0000-0500-000008000000}"/>
    <hyperlink ref="R8" r:id="rId10" xr:uid="{00000000-0004-0000-0500-000009000000}"/>
    <hyperlink ref="T8" r:id="rId11" xr:uid="{00000000-0004-0000-0500-00000A000000}"/>
    <hyperlink ref="T9" r:id="rId12" xr:uid="{00000000-0004-0000-0500-00000B000000}"/>
    <hyperlink ref="T10" r:id="rId13" xr:uid="{00000000-0004-0000-0500-00000C000000}"/>
    <hyperlink ref="I11" r:id="rId14" xr:uid="{00000000-0004-0000-0500-00000D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460"/>
  <sheetViews>
    <sheetView workbookViewId="0"/>
  </sheetViews>
  <sheetFormatPr defaultColWidth="12.6328125" defaultRowHeight="15.75" customHeight="1"/>
  <cols>
    <col min="1" max="1" width="23.08984375" customWidth="1"/>
    <col min="2" max="2" width="25" customWidth="1"/>
    <col min="3" max="3" width="40.453125" customWidth="1"/>
  </cols>
  <sheetData>
    <row r="1" spans="1:26" ht="65">
      <c r="A1" s="20" t="s">
        <v>1</v>
      </c>
      <c r="B1" s="20" t="s">
        <v>2</v>
      </c>
      <c r="C1" s="20" t="s">
        <v>3</v>
      </c>
      <c r="D1" s="20" t="s">
        <v>7585</v>
      </c>
      <c r="E1" s="20" t="s">
        <v>7586</v>
      </c>
      <c r="F1" s="20" t="s">
        <v>6</v>
      </c>
      <c r="G1" s="20" t="s">
        <v>7</v>
      </c>
      <c r="H1" s="20" t="s">
        <v>7587</v>
      </c>
      <c r="I1" s="67"/>
      <c r="J1" s="67"/>
      <c r="K1" s="67"/>
      <c r="L1" s="67"/>
      <c r="M1" s="67"/>
      <c r="N1" s="67"/>
      <c r="O1" s="67"/>
      <c r="P1" s="67"/>
      <c r="Q1" s="67"/>
      <c r="R1" s="67"/>
      <c r="S1" s="67"/>
      <c r="T1" s="67"/>
      <c r="U1" s="67"/>
      <c r="V1" s="67"/>
      <c r="W1" s="67"/>
      <c r="X1" s="67"/>
      <c r="Y1" s="67"/>
      <c r="Z1" s="67"/>
    </row>
    <row r="2" spans="1:26" ht="15.75" customHeight="1">
      <c r="A2" s="68" t="s">
        <v>17</v>
      </c>
      <c r="B2" s="68" t="s">
        <v>18</v>
      </c>
      <c r="C2" s="68" t="s">
        <v>19</v>
      </c>
      <c r="D2" s="68" t="s">
        <v>20</v>
      </c>
      <c r="E2" s="69">
        <v>2020</v>
      </c>
      <c r="F2" s="69">
        <v>30</v>
      </c>
      <c r="G2" s="69">
        <v>469.3</v>
      </c>
      <c r="H2" s="69">
        <v>21374</v>
      </c>
      <c r="I2" s="67"/>
      <c r="J2" s="67"/>
      <c r="K2" s="67"/>
      <c r="L2" s="67"/>
      <c r="M2" s="67"/>
      <c r="N2" s="67"/>
      <c r="O2" s="67"/>
      <c r="P2" s="67"/>
      <c r="Q2" s="67"/>
      <c r="R2" s="67"/>
      <c r="S2" s="67"/>
      <c r="T2" s="67"/>
      <c r="U2" s="67"/>
      <c r="V2" s="67"/>
      <c r="W2" s="67"/>
      <c r="X2" s="67"/>
      <c r="Y2" s="67"/>
      <c r="Z2" s="67"/>
    </row>
    <row r="3" spans="1:26" ht="15.75" customHeight="1">
      <c r="A3" s="68" t="s">
        <v>17</v>
      </c>
      <c r="B3" s="68" t="s">
        <v>18</v>
      </c>
      <c r="C3" s="68" t="s">
        <v>27</v>
      </c>
      <c r="D3" s="68" t="s">
        <v>28</v>
      </c>
      <c r="E3" s="69">
        <v>2020</v>
      </c>
      <c r="F3" s="69">
        <v>6</v>
      </c>
      <c r="G3" s="69">
        <v>86.1</v>
      </c>
      <c r="H3" s="69">
        <v>9304</v>
      </c>
      <c r="I3" s="67"/>
      <c r="J3" s="67"/>
      <c r="K3" s="67"/>
      <c r="L3" s="67"/>
      <c r="M3" s="67"/>
      <c r="N3" s="67"/>
      <c r="O3" s="67"/>
      <c r="P3" s="67"/>
      <c r="Q3" s="67"/>
      <c r="R3" s="67"/>
      <c r="S3" s="67"/>
      <c r="T3" s="67"/>
      <c r="U3" s="67"/>
      <c r="V3" s="67"/>
      <c r="W3" s="67"/>
      <c r="X3" s="67"/>
      <c r="Y3" s="67"/>
      <c r="Z3" s="67"/>
    </row>
    <row r="4" spans="1:26" ht="15.75" customHeight="1">
      <c r="A4" s="68" t="s">
        <v>17</v>
      </c>
      <c r="B4" s="68" t="s">
        <v>18</v>
      </c>
      <c r="C4" s="68" t="s">
        <v>31</v>
      </c>
      <c r="D4" s="68" t="s">
        <v>32</v>
      </c>
      <c r="E4" s="69">
        <v>2020</v>
      </c>
      <c r="F4" s="69">
        <v>21</v>
      </c>
      <c r="G4" s="69">
        <v>373.5</v>
      </c>
      <c r="H4" s="69">
        <v>17230</v>
      </c>
      <c r="I4" s="67"/>
      <c r="J4" s="67"/>
      <c r="K4" s="67"/>
      <c r="L4" s="67"/>
      <c r="M4" s="67"/>
      <c r="N4" s="67"/>
      <c r="O4" s="67"/>
      <c r="P4" s="67"/>
      <c r="Q4" s="67"/>
      <c r="R4" s="67"/>
      <c r="S4" s="67"/>
      <c r="T4" s="67"/>
      <c r="U4" s="67"/>
      <c r="V4" s="67"/>
      <c r="W4" s="67"/>
      <c r="X4" s="67"/>
      <c r="Y4" s="67"/>
      <c r="Z4" s="67"/>
    </row>
    <row r="5" spans="1:26" ht="15.75" customHeight="1">
      <c r="A5" s="68" t="s">
        <v>17</v>
      </c>
      <c r="B5" s="68" t="s">
        <v>18</v>
      </c>
      <c r="C5" s="68" t="s">
        <v>36</v>
      </c>
      <c r="D5" s="68" t="s">
        <v>20</v>
      </c>
      <c r="E5" s="69">
        <v>2020</v>
      </c>
      <c r="F5" s="69">
        <v>9</v>
      </c>
      <c r="G5" s="69">
        <v>256.60000000000002</v>
      </c>
      <c r="H5" s="69">
        <v>388204</v>
      </c>
      <c r="I5" s="67"/>
      <c r="J5" s="67"/>
      <c r="K5" s="67"/>
      <c r="L5" s="67"/>
      <c r="M5" s="67"/>
      <c r="N5" s="67"/>
      <c r="O5" s="67"/>
      <c r="P5" s="67"/>
      <c r="Q5" s="67"/>
      <c r="R5" s="67"/>
      <c r="S5" s="67"/>
      <c r="T5" s="67"/>
      <c r="U5" s="67"/>
      <c r="V5" s="67"/>
      <c r="W5" s="67"/>
      <c r="X5" s="67"/>
      <c r="Y5" s="67"/>
      <c r="Z5" s="67"/>
    </row>
    <row r="6" spans="1:26" ht="15.75" customHeight="1">
      <c r="A6" s="68" t="s">
        <v>17</v>
      </c>
      <c r="B6" s="68" t="s">
        <v>18</v>
      </c>
      <c r="C6" s="68" t="s">
        <v>38</v>
      </c>
      <c r="D6" s="68" t="s">
        <v>20</v>
      </c>
      <c r="E6" s="69">
        <v>2020</v>
      </c>
      <c r="F6" s="69">
        <v>11</v>
      </c>
      <c r="G6" s="69">
        <v>244.5</v>
      </c>
      <c r="H6" s="69">
        <v>18697</v>
      </c>
      <c r="I6" s="67"/>
      <c r="J6" s="67"/>
      <c r="K6" s="67"/>
      <c r="L6" s="67"/>
      <c r="M6" s="67"/>
      <c r="N6" s="67"/>
      <c r="O6" s="67"/>
      <c r="P6" s="67"/>
      <c r="Q6" s="67"/>
      <c r="R6" s="67"/>
      <c r="S6" s="67"/>
      <c r="T6" s="67"/>
      <c r="U6" s="67"/>
      <c r="V6" s="67"/>
      <c r="W6" s="67"/>
      <c r="X6" s="67"/>
      <c r="Y6" s="67"/>
      <c r="Z6" s="67"/>
    </row>
    <row r="7" spans="1:26" ht="15.75" customHeight="1">
      <c r="A7" s="68" t="s">
        <v>17</v>
      </c>
      <c r="B7" s="68" t="s">
        <v>18</v>
      </c>
      <c r="C7" s="68" t="s">
        <v>41</v>
      </c>
      <c r="D7" s="68" t="s">
        <v>20</v>
      </c>
      <c r="E7" s="69">
        <v>2020</v>
      </c>
      <c r="F7" s="69">
        <v>39</v>
      </c>
      <c r="G7" s="69">
        <v>614.79999999999995</v>
      </c>
      <c r="H7" s="69">
        <v>20669</v>
      </c>
      <c r="I7" s="67"/>
      <c r="J7" s="67"/>
      <c r="K7" s="67"/>
      <c r="L7" s="67"/>
      <c r="M7" s="67"/>
      <c r="N7" s="67"/>
      <c r="O7" s="67"/>
      <c r="P7" s="67"/>
      <c r="Q7" s="67"/>
      <c r="R7" s="67"/>
      <c r="S7" s="67"/>
      <c r="T7" s="67"/>
      <c r="U7" s="67"/>
      <c r="V7" s="67"/>
      <c r="W7" s="67"/>
      <c r="X7" s="67"/>
      <c r="Y7" s="67"/>
      <c r="Z7" s="67"/>
    </row>
    <row r="8" spans="1:26" ht="15.75" customHeight="1">
      <c r="A8" s="68" t="s">
        <v>17</v>
      </c>
      <c r="B8" s="68" t="s">
        <v>18</v>
      </c>
      <c r="C8" s="68" t="s">
        <v>43</v>
      </c>
      <c r="D8" s="68" t="s">
        <v>28</v>
      </c>
      <c r="E8" s="69">
        <v>2020</v>
      </c>
      <c r="F8" s="69">
        <v>13</v>
      </c>
      <c r="G8" s="69">
        <v>166.2</v>
      </c>
      <c r="H8" s="69">
        <v>11239</v>
      </c>
      <c r="I8" s="67"/>
      <c r="J8" s="67"/>
      <c r="K8" s="67"/>
      <c r="L8" s="67"/>
      <c r="M8" s="67"/>
      <c r="N8" s="67"/>
      <c r="O8" s="67"/>
      <c r="P8" s="67"/>
      <c r="Q8" s="67"/>
      <c r="R8" s="67"/>
      <c r="S8" s="67"/>
      <c r="T8" s="67"/>
      <c r="U8" s="67"/>
      <c r="V8" s="67"/>
      <c r="W8" s="67"/>
      <c r="X8" s="67"/>
      <c r="Y8" s="67"/>
      <c r="Z8" s="67"/>
    </row>
    <row r="9" spans="1:26" ht="15.75" customHeight="1">
      <c r="A9" s="68" t="s">
        <v>17</v>
      </c>
      <c r="B9" s="68" t="s">
        <v>18</v>
      </c>
      <c r="C9" s="68" t="s">
        <v>45</v>
      </c>
      <c r="D9" s="68" t="s">
        <v>32</v>
      </c>
      <c r="E9" s="69">
        <v>2020</v>
      </c>
      <c r="F9" s="69">
        <v>36</v>
      </c>
      <c r="G9" s="69">
        <v>587.4</v>
      </c>
      <c r="H9" s="69">
        <v>21449</v>
      </c>
      <c r="I9" s="67"/>
      <c r="J9" s="67"/>
      <c r="K9" s="67"/>
      <c r="L9" s="67"/>
      <c r="M9" s="67"/>
      <c r="N9" s="67"/>
      <c r="O9" s="67"/>
      <c r="P9" s="67"/>
      <c r="Q9" s="67"/>
      <c r="R9" s="67"/>
      <c r="S9" s="67"/>
      <c r="T9" s="67"/>
      <c r="U9" s="67"/>
      <c r="V9" s="67"/>
      <c r="W9" s="67"/>
      <c r="X9" s="67"/>
      <c r="Y9" s="67"/>
      <c r="Z9" s="67"/>
    </row>
    <row r="10" spans="1:26" ht="15.75" customHeight="1">
      <c r="A10" s="68" t="s">
        <v>17</v>
      </c>
      <c r="B10" s="68" t="s">
        <v>18</v>
      </c>
      <c r="C10" s="68" t="s">
        <v>48</v>
      </c>
      <c r="D10" s="68" t="s">
        <v>20</v>
      </c>
      <c r="E10" s="69">
        <v>2020</v>
      </c>
      <c r="F10" s="69">
        <v>53</v>
      </c>
      <c r="G10" s="69">
        <v>676.9</v>
      </c>
      <c r="H10" s="69">
        <v>28472</v>
      </c>
      <c r="I10" s="67"/>
      <c r="J10" s="67"/>
      <c r="K10" s="67"/>
      <c r="L10" s="67"/>
      <c r="M10" s="67"/>
      <c r="N10" s="67"/>
      <c r="O10" s="67"/>
      <c r="P10" s="67"/>
      <c r="Q10" s="67"/>
      <c r="R10" s="67"/>
      <c r="S10" s="67"/>
      <c r="T10" s="67"/>
      <c r="U10" s="67"/>
      <c r="V10" s="67"/>
      <c r="W10" s="67"/>
      <c r="X10" s="67"/>
      <c r="Y10" s="67"/>
      <c r="Z10" s="67"/>
    </row>
    <row r="11" spans="1:26" ht="15.75" customHeight="1">
      <c r="A11" s="68" t="s">
        <v>17</v>
      </c>
      <c r="B11" s="68" t="s">
        <v>18</v>
      </c>
      <c r="C11" s="68" t="s">
        <v>50</v>
      </c>
      <c r="D11" s="68" t="s">
        <v>32</v>
      </c>
      <c r="E11" s="69">
        <v>2020</v>
      </c>
      <c r="F11" s="69">
        <v>52</v>
      </c>
      <c r="G11" s="69">
        <v>837.4</v>
      </c>
      <c r="H11" s="69">
        <v>18782</v>
      </c>
      <c r="I11" s="67"/>
      <c r="J11" s="67"/>
      <c r="K11" s="67"/>
      <c r="L11" s="67"/>
      <c r="M11" s="67"/>
      <c r="N11" s="67"/>
      <c r="O11" s="67"/>
      <c r="P11" s="67"/>
      <c r="Q11" s="67"/>
      <c r="R11" s="67"/>
      <c r="S11" s="67"/>
      <c r="T11" s="67"/>
      <c r="U11" s="67"/>
      <c r="V11" s="67"/>
      <c r="W11" s="67"/>
      <c r="X11" s="67"/>
      <c r="Y11" s="67"/>
      <c r="Z11" s="67"/>
    </row>
    <row r="12" spans="1:26" ht="15.75" customHeight="1">
      <c r="A12" s="68" t="s">
        <v>17</v>
      </c>
      <c r="B12" s="68" t="s">
        <v>18</v>
      </c>
      <c r="C12" s="68" t="s">
        <v>52</v>
      </c>
      <c r="D12" s="68" t="s">
        <v>20</v>
      </c>
      <c r="E12" s="69">
        <v>2020</v>
      </c>
      <c r="F12" s="69">
        <v>60</v>
      </c>
      <c r="G12" s="69">
        <v>1202.3</v>
      </c>
      <c r="H12" s="69">
        <v>27731</v>
      </c>
      <c r="I12" s="67"/>
      <c r="J12" s="67"/>
      <c r="K12" s="67"/>
      <c r="L12" s="67"/>
      <c r="M12" s="67"/>
      <c r="N12" s="67"/>
      <c r="O12" s="67"/>
      <c r="P12" s="67"/>
      <c r="Q12" s="67"/>
      <c r="R12" s="67"/>
      <c r="S12" s="67"/>
      <c r="T12" s="67"/>
      <c r="U12" s="67"/>
      <c r="V12" s="67"/>
      <c r="W12" s="67"/>
      <c r="X12" s="67"/>
      <c r="Y12" s="67"/>
      <c r="Z12" s="67"/>
    </row>
    <row r="13" spans="1:26" ht="15.75" customHeight="1">
      <c r="A13" s="68" t="s">
        <v>17</v>
      </c>
      <c r="B13" s="68" t="s">
        <v>18</v>
      </c>
      <c r="C13" s="68" t="s">
        <v>54</v>
      </c>
      <c r="D13" s="68" t="s">
        <v>32</v>
      </c>
      <c r="E13" s="69">
        <v>2020</v>
      </c>
      <c r="F13" s="69">
        <v>13</v>
      </c>
      <c r="G13" s="69">
        <v>240.3</v>
      </c>
      <c r="H13" s="69">
        <v>19296</v>
      </c>
      <c r="I13" s="67"/>
      <c r="J13" s="67"/>
      <c r="K13" s="67"/>
      <c r="L13" s="67"/>
      <c r="M13" s="67"/>
      <c r="N13" s="67"/>
      <c r="O13" s="67"/>
      <c r="P13" s="67"/>
      <c r="Q13" s="67"/>
      <c r="R13" s="67"/>
      <c r="S13" s="67"/>
      <c r="T13" s="67"/>
      <c r="U13" s="67"/>
      <c r="V13" s="67"/>
      <c r="W13" s="67"/>
      <c r="X13" s="67"/>
      <c r="Y13" s="67"/>
      <c r="Z13" s="67"/>
    </row>
    <row r="14" spans="1:26" ht="15.75" customHeight="1">
      <c r="A14" s="68" t="s">
        <v>17</v>
      </c>
      <c r="B14" s="68" t="s">
        <v>18</v>
      </c>
      <c r="C14" s="68" t="s">
        <v>56</v>
      </c>
      <c r="D14" s="68" t="s">
        <v>32</v>
      </c>
      <c r="E14" s="69">
        <v>2020</v>
      </c>
      <c r="F14" s="69">
        <v>3</v>
      </c>
      <c r="G14" s="69">
        <v>63.2</v>
      </c>
      <c r="H14" s="69">
        <v>6695</v>
      </c>
      <c r="I14" s="67"/>
      <c r="J14" s="67"/>
      <c r="K14" s="67"/>
      <c r="L14" s="67"/>
      <c r="M14" s="67"/>
      <c r="N14" s="67"/>
      <c r="O14" s="67"/>
      <c r="P14" s="67"/>
      <c r="Q14" s="67"/>
      <c r="R14" s="67"/>
      <c r="S14" s="67"/>
      <c r="T14" s="67"/>
      <c r="U14" s="67"/>
      <c r="V14" s="67"/>
      <c r="W14" s="67"/>
      <c r="X14" s="67"/>
      <c r="Y14" s="67"/>
      <c r="Z14" s="67"/>
    </row>
    <row r="15" spans="1:26" ht="15.75" customHeight="1">
      <c r="A15" s="68" t="s">
        <v>17</v>
      </c>
      <c r="B15" s="68" t="s">
        <v>18</v>
      </c>
      <c r="C15" s="68" t="s">
        <v>58</v>
      </c>
      <c r="D15" s="68" t="s">
        <v>32</v>
      </c>
      <c r="E15" s="69">
        <v>2020</v>
      </c>
      <c r="F15" s="69">
        <v>26</v>
      </c>
      <c r="G15" s="69">
        <v>420.4</v>
      </c>
      <c r="H15" s="69">
        <v>11128</v>
      </c>
      <c r="I15" s="67"/>
      <c r="J15" s="67"/>
      <c r="K15" s="67"/>
      <c r="L15" s="67"/>
      <c r="M15" s="67"/>
      <c r="N15" s="67"/>
      <c r="O15" s="67"/>
      <c r="P15" s="67"/>
      <c r="Q15" s="67"/>
      <c r="R15" s="67"/>
      <c r="S15" s="67"/>
      <c r="T15" s="67"/>
      <c r="U15" s="67"/>
      <c r="V15" s="67"/>
      <c r="W15" s="67"/>
      <c r="X15" s="67"/>
      <c r="Y15" s="67"/>
      <c r="Z15" s="67"/>
    </row>
    <row r="16" spans="1:26" ht="15.75" customHeight="1">
      <c r="A16" s="68" t="s">
        <v>17</v>
      </c>
      <c r="B16" s="68" t="s">
        <v>18</v>
      </c>
      <c r="C16" s="68" t="s">
        <v>60</v>
      </c>
      <c r="D16" s="68" t="s">
        <v>32</v>
      </c>
      <c r="E16" s="69">
        <v>2020</v>
      </c>
      <c r="F16" s="69">
        <v>22</v>
      </c>
      <c r="G16" s="69">
        <v>391.5</v>
      </c>
      <c r="H16" s="69">
        <v>15507</v>
      </c>
      <c r="I16" s="67"/>
      <c r="J16" s="67"/>
      <c r="K16" s="67"/>
      <c r="L16" s="67"/>
      <c r="M16" s="67"/>
      <c r="N16" s="67"/>
      <c r="O16" s="67"/>
      <c r="P16" s="67"/>
      <c r="Q16" s="67"/>
      <c r="R16" s="67"/>
      <c r="S16" s="67"/>
      <c r="T16" s="67"/>
      <c r="U16" s="67"/>
      <c r="V16" s="67"/>
      <c r="W16" s="67"/>
      <c r="X16" s="67"/>
      <c r="Y16" s="67"/>
      <c r="Z16" s="67"/>
    </row>
    <row r="17" spans="1:26" ht="15.75" customHeight="1">
      <c r="A17" s="68" t="s">
        <v>17</v>
      </c>
      <c r="B17" s="68" t="s">
        <v>18</v>
      </c>
      <c r="C17" s="68" t="s">
        <v>62</v>
      </c>
      <c r="D17" s="68" t="s">
        <v>28</v>
      </c>
      <c r="E17" s="69">
        <v>2020</v>
      </c>
      <c r="F17" s="69">
        <v>17</v>
      </c>
      <c r="G17" s="69">
        <v>279.10000000000002</v>
      </c>
      <c r="H17" s="69">
        <v>16349</v>
      </c>
      <c r="I17" s="67"/>
      <c r="J17" s="67"/>
      <c r="K17" s="67"/>
      <c r="L17" s="67"/>
      <c r="M17" s="67"/>
      <c r="N17" s="67"/>
      <c r="O17" s="67"/>
      <c r="P17" s="67"/>
      <c r="Q17" s="67"/>
      <c r="R17" s="67"/>
      <c r="S17" s="67"/>
      <c r="T17" s="67"/>
      <c r="U17" s="67"/>
      <c r="V17" s="67"/>
      <c r="W17" s="67"/>
      <c r="X17" s="67"/>
      <c r="Y17" s="67"/>
      <c r="Z17" s="67"/>
    </row>
    <row r="18" spans="1:26" ht="12.5">
      <c r="A18" s="68" t="s">
        <v>17</v>
      </c>
      <c r="B18" s="68" t="s">
        <v>66</v>
      </c>
      <c r="C18" s="68" t="s">
        <v>67</v>
      </c>
      <c r="D18" s="68" t="s">
        <v>20</v>
      </c>
      <c r="E18" s="69">
        <v>2020</v>
      </c>
      <c r="F18" s="69">
        <v>29</v>
      </c>
      <c r="G18" s="69">
        <v>870.5</v>
      </c>
      <c r="H18" s="69">
        <v>42953</v>
      </c>
      <c r="I18" s="67"/>
      <c r="J18" s="67"/>
      <c r="K18" s="67"/>
      <c r="L18" s="67"/>
      <c r="M18" s="67"/>
      <c r="N18" s="67"/>
      <c r="O18" s="67"/>
      <c r="P18" s="67"/>
      <c r="Q18" s="67"/>
      <c r="R18" s="67"/>
      <c r="S18" s="67"/>
      <c r="T18" s="67"/>
      <c r="U18" s="67"/>
      <c r="V18" s="67"/>
      <c r="W18" s="67"/>
      <c r="X18" s="67"/>
      <c r="Y18" s="67"/>
      <c r="Z18" s="67"/>
    </row>
    <row r="19" spans="1:26" ht="12.5">
      <c r="A19" s="68" t="s">
        <v>17</v>
      </c>
      <c r="B19" s="68" t="s">
        <v>66</v>
      </c>
      <c r="C19" s="68" t="s">
        <v>69</v>
      </c>
      <c r="D19" s="68" t="s">
        <v>20</v>
      </c>
      <c r="E19" s="69">
        <v>2020</v>
      </c>
      <c r="F19" s="69">
        <v>43</v>
      </c>
      <c r="G19" s="69">
        <v>660.4</v>
      </c>
      <c r="H19" s="69">
        <v>44192</v>
      </c>
      <c r="I19" s="67"/>
      <c r="J19" s="67"/>
      <c r="K19" s="67"/>
      <c r="L19" s="67"/>
      <c r="M19" s="67"/>
      <c r="N19" s="67"/>
      <c r="O19" s="67"/>
      <c r="P19" s="67"/>
      <c r="Q19" s="67"/>
      <c r="R19" s="67"/>
      <c r="S19" s="67"/>
      <c r="T19" s="67"/>
      <c r="U19" s="67"/>
      <c r="V19" s="67"/>
      <c r="W19" s="67"/>
      <c r="X19" s="67"/>
      <c r="Y19" s="67"/>
      <c r="Z19" s="67"/>
    </row>
    <row r="20" spans="1:26" ht="12.5">
      <c r="A20" s="68" t="s">
        <v>17</v>
      </c>
      <c r="B20" s="68" t="s">
        <v>66</v>
      </c>
      <c r="C20" s="68" t="s">
        <v>71</v>
      </c>
      <c r="D20" s="68" t="s">
        <v>32</v>
      </c>
      <c r="E20" s="69">
        <v>2020</v>
      </c>
      <c r="F20" s="69">
        <v>24</v>
      </c>
      <c r="G20" s="69">
        <v>446.3</v>
      </c>
      <c r="H20" s="69">
        <v>14447</v>
      </c>
      <c r="I20" s="67"/>
      <c r="J20" s="67"/>
      <c r="K20" s="67"/>
      <c r="L20" s="67"/>
      <c r="M20" s="67"/>
      <c r="N20" s="67"/>
      <c r="O20" s="67"/>
      <c r="P20" s="67"/>
      <c r="Q20" s="67"/>
      <c r="R20" s="67"/>
      <c r="S20" s="67"/>
      <c r="T20" s="67"/>
      <c r="U20" s="67"/>
      <c r="V20" s="67"/>
      <c r="W20" s="67"/>
      <c r="X20" s="67"/>
      <c r="Y20" s="67"/>
      <c r="Z20" s="67"/>
    </row>
    <row r="21" spans="1:26" ht="12.5">
      <c r="A21" s="68" t="s">
        <v>17</v>
      </c>
      <c r="B21" s="68" t="s">
        <v>66</v>
      </c>
      <c r="C21" s="68" t="s">
        <v>74</v>
      </c>
      <c r="D21" s="68" t="s">
        <v>28</v>
      </c>
      <c r="E21" s="69">
        <v>2020</v>
      </c>
      <c r="F21" s="69">
        <v>16</v>
      </c>
      <c r="G21" s="69">
        <v>416.1</v>
      </c>
      <c r="H21" s="69">
        <v>12834</v>
      </c>
      <c r="I21" s="67"/>
      <c r="J21" s="67"/>
      <c r="K21" s="67"/>
      <c r="L21" s="67"/>
      <c r="M21" s="67"/>
      <c r="N21" s="67"/>
      <c r="O21" s="67"/>
      <c r="P21" s="67"/>
      <c r="Q21" s="67"/>
      <c r="R21" s="67"/>
      <c r="S21" s="67"/>
      <c r="T21" s="67"/>
      <c r="U21" s="67"/>
      <c r="V21" s="67"/>
      <c r="W21" s="67"/>
      <c r="X21" s="67"/>
      <c r="Y21" s="67"/>
      <c r="Z21" s="67"/>
    </row>
    <row r="22" spans="1:26" ht="12.5">
      <c r="A22" s="68" t="s">
        <v>17</v>
      </c>
      <c r="B22" s="68" t="s">
        <v>66</v>
      </c>
      <c r="C22" s="68" t="s">
        <v>76</v>
      </c>
      <c r="D22" s="68" t="s">
        <v>28</v>
      </c>
      <c r="E22" s="69">
        <v>2020</v>
      </c>
      <c r="F22" s="69">
        <v>13</v>
      </c>
      <c r="G22" s="69">
        <v>326.89999999999998</v>
      </c>
      <c r="H22" s="69">
        <v>7647</v>
      </c>
      <c r="I22" s="67"/>
      <c r="J22" s="67"/>
      <c r="K22" s="67"/>
      <c r="L22" s="67"/>
      <c r="M22" s="67"/>
      <c r="N22" s="67"/>
      <c r="O22" s="67"/>
      <c r="P22" s="67"/>
      <c r="Q22" s="67"/>
      <c r="R22" s="67"/>
      <c r="S22" s="67"/>
      <c r="T22" s="67"/>
      <c r="U22" s="67"/>
      <c r="V22" s="67"/>
      <c r="W22" s="67"/>
      <c r="X22" s="67"/>
      <c r="Y22" s="67"/>
      <c r="Z22" s="67"/>
    </row>
    <row r="23" spans="1:26" ht="12.5">
      <c r="A23" s="68" t="s">
        <v>17</v>
      </c>
      <c r="B23" s="68" t="s">
        <v>66</v>
      </c>
      <c r="C23" s="68" t="s">
        <v>78</v>
      </c>
      <c r="D23" s="68" t="s">
        <v>28</v>
      </c>
      <c r="E23" s="69">
        <v>2020</v>
      </c>
      <c r="F23" s="69">
        <v>11</v>
      </c>
      <c r="G23" s="69">
        <v>175.4</v>
      </c>
      <c r="H23" s="69">
        <v>4161</v>
      </c>
      <c r="I23" s="67"/>
      <c r="J23" s="67"/>
      <c r="K23" s="67"/>
      <c r="L23" s="67"/>
      <c r="M23" s="67"/>
      <c r="N23" s="67"/>
      <c r="O23" s="67"/>
      <c r="P23" s="67"/>
      <c r="Q23" s="67"/>
      <c r="R23" s="67"/>
      <c r="S23" s="67"/>
      <c r="T23" s="67"/>
      <c r="U23" s="67"/>
      <c r="V23" s="67"/>
      <c r="W23" s="67"/>
      <c r="X23" s="67"/>
      <c r="Y23" s="67"/>
      <c r="Z23" s="67"/>
    </row>
    <row r="24" spans="1:26" ht="12.5">
      <c r="A24" s="68" t="s">
        <v>17</v>
      </c>
      <c r="B24" s="68" t="s">
        <v>66</v>
      </c>
      <c r="C24" s="68" t="s">
        <v>80</v>
      </c>
      <c r="D24" s="68" t="s">
        <v>20</v>
      </c>
      <c r="E24" s="69">
        <v>2020</v>
      </c>
      <c r="F24" s="69">
        <v>6</v>
      </c>
      <c r="G24" s="69">
        <v>123.8</v>
      </c>
      <c r="H24" s="69">
        <v>24771</v>
      </c>
      <c r="I24" s="67"/>
      <c r="J24" s="67"/>
      <c r="K24" s="67"/>
      <c r="L24" s="67"/>
      <c r="M24" s="67"/>
      <c r="N24" s="67"/>
      <c r="O24" s="67"/>
      <c r="P24" s="67"/>
      <c r="Q24" s="67"/>
      <c r="R24" s="67"/>
      <c r="S24" s="67"/>
      <c r="T24" s="67"/>
      <c r="U24" s="67"/>
      <c r="V24" s="67"/>
      <c r="W24" s="67"/>
      <c r="X24" s="67"/>
      <c r="Y24" s="67"/>
      <c r="Z24" s="67"/>
    </row>
    <row r="25" spans="1:26" ht="12.5">
      <c r="A25" s="68" t="s">
        <v>17</v>
      </c>
      <c r="B25" s="68" t="s">
        <v>66</v>
      </c>
      <c r="C25" s="68" t="s">
        <v>82</v>
      </c>
      <c r="D25" s="68" t="s">
        <v>28</v>
      </c>
      <c r="E25" s="69">
        <v>2020</v>
      </c>
      <c r="F25" s="69">
        <v>10</v>
      </c>
      <c r="G25" s="69">
        <v>326.7</v>
      </c>
      <c r="H25" s="69">
        <v>9814</v>
      </c>
      <c r="I25" s="67"/>
      <c r="J25" s="67"/>
      <c r="K25" s="67"/>
      <c r="L25" s="67"/>
      <c r="M25" s="67"/>
      <c r="N25" s="67"/>
      <c r="O25" s="67"/>
      <c r="P25" s="67"/>
      <c r="Q25" s="67"/>
      <c r="R25" s="67"/>
      <c r="S25" s="67"/>
      <c r="T25" s="67"/>
      <c r="U25" s="67"/>
      <c r="V25" s="67"/>
      <c r="W25" s="67"/>
      <c r="X25" s="67"/>
      <c r="Y25" s="67"/>
      <c r="Z25" s="67"/>
    </row>
    <row r="26" spans="1:26" ht="12.5">
      <c r="A26" s="68" t="s">
        <v>17</v>
      </c>
      <c r="B26" s="68" t="s">
        <v>66</v>
      </c>
      <c r="C26" s="68" t="s">
        <v>84</v>
      </c>
      <c r="D26" s="68" t="s">
        <v>28</v>
      </c>
      <c r="E26" s="69">
        <v>2020</v>
      </c>
      <c r="F26" s="69">
        <v>5</v>
      </c>
      <c r="G26" s="69">
        <v>234.7</v>
      </c>
      <c r="H26" s="69">
        <v>6224</v>
      </c>
      <c r="I26" s="67"/>
      <c r="J26" s="67"/>
      <c r="K26" s="67"/>
      <c r="L26" s="67"/>
      <c r="M26" s="67"/>
      <c r="N26" s="67"/>
      <c r="O26" s="67"/>
      <c r="P26" s="67"/>
      <c r="Q26" s="67"/>
      <c r="R26" s="67"/>
      <c r="S26" s="67"/>
      <c r="T26" s="67"/>
      <c r="U26" s="67"/>
      <c r="V26" s="67"/>
      <c r="W26" s="67"/>
      <c r="X26" s="67"/>
      <c r="Y26" s="67"/>
      <c r="Z26" s="67"/>
    </row>
    <row r="27" spans="1:26" ht="12.5">
      <c r="A27" s="68" t="s">
        <v>17</v>
      </c>
      <c r="B27" s="68" t="s">
        <v>66</v>
      </c>
      <c r="C27" s="68" t="s">
        <v>86</v>
      </c>
      <c r="D27" s="68" t="s">
        <v>28</v>
      </c>
      <c r="E27" s="69">
        <v>2020</v>
      </c>
      <c r="F27" s="69">
        <v>20</v>
      </c>
      <c r="G27" s="69">
        <v>292.39999999999998</v>
      </c>
      <c r="H27" s="69">
        <v>7172</v>
      </c>
      <c r="I27" s="67"/>
      <c r="J27" s="67"/>
      <c r="K27" s="67"/>
      <c r="L27" s="67"/>
      <c r="M27" s="67"/>
      <c r="N27" s="67"/>
      <c r="O27" s="67"/>
      <c r="P27" s="67"/>
      <c r="Q27" s="67"/>
      <c r="R27" s="67"/>
      <c r="S27" s="67"/>
      <c r="T27" s="67"/>
      <c r="U27" s="67"/>
      <c r="V27" s="67"/>
      <c r="W27" s="67"/>
      <c r="X27" s="67"/>
      <c r="Y27" s="67"/>
      <c r="Z27" s="67"/>
    </row>
    <row r="28" spans="1:26" ht="12.5">
      <c r="A28" s="68" t="s">
        <v>17</v>
      </c>
      <c r="B28" s="68" t="s">
        <v>66</v>
      </c>
      <c r="C28" s="68" t="s">
        <v>88</v>
      </c>
      <c r="D28" s="68" t="s">
        <v>28</v>
      </c>
      <c r="E28" s="69">
        <v>2020</v>
      </c>
      <c r="F28" s="69">
        <v>12</v>
      </c>
      <c r="G28" s="69">
        <v>292.8</v>
      </c>
      <c r="H28" s="69">
        <v>7923</v>
      </c>
      <c r="I28" s="67"/>
      <c r="J28" s="67"/>
      <c r="K28" s="67"/>
      <c r="L28" s="67"/>
      <c r="M28" s="67"/>
      <c r="N28" s="67"/>
      <c r="O28" s="67"/>
      <c r="P28" s="67"/>
      <c r="Q28" s="67"/>
      <c r="R28" s="67"/>
      <c r="S28" s="67"/>
      <c r="T28" s="67"/>
      <c r="U28" s="67"/>
      <c r="V28" s="67"/>
      <c r="W28" s="67"/>
      <c r="X28" s="67"/>
      <c r="Y28" s="67"/>
      <c r="Z28" s="67"/>
    </row>
    <row r="29" spans="1:26" ht="12.5">
      <c r="A29" s="68" t="s">
        <v>17</v>
      </c>
      <c r="B29" s="68" t="s">
        <v>66</v>
      </c>
      <c r="C29" s="68" t="s">
        <v>90</v>
      </c>
      <c r="D29" s="68" t="s">
        <v>32</v>
      </c>
      <c r="E29" s="69">
        <v>2020</v>
      </c>
      <c r="F29" s="69">
        <v>31</v>
      </c>
      <c r="G29" s="69">
        <v>460</v>
      </c>
      <c r="H29" s="69">
        <v>17251</v>
      </c>
      <c r="I29" s="67"/>
      <c r="J29" s="67"/>
      <c r="K29" s="67"/>
      <c r="L29" s="67"/>
      <c r="M29" s="67"/>
      <c r="N29" s="67"/>
      <c r="O29" s="67"/>
      <c r="P29" s="67"/>
      <c r="Q29" s="67"/>
      <c r="R29" s="67"/>
      <c r="S29" s="67"/>
      <c r="T29" s="67"/>
      <c r="U29" s="67"/>
      <c r="V29" s="67"/>
      <c r="W29" s="67"/>
      <c r="X29" s="67"/>
      <c r="Y29" s="67"/>
      <c r="Z29" s="67"/>
    </row>
    <row r="30" spans="1:26" ht="12.5">
      <c r="A30" s="68" t="s">
        <v>17</v>
      </c>
      <c r="B30" s="68" t="s">
        <v>66</v>
      </c>
      <c r="C30" s="68" t="s">
        <v>92</v>
      </c>
      <c r="D30" s="68" t="s">
        <v>32</v>
      </c>
      <c r="E30" s="69">
        <v>2020</v>
      </c>
      <c r="F30" s="69">
        <v>26</v>
      </c>
      <c r="G30" s="69">
        <v>530.4</v>
      </c>
      <c r="H30" s="69">
        <v>23938</v>
      </c>
      <c r="I30" s="67"/>
      <c r="J30" s="67"/>
      <c r="K30" s="67"/>
      <c r="L30" s="67"/>
      <c r="M30" s="67"/>
      <c r="N30" s="67"/>
      <c r="O30" s="67"/>
      <c r="P30" s="67"/>
      <c r="Q30" s="67"/>
      <c r="R30" s="67"/>
      <c r="S30" s="67"/>
      <c r="T30" s="67"/>
      <c r="U30" s="67"/>
      <c r="V30" s="67"/>
      <c r="W30" s="67"/>
      <c r="X30" s="67"/>
      <c r="Y30" s="67"/>
      <c r="Z30" s="67"/>
    </row>
    <row r="31" spans="1:26" ht="12.5">
      <c r="A31" s="68" t="s">
        <v>17</v>
      </c>
      <c r="B31" s="68" t="s">
        <v>66</v>
      </c>
      <c r="C31" s="68" t="s">
        <v>95</v>
      </c>
      <c r="D31" s="68" t="s">
        <v>32</v>
      </c>
      <c r="E31" s="69">
        <v>2020</v>
      </c>
      <c r="F31" s="69">
        <v>17</v>
      </c>
      <c r="G31" s="69">
        <v>524.79999999999995</v>
      </c>
      <c r="H31" s="69">
        <v>13476</v>
      </c>
      <c r="I31" s="67"/>
      <c r="J31" s="67"/>
      <c r="K31" s="67"/>
      <c r="L31" s="67"/>
      <c r="M31" s="67"/>
      <c r="N31" s="67"/>
      <c r="O31" s="67"/>
      <c r="P31" s="67"/>
      <c r="Q31" s="67"/>
      <c r="R31" s="67"/>
      <c r="S31" s="67"/>
      <c r="T31" s="67"/>
      <c r="U31" s="67"/>
      <c r="V31" s="67"/>
      <c r="W31" s="67"/>
      <c r="X31" s="67"/>
      <c r="Y31" s="67"/>
      <c r="Z31" s="67"/>
    </row>
    <row r="32" spans="1:26" ht="12.5">
      <c r="A32" s="68" t="s">
        <v>17</v>
      </c>
      <c r="B32" s="68" t="s">
        <v>98</v>
      </c>
      <c r="C32" s="68" t="s">
        <v>99</v>
      </c>
      <c r="D32" s="68" t="s">
        <v>20</v>
      </c>
      <c r="E32" s="69">
        <v>2020</v>
      </c>
      <c r="F32" s="69">
        <v>70</v>
      </c>
      <c r="G32" s="69">
        <v>766.4</v>
      </c>
      <c r="H32" s="69">
        <v>40310</v>
      </c>
      <c r="I32" s="67"/>
      <c r="J32" s="67"/>
      <c r="K32" s="67"/>
      <c r="L32" s="67"/>
      <c r="M32" s="67"/>
      <c r="N32" s="67"/>
      <c r="O32" s="67"/>
      <c r="P32" s="67"/>
      <c r="Q32" s="67"/>
      <c r="R32" s="67"/>
      <c r="S32" s="67"/>
      <c r="T32" s="67"/>
      <c r="U32" s="67"/>
      <c r="V32" s="67"/>
      <c r="W32" s="67"/>
      <c r="X32" s="67"/>
      <c r="Y32" s="67"/>
      <c r="Z32" s="67"/>
    </row>
    <row r="33" spans="1:26" ht="12.5">
      <c r="A33" s="68" t="s">
        <v>17</v>
      </c>
      <c r="B33" s="68" t="s">
        <v>98</v>
      </c>
      <c r="C33" s="68" t="s">
        <v>101</v>
      </c>
      <c r="D33" s="68" t="s">
        <v>28</v>
      </c>
      <c r="E33" s="69">
        <v>2020</v>
      </c>
      <c r="F33" s="69">
        <v>16</v>
      </c>
      <c r="G33" s="69">
        <v>337.1</v>
      </c>
      <c r="H33" s="69">
        <v>12813</v>
      </c>
      <c r="I33" s="67"/>
      <c r="J33" s="67"/>
      <c r="K33" s="67"/>
      <c r="L33" s="67"/>
      <c r="M33" s="67"/>
      <c r="N33" s="67"/>
      <c r="O33" s="67"/>
      <c r="P33" s="67"/>
      <c r="Q33" s="67"/>
      <c r="R33" s="67"/>
      <c r="S33" s="67"/>
      <c r="T33" s="67"/>
      <c r="U33" s="67"/>
      <c r="V33" s="67"/>
      <c r="W33" s="67"/>
      <c r="X33" s="67"/>
      <c r="Y33" s="67"/>
      <c r="Z33" s="67"/>
    </row>
    <row r="34" spans="1:26" ht="12.5">
      <c r="A34" s="68" t="s">
        <v>17</v>
      </c>
      <c r="B34" s="68" t="s">
        <v>98</v>
      </c>
      <c r="C34" s="68" t="s">
        <v>103</v>
      </c>
      <c r="D34" s="68" t="s">
        <v>20</v>
      </c>
      <c r="E34" s="69">
        <v>2020</v>
      </c>
      <c r="F34" s="69">
        <v>34</v>
      </c>
      <c r="G34" s="69">
        <v>531.70000000000005</v>
      </c>
      <c r="H34" s="69">
        <v>48952</v>
      </c>
      <c r="I34" s="67"/>
      <c r="J34" s="67"/>
      <c r="K34" s="67"/>
      <c r="L34" s="67"/>
      <c r="M34" s="67"/>
      <c r="N34" s="67"/>
      <c r="O34" s="67"/>
      <c r="P34" s="67"/>
      <c r="Q34" s="67"/>
      <c r="R34" s="67"/>
      <c r="S34" s="67"/>
      <c r="T34" s="67"/>
      <c r="U34" s="67"/>
      <c r="V34" s="67"/>
      <c r="W34" s="67"/>
      <c r="X34" s="67"/>
      <c r="Y34" s="67"/>
      <c r="Z34" s="67"/>
    </row>
    <row r="35" spans="1:26" ht="12.5">
      <c r="A35" s="68" t="s">
        <v>17</v>
      </c>
      <c r="B35" s="68" t="s">
        <v>98</v>
      </c>
      <c r="C35" s="68" t="s">
        <v>105</v>
      </c>
      <c r="D35" s="68" t="s">
        <v>32</v>
      </c>
      <c r="E35" s="69">
        <v>2020</v>
      </c>
      <c r="F35" s="69">
        <v>21</v>
      </c>
      <c r="G35" s="69">
        <v>307.10000000000002</v>
      </c>
      <c r="H35" s="69">
        <v>7961</v>
      </c>
      <c r="I35" s="67"/>
      <c r="J35" s="67"/>
      <c r="K35" s="67"/>
      <c r="L35" s="67"/>
      <c r="M35" s="67"/>
      <c r="N35" s="67"/>
      <c r="O35" s="67"/>
      <c r="P35" s="67"/>
      <c r="Q35" s="67"/>
      <c r="R35" s="67"/>
      <c r="S35" s="67"/>
      <c r="T35" s="67"/>
      <c r="U35" s="67"/>
      <c r="V35" s="67"/>
      <c r="W35" s="67"/>
      <c r="X35" s="67"/>
      <c r="Y35" s="67"/>
      <c r="Z35" s="67"/>
    </row>
    <row r="36" spans="1:26" ht="12.5">
      <c r="A36" s="68" t="s">
        <v>17</v>
      </c>
      <c r="B36" s="68" t="s">
        <v>98</v>
      </c>
      <c r="C36" s="68" t="s">
        <v>107</v>
      </c>
      <c r="D36" s="68" t="s">
        <v>28</v>
      </c>
      <c r="E36" s="69">
        <v>2020</v>
      </c>
      <c r="F36" s="69">
        <v>8</v>
      </c>
      <c r="G36" s="69">
        <v>191.6</v>
      </c>
      <c r="H36" s="69">
        <v>11560</v>
      </c>
      <c r="I36" s="67"/>
      <c r="J36" s="67"/>
      <c r="K36" s="67"/>
      <c r="L36" s="67"/>
      <c r="M36" s="67"/>
      <c r="N36" s="67"/>
      <c r="O36" s="67"/>
      <c r="P36" s="67"/>
      <c r="Q36" s="67"/>
      <c r="R36" s="67"/>
      <c r="S36" s="67"/>
      <c r="T36" s="67"/>
      <c r="U36" s="67"/>
      <c r="V36" s="67"/>
      <c r="W36" s="67"/>
      <c r="X36" s="67"/>
      <c r="Y36" s="67"/>
      <c r="Z36" s="67"/>
    </row>
    <row r="37" spans="1:26" ht="12.5">
      <c r="A37" s="68" t="s">
        <v>17</v>
      </c>
      <c r="B37" s="68" t="s">
        <v>98</v>
      </c>
      <c r="C37" s="68" t="s">
        <v>109</v>
      </c>
      <c r="D37" s="68" t="s">
        <v>28</v>
      </c>
      <c r="E37" s="69">
        <v>2020</v>
      </c>
      <c r="F37" s="69">
        <v>19</v>
      </c>
      <c r="G37" s="69">
        <v>223.1</v>
      </c>
      <c r="H37" s="69">
        <v>7922</v>
      </c>
      <c r="I37" s="67"/>
      <c r="J37" s="67"/>
      <c r="K37" s="67"/>
      <c r="L37" s="67"/>
      <c r="M37" s="67"/>
      <c r="N37" s="67"/>
      <c r="O37" s="67"/>
      <c r="P37" s="67"/>
      <c r="Q37" s="67"/>
      <c r="R37" s="67"/>
      <c r="S37" s="67"/>
      <c r="T37" s="67"/>
      <c r="U37" s="67"/>
      <c r="V37" s="67"/>
      <c r="W37" s="67"/>
      <c r="X37" s="67"/>
      <c r="Y37" s="67"/>
      <c r="Z37" s="67"/>
    </row>
    <row r="38" spans="1:26" ht="12.5">
      <c r="A38" s="68" t="s">
        <v>17</v>
      </c>
      <c r="B38" s="68" t="s">
        <v>98</v>
      </c>
      <c r="C38" s="68" t="s">
        <v>111</v>
      </c>
      <c r="D38" s="68" t="s">
        <v>28</v>
      </c>
      <c r="E38" s="69">
        <v>2020</v>
      </c>
      <c r="F38" s="69">
        <v>16</v>
      </c>
      <c r="G38" s="69">
        <v>301</v>
      </c>
      <c r="H38" s="69">
        <v>7649</v>
      </c>
      <c r="I38" s="67"/>
      <c r="J38" s="67"/>
      <c r="K38" s="67"/>
      <c r="L38" s="67"/>
      <c r="M38" s="67"/>
      <c r="N38" s="67"/>
      <c r="O38" s="67"/>
      <c r="P38" s="67"/>
      <c r="Q38" s="67"/>
      <c r="R38" s="67"/>
      <c r="S38" s="67"/>
      <c r="T38" s="67"/>
      <c r="U38" s="67"/>
      <c r="V38" s="67"/>
      <c r="W38" s="67"/>
      <c r="X38" s="67"/>
      <c r="Y38" s="67"/>
      <c r="Z38" s="67"/>
    </row>
    <row r="39" spans="1:26" ht="12.5">
      <c r="A39" s="68" t="s">
        <v>17</v>
      </c>
      <c r="B39" s="68" t="s">
        <v>98</v>
      </c>
      <c r="C39" s="68" t="s">
        <v>113</v>
      </c>
      <c r="D39" s="68" t="s">
        <v>20</v>
      </c>
      <c r="E39" s="69">
        <v>2020</v>
      </c>
      <c r="F39" s="69">
        <v>32</v>
      </c>
      <c r="G39" s="69">
        <v>482.1</v>
      </c>
      <c r="H39" s="69">
        <v>24377</v>
      </c>
      <c r="I39" s="67"/>
      <c r="J39" s="67"/>
      <c r="K39" s="67"/>
      <c r="L39" s="67"/>
      <c r="M39" s="67"/>
      <c r="N39" s="67"/>
      <c r="O39" s="67"/>
      <c r="P39" s="67"/>
      <c r="Q39" s="67"/>
      <c r="R39" s="67"/>
      <c r="S39" s="67"/>
      <c r="T39" s="67"/>
      <c r="U39" s="67"/>
      <c r="V39" s="67"/>
      <c r="W39" s="67"/>
      <c r="X39" s="67"/>
      <c r="Y39" s="67"/>
      <c r="Z39" s="67"/>
    </row>
    <row r="40" spans="1:26" ht="12.5">
      <c r="A40" s="68" t="s">
        <v>17</v>
      </c>
      <c r="B40" s="68" t="s">
        <v>115</v>
      </c>
      <c r="C40" s="68" t="s">
        <v>116</v>
      </c>
      <c r="D40" s="68" t="s">
        <v>28</v>
      </c>
      <c r="E40" s="69">
        <v>2020</v>
      </c>
      <c r="F40" s="69">
        <v>13</v>
      </c>
      <c r="G40" s="69">
        <v>207.5</v>
      </c>
      <c r="H40" s="69">
        <v>5354</v>
      </c>
      <c r="I40" s="67"/>
      <c r="J40" s="67"/>
      <c r="K40" s="67"/>
      <c r="L40" s="67"/>
      <c r="M40" s="67"/>
      <c r="N40" s="67"/>
      <c r="O40" s="67"/>
      <c r="P40" s="67"/>
      <c r="Q40" s="67"/>
      <c r="R40" s="67"/>
      <c r="S40" s="67"/>
      <c r="T40" s="67"/>
      <c r="U40" s="67"/>
      <c r="V40" s="67"/>
      <c r="W40" s="67"/>
      <c r="X40" s="67"/>
      <c r="Y40" s="67"/>
      <c r="Z40" s="67"/>
    </row>
    <row r="41" spans="1:26" ht="12.5">
      <c r="A41" s="68" t="s">
        <v>17</v>
      </c>
      <c r="B41" s="68" t="s">
        <v>115</v>
      </c>
      <c r="C41" s="68" t="s">
        <v>118</v>
      </c>
      <c r="D41" s="68" t="s">
        <v>32</v>
      </c>
      <c r="E41" s="69">
        <v>2020</v>
      </c>
      <c r="F41" s="69">
        <v>25</v>
      </c>
      <c r="G41" s="69">
        <v>436.4</v>
      </c>
      <c r="H41" s="69">
        <v>13871</v>
      </c>
      <c r="I41" s="67"/>
      <c r="J41" s="67"/>
      <c r="K41" s="67"/>
      <c r="L41" s="67"/>
      <c r="M41" s="67"/>
      <c r="N41" s="67"/>
      <c r="O41" s="67"/>
      <c r="P41" s="67"/>
      <c r="Q41" s="67"/>
      <c r="R41" s="67"/>
      <c r="S41" s="67"/>
      <c r="T41" s="67"/>
      <c r="U41" s="67"/>
      <c r="V41" s="67"/>
      <c r="W41" s="67"/>
      <c r="X41" s="67"/>
      <c r="Y41" s="67"/>
      <c r="Z41" s="67"/>
    </row>
    <row r="42" spans="1:26" ht="12.5">
      <c r="A42" s="68" t="s">
        <v>17</v>
      </c>
      <c r="B42" s="68" t="s">
        <v>115</v>
      </c>
      <c r="C42" s="68" t="s">
        <v>120</v>
      </c>
      <c r="D42" s="68" t="s">
        <v>20</v>
      </c>
      <c r="E42" s="69">
        <v>2020</v>
      </c>
      <c r="F42" s="69">
        <v>26</v>
      </c>
      <c r="G42" s="69">
        <v>373.8</v>
      </c>
      <c r="H42" s="69">
        <v>42726</v>
      </c>
      <c r="I42" s="67"/>
      <c r="J42" s="67"/>
      <c r="K42" s="67"/>
      <c r="L42" s="67"/>
      <c r="M42" s="67"/>
      <c r="N42" s="67"/>
      <c r="O42" s="67"/>
      <c r="P42" s="67"/>
      <c r="Q42" s="67"/>
      <c r="R42" s="67"/>
      <c r="S42" s="67"/>
      <c r="T42" s="67"/>
      <c r="U42" s="67"/>
      <c r="V42" s="67"/>
      <c r="W42" s="67"/>
      <c r="X42" s="67"/>
      <c r="Y42" s="67"/>
      <c r="Z42" s="67"/>
    </row>
    <row r="43" spans="1:26" ht="12.5">
      <c r="A43" s="68" t="s">
        <v>17</v>
      </c>
      <c r="B43" s="68" t="s">
        <v>115</v>
      </c>
      <c r="C43" s="68" t="s">
        <v>122</v>
      </c>
      <c r="D43" s="68" t="s">
        <v>32</v>
      </c>
      <c r="E43" s="69">
        <v>2020</v>
      </c>
      <c r="F43" s="69">
        <v>50</v>
      </c>
      <c r="G43" s="69">
        <v>738.8</v>
      </c>
      <c r="H43" s="69">
        <v>20873</v>
      </c>
      <c r="I43" s="67"/>
      <c r="J43" s="67"/>
      <c r="K43" s="67"/>
      <c r="L43" s="67"/>
      <c r="M43" s="67"/>
      <c r="N43" s="67"/>
      <c r="O43" s="67"/>
      <c r="P43" s="67"/>
      <c r="Q43" s="67"/>
      <c r="R43" s="67"/>
      <c r="S43" s="67"/>
      <c r="T43" s="67"/>
      <c r="U43" s="67"/>
      <c r="V43" s="67"/>
      <c r="W43" s="67"/>
      <c r="X43" s="67"/>
      <c r="Y43" s="67"/>
      <c r="Z43" s="67"/>
    </row>
    <row r="44" spans="1:26" ht="12.5">
      <c r="A44" s="68" t="s">
        <v>17</v>
      </c>
      <c r="B44" s="68" t="s">
        <v>115</v>
      </c>
      <c r="C44" s="68" t="s">
        <v>124</v>
      </c>
      <c r="D44" s="68" t="s">
        <v>32</v>
      </c>
      <c r="E44" s="69">
        <v>2020</v>
      </c>
      <c r="F44" s="69">
        <v>30</v>
      </c>
      <c r="G44" s="69">
        <v>426</v>
      </c>
      <c r="H44" s="69">
        <v>15561</v>
      </c>
      <c r="I44" s="67"/>
      <c r="J44" s="67"/>
      <c r="K44" s="67"/>
      <c r="L44" s="67"/>
      <c r="M44" s="67"/>
      <c r="N44" s="67"/>
      <c r="O44" s="67"/>
      <c r="P44" s="67"/>
      <c r="Q44" s="67"/>
      <c r="R44" s="67"/>
      <c r="S44" s="67"/>
      <c r="T44" s="67"/>
      <c r="U44" s="67"/>
      <c r="V44" s="67"/>
      <c r="W44" s="67"/>
      <c r="X44" s="67"/>
      <c r="Y44" s="67"/>
      <c r="Z44" s="67"/>
    </row>
    <row r="45" spans="1:26" ht="12.5">
      <c r="A45" s="68" t="s">
        <v>17</v>
      </c>
      <c r="B45" s="68" t="s">
        <v>115</v>
      </c>
      <c r="C45" s="68" t="s">
        <v>127</v>
      </c>
      <c r="D45" s="68" t="s">
        <v>20</v>
      </c>
      <c r="E45" s="69">
        <v>2020</v>
      </c>
      <c r="F45" s="69">
        <v>38</v>
      </c>
      <c r="G45" s="69">
        <v>787.9</v>
      </c>
      <c r="H45" s="69">
        <v>37290</v>
      </c>
      <c r="I45" s="67"/>
      <c r="J45" s="67"/>
      <c r="K45" s="67"/>
      <c r="L45" s="67"/>
      <c r="M45" s="67"/>
      <c r="N45" s="67"/>
      <c r="O45" s="67"/>
      <c r="P45" s="67"/>
      <c r="Q45" s="67"/>
      <c r="R45" s="67"/>
      <c r="S45" s="67"/>
      <c r="T45" s="67"/>
      <c r="U45" s="67"/>
      <c r="V45" s="67"/>
      <c r="W45" s="67"/>
      <c r="X45" s="67"/>
      <c r="Y45" s="67"/>
      <c r="Z45" s="67"/>
    </row>
    <row r="46" spans="1:26" ht="12.5">
      <c r="A46" s="68" t="s">
        <v>17</v>
      </c>
      <c r="B46" s="68" t="s">
        <v>115</v>
      </c>
      <c r="C46" s="68" t="s">
        <v>129</v>
      </c>
      <c r="D46" s="68" t="s">
        <v>28</v>
      </c>
      <c r="E46" s="69">
        <v>2020</v>
      </c>
      <c r="F46" s="69">
        <v>13</v>
      </c>
      <c r="G46" s="69">
        <v>250.6</v>
      </c>
      <c r="H46" s="69">
        <v>6781</v>
      </c>
      <c r="I46" s="67"/>
      <c r="J46" s="67"/>
      <c r="K46" s="67"/>
      <c r="L46" s="67"/>
      <c r="M46" s="67"/>
      <c r="N46" s="67"/>
      <c r="O46" s="67"/>
      <c r="P46" s="67"/>
      <c r="Q46" s="67"/>
      <c r="R46" s="67"/>
      <c r="S46" s="67"/>
      <c r="T46" s="67"/>
      <c r="U46" s="67"/>
      <c r="V46" s="67"/>
      <c r="W46" s="67"/>
      <c r="X46" s="67"/>
      <c r="Y46" s="67"/>
      <c r="Z46" s="67"/>
    </row>
    <row r="47" spans="1:26" ht="12.5">
      <c r="A47" s="68" t="s">
        <v>17</v>
      </c>
      <c r="B47" s="68" t="s">
        <v>131</v>
      </c>
      <c r="C47" s="68" t="s">
        <v>132</v>
      </c>
      <c r="D47" s="68" t="s">
        <v>32</v>
      </c>
      <c r="E47" s="69">
        <v>2020</v>
      </c>
      <c r="F47" s="69">
        <v>19</v>
      </c>
      <c r="G47" s="69">
        <v>260.39999999999998</v>
      </c>
      <c r="H47" s="69">
        <v>9655</v>
      </c>
      <c r="I47" s="67"/>
      <c r="J47" s="67"/>
      <c r="K47" s="67"/>
      <c r="L47" s="67"/>
      <c r="M47" s="67"/>
      <c r="N47" s="67"/>
      <c r="O47" s="67"/>
      <c r="P47" s="67"/>
      <c r="Q47" s="67"/>
      <c r="R47" s="67"/>
      <c r="S47" s="67"/>
      <c r="T47" s="67"/>
      <c r="U47" s="67"/>
      <c r="V47" s="67"/>
      <c r="W47" s="67"/>
      <c r="X47" s="67"/>
      <c r="Y47" s="67"/>
      <c r="Z47" s="67"/>
    </row>
    <row r="48" spans="1:26" ht="12.5">
      <c r="A48" s="68" t="s">
        <v>17</v>
      </c>
      <c r="B48" s="68" t="s">
        <v>131</v>
      </c>
      <c r="C48" s="68" t="s">
        <v>134</v>
      </c>
      <c r="D48" s="68" t="s">
        <v>32</v>
      </c>
      <c r="E48" s="69">
        <v>2020</v>
      </c>
      <c r="F48" s="69">
        <v>6</v>
      </c>
      <c r="G48" s="69">
        <v>112.2</v>
      </c>
      <c r="H48" s="69">
        <v>9500</v>
      </c>
      <c r="I48" s="67"/>
      <c r="J48" s="67"/>
      <c r="K48" s="67"/>
      <c r="L48" s="67"/>
      <c r="M48" s="67"/>
      <c r="N48" s="67"/>
      <c r="O48" s="67"/>
      <c r="P48" s="67"/>
      <c r="Q48" s="67"/>
      <c r="R48" s="67"/>
      <c r="S48" s="67"/>
      <c r="T48" s="67"/>
      <c r="U48" s="67"/>
      <c r="V48" s="67"/>
      <c r="W48" s="67"/>
      <c r="X48" s="67"/>
      <c r="Y48" s="67"/>
      <c r="Z48" s="67"/>
    </row>
    <row r="49" spans="1:26" ht="12.5">
      <c r="A49" s="68" t="s">
        <v>17</v>
      </c>
      <c r="B49" s="68" t="s">
        <v>131</v>
      </c>
      <c r="C49" s="68" t="s">
        <v>136</v>
      </c>
      <c r="D49" s="68" t="s">
        <v>28</v>
      </c>
      <c r="E49" s="69">
        <v>2020</v>
      </c>
      <c r="F49" s="69">
        <v>25</v>
      </c>
      <c r="G49" s="69">
        <v>463.5</v>
      </c>
      <c r="H49" s="69">
        <v>11662</v>
      </c>
      <c r="I49" s="67"/>
      <c r="J49" s="67"/>
      <c r="K49" s="67"/>
      <c r="L49" s="67"/>
      <c r="M49" s="67"/>
      <c r="N49" s="67"/>
      <c r="O49" s="67"/>
      <c r="P49" s="67"/>
      <c r="Q49" s="67"/>
      <c r="R49" s="67"/>
      <c r="S49" s="67"/>
      <c r="T49" s="67"/>
      <c r="U49" s="67"/>
      <c r="V49" s="67"/>
      <c r="W49" s="67"/>
      <c r="X49" s="67"/>
      <c r="Y49" s="67"/>
      <c r="Z49" s="67"/>
    </row>
    <row r="50" spans="1:26" ht="12.5">
      <c r="A50" s="68" t="s">
        <v>17</v>
      </c>
      <c r="B50" s="68" t="s">
        <v>131</v>
      </c>
      <c r="C50" s="68" t="s">
        <v>138</v>
      </c>
      <c r="D50" s="68" t="s">
        <v>32</v>
      </c>
      <c r="E50" s="69">
        <v>2020</v>
      </c>
      <c r="F50" s="69">
        <v>19</v>
      </c>
      <c r="G50" s="69">
        <v>421.9</v>
      </c>
      <c r="H50" s="69">
        <v>19974</v>
      </c>
      <c r="I50" s="67"/>
      <c r="J50" s="67"/>
      <c r="K50" s="67"/>
      <c r="L50" s="67"/>
      <c r="M50" s="67"/>
      <c r="N50" s="67"/>
      <c r="O50" s="67"/>
      <c r="P50" s="67"/>
      <c r="Q50" s="67"/>
      <c r="R50" s="67"/>
      <c r="S50" s="67"/>
      <c r="T50" s="67"/>
      <c r="U50" s="67"/>
      <c r="V50" s="67"/>
      <c r="W50" s="67"/>
      <c r="X50" s="67"/>
      <c r="Y50" s="67"/>
      <c r="Z50" s="67"/>
    </row>
    <row r="51" spans="1:26" ht="12.5">
      <c r="A51" s="68" t="s">
        <v>17</v>
      </c>
      <c r="B51" s="68" t="s">
        <v>131</v>
      </c>
      <c r="C51" s="68" t="s">
        <v>140</v>
      </c>
      <c r="D51" s="68" t="s">
        <v>32</v>
      </c>
      <c r="E51" s="69">
        <v>2020</v>
      </c>
      <c r="F51" s="69">
        <v>14</v>
      </c>
      <c r="G51" s="69">
        <v>335.9</v>
      </c>
      <c r="H51" s="69">
        <v>13746</v>
      </c>
      <c r="I51" s="67"/>
      <c r="J51" s="67"/>
      <c r="K51" s="67"/>
      <c r="L51" s="67"/>
      <c r="M51" s="67"/>
      <c r="N51" s="67"/>
      <c r="O51" s="67"/>
      <c r="P51" s="67"/>
      <c r="Q51" s="67"/>
      <c r="R51" s="67"/>
      <c r="S51" s="67"/>
      <c r="T51" s="67"/>
      <c r="U51" s="67"/>
      <c r="V51" s="67"/>
      <c r="W51" s="67"/>
      <c r="X51" s="67"/>
      <c r="Y51" s="67"/>
      <c r="Z51" s="67"/>
    </row>
    <row r="52" spans="1:26" ht="12.5">
      <c r="A52" s="68" t="s">
        <v>17</v>
      </c>
      <c r="B52" s="68" t="s">
        <v>131</v>
      </c>
      <c r="C52" s="68" t="s">
        <v>142</v>
      </c>
      <c r="D52" s="68" t="s">
        <v>28</v>
      </c>
      <c r="E52" s="69">
        <v>2020</v>
      </c>
      <c r="F52" s="69">
        <v>15</v>
      </c>
      <c r="G52" s="69">
        <v>259.39999999999998</v>
      </c>
      <c r="H52" s="69">
        <v>5911</v>
      </c>
      <c r="I52" s="67"/>
      <c r="J52" s="67"/>
      <c r="K52" s="67"/>
      <c r="L52" s="67"/>
      <c r="M52" s="67"/>
      <c r="N52" s="67"/>
      <c r="O52" s="67"/>
      <c r="P52" s="67"/>
      <c r="Q52" s="67"/>
      <c r="R52" s="67"/>
      <c r="S52" s="67"/>
      <c r="T52" s="67"/>
      <c r="U52" s="67"/>
      <c r="V52" s="67"/>
      <c r="W52" s="67"/>
      <c r="X52" s="67"/>
      <c r="Y52" s="67"/>
      <c r="Z52" s="67"/>
    </row>
    <row r="53" spans="1:26" ht="12.5">
      <c r="A53" s="68" t="s">
        <v>17</v>
      </c>
      <c r="B53" s="68" t="s">
        <v>131</v>
      </c>
      <c r="C53" s="68" t="s">
        <v>145</v>
      </c>
      <c r="D53" s="68" t="s">
        <v>32</v>
      </c>
      <c r="E53" s="69">
        <v>2020</v>
      </c>
      <c r="F53" s="69">
        <v>28</v>
      </c>
      <c r="G53" s="69">
        <v>666.6</v>
      </c>
      <c r="H53" s="69">
        <v>21930</v>
      </c>
      <c r="I53" s="67"/>
      <c r="J53" s="67"/>
      <c r="K53" s="67"/>
      <c r="L53" s="67"/>
      <c r="M53" s="67"/>
      <c r="N53" s="67"/>
      <c r="O53" s="67"/>
      <c r="P53" s="67"/>
      <c r="Q53" s="67"/>
      <c r="R53" s="67"/>
      <c r="S53" s="67"/>
      <c r="T53" s="67"/>
      <c r="U53" s="67"/>
      <c r="V53" s="67"/>
      <c r="W53" s="67"/>
      <c r="X53" s="67"/>
      <c r="Y53" s="67"/>
      <c r="Z53" s="67"/>
    </row>
    <row r="54" spans="1:26" ht="12.5">
      <c r="A54" s="68" t="s">
        <v>17</v>
      </c>
      <c r="B54" s="68" t="s">
        <v>131</v>
      </c>
      <c r="C54" s="68" t="s">
        <v>147</v>
      </c>
      <c r="D54" s="68" t="s">
        <v>20</v>
      </c>
      <c r="E54" s="69">
        <v>2020</v>
      </c>
      <c r="F54" s="69">
        <v>36</v>
      </c>
      <c r="G54" s="69">
        <v>860.4</v>
      </c>
      <c r="H54" s="69">
        <v>43819</v>
      </c>
      <c r="I54" s="67"/>
      <c r="J54" s="67"/>
      <c r="K54" s="67"/>
      <c r="L54" s="67"/>
      <c r="M54" s="67"/>
      <c r="N54" s="67"/>
      <c r="O54" s="67"/>
      <c r="P54" s="67"/>
      <c r="Q54" s="67"/>
      <c r="R54" s="67"/>
      <c r="S54" s="67"/>
      <c r="T54" s="67"/>
      <c r="U54" s="67"/>
      <c r="V54" s="67"/>
      <c r="W54" s="67"/>
      <c r="X54" s="67"/>
      <c r="Y54" s="67"/>
      <c r="Z54" s="67"/>
    </row>
    <row r="55" spans="1:26" ht="12.5">
      <c r="A55" s="68" t="s">
        <v>17</v>
      </c>
      <c r="B55" s="68" t="s">
        <v>131</v>
      </c>
      <c r="C55" s="68" t="s">
        <v>149</v>
      </c>
      <c r="D55" s="68" t="s">
        <v>32</v>
      </c>
      <c r="E55" s="69">
        <v>2020</v>
      </c>
      <c r="F55" s="69">
        <v>27</v>
      </c>
      <c r="G55" s="69">
        <v>478.9</v>
      </c>
      <c r="H55" s="69">
        <v>16084</v>
      </c>
      <c r="I55" s="67"/>
      <c r="J55" s="67"/>
      <c r="K55" s="67"/>
      <c r="L55" s="67"/>
      <c r="M55" s="67"/>
      <c r="N55" s="67"/>
      <c r="O55" s="67"/>
      <c r="P55" s="67"/>
      <c r="Q55" s="67"/>
      <c r="R55" s="67"/>
      <c r="S55" s="67"/>
      <c r="T55" s="67"/>
      <c r="U55" s="67"/>
      <c r="V55" s="67"/>
      <c r="W55" s="67"/>
      <c r="X55" s="67"/>
      <c r="Y55" s="67"/>
      <c r="Z55" s="67"/>
    </row>
    <row r="56" spans="1:26" ht="12.5">
      <c r="A56" s="68" t="s">
        <v>17</v>
      </c>
      <c r="B56" s="68" t="s">
        <v>151</v>
      </c>
      <c r="C56" s="68" t="s">
        <v>152</v>
      </c>
      <c r="D56" s="68" t="s">
        <v>28</v>
      </c>
      <c r="E56" s="69">
        <v>2020</v>
      </c>
      <c r="F56" s="69">
        <v>14</v>
      </c>
      <c r="G56" s="69">
        <v>311.60000000000002</v>
      </c>
      <c r="H56" s="69">
        <v>13424</v>
      </c>
      <c r="I56" s="67"/>
      <c r="J56" s="67"/>
      <c r="K56" s="67"/>
      <c r="L56" s="67"/>
      <c r="M56" s="67"/>
      <c r="N56" s="67"/>
      <c r="O56" s="67"/>
      <c r="P56" s="67"/>
      <c r="Q56" s="67"/>
      <c r="R56" s="67"/>
      <c r="S56" s="67"/>
      <c r="T56" s="67"/>
      <c r="U56" s="67"/>
      <c r="V56" s="67"/>
      <c r="W56" s="67"/>
      <c r="X56" s="67"/>
      <c r="Y56" s="67"/>
      <c r="Z56" s="67"/>
    </row>
    <row r="57" spans="1:26" ht="12.5">
      <c r="A57" s="68" t="s">
        <v>17</v>
      </c>
      <c r="B57" s="68" t="s">
        <v>151</v>
      </c>
      <c r="C57" s="68" t="s">
        <v>154</v>
      </c>
      <c r="D57" s="68" t="s">
        <v>28</v>
      </c>
      <c r="E57" s="69">
        <v>2020</v>
      </c>
      <c r="F57" s="69">
        <v>15</v>
      </c>
      <c r="G57" s="69">
        <v>167.5</v>
      </c>
      <c r="H57" s="69">
        <v>5490</v>
      </c>
      <c r="I57" s="67"/>
      <c r="J57" s="67"/>
      <c r="K57" s="67"/>
      <c r="L57" s="67"/>
      <c r="M57" s="67"/>
      <c r="N57" s="67"/>
      <c r="O57" s="67"/>
      <c r="P57" s="67"/>
      <c r="Q57" s="67"/>
      <c r="R57" s="67"/>
      <c r="S57" s="67"/>
      <c r="T57" s="67"/>
      <c r="U57" s="67"/>
      <c r="V57" s="67"/>
      <c r="W57" s="67"/>
      <c r="X57" s="67"/>
      <c r="Y57" s="67"/>
      <c r="Z57" s="67"/>
    </row>
    <row r="58" spans="1:26" ht="12.5">
      <c r="A58" s="68" t="s">
        <v>17</v>
      </c>
      <c r="B58" s="68" t="s">
        <v>151</v>
      </c>
      <c r="C58" s="68" t="s">
        <v>156</v>
      </c>
      <c r="D58" s="68" t="s">
        <v>32</v>
      </c>
      <c r="E58" s="69">
        <v>2020</v>
      </c>
      <c r="F58" s="69">
        <v>17</v>
      </c>
      <c r="G58" s="69">
        <v>262.89999999999998</v>
      </c>
      <c r="H58" s="69">
        <v>11215</v>
      </c>
      <c r="I58" s="67"/>
      <c r="J58" s="67"/>
      <c r="K58" s="67"/>
      <c r="L58" s="67"/>
      <c r="M58" s="67"/>
      <c r="N58" s="67"/>
      <c r="O58" s="67"/>
      <c r="P58" s="67"/>
      <c r="Q58" s="67"/>
      <c r="R58" s="67"/>
      <c r="S58" s="67"/>
      <c r="T58" s="67"/>
      <c r="U58" s="67"/>
      <c r="V58" s="67"/>
      <c r="W58" s="67"/>
      <c r="X58" s="67"/>
      <c r="Y58" s="67"/>
      <c r="Z58" s="67"/>
    </row>
    <row r="59" spans="1:26" ht="12.5">
      <c r="A59" s="68" t="s">
        <v>17</v>
      </c>
      <c r="B59" s="68" t="s">
        <v>151</v>
      </c>
      <c r="C59" s="68" t="s">
        <v>158</v>
      </c>
      <c r="D59" s="68" t="s">
        <v>20</v>
      </c>
      <c r="E59" s="69">
        <v>2020</v>
      </c>
      <c r="F59" s="69">
        <v>49</v>
      </c>
      <c r="G59" s="69">
        <v>844.1</v>
      </c>
      <c r="H59" s="69">
        <v>45257</v>
      </c>
      <c r="I59" s="67"/>
      <c r="J59" s="67"/>
      <c r="K59" s="67"/>
      <c r="L59" s="67"/>
      <c r="M59" s="67"/>
      <c r="N59" s="67"/>
      <c r="O59" s="67"/>
      <c r="P59" s="67"/>
      <c r="Q59" s="67"/>
      <c r="R59" s="67"/>
      <c r="S59" s="67"/>
      <c r="T59" s="67"/>
      <c r="U59" s="67"/>
      <c r="V59" s="67"/>
      <c r="W59" s="67"/>
      <c r="X59" s="67"/>
      <c r="Y59" s="67"/>
      <c r="Z59" s="67"/>
    </row>
    <row r="60" spans="1:26" ht="12.5">
      <c r="A60" s="68" t="s">
        <v>17</v>
      </c>
      <c r="B60" s="68" t="s">
        <v>151</v>
      </c>
      <c r="C60" s="68" t="s">
        <v>160</v>
      </c>
      <c r="D60" s="68" t="s">
        <v>20</v>
      </c>
      <c r="E60" s="69">
        <v>2020</v>
      </c>
      <c r="F60" s="69">
        <v>16</v>
      </c>
      <c r="G60" s="69">
        <v>234.5</v>
      </c>
      <c r="H60" s="69">
        <v>32922</v>
      </c>
      <c r="I60" s="67"/>
      <c r="J60" s="67"/>
      <c r="K60" s="67"/>
      <c r="L60" s="67"/>
      <c r="M60" s="67"/>
      <c r="N60" s="67"/>
      <c r="O60" s="67"/>
      <c r="P60" s="67"/>
      <c r="Q60" s="67"/>
      <c r="R60" s="67"/>
      <c r="S60" s="67"/>
      <c r="T60" s="67"/>
      <c r="U60" s="67"/>
      <c r="V60" s="67"/>
      <c r="W60" s="67"/>
      <c r="X60" s="67"/>
      <c r="Y60" s="67"/>
      <c r="Z60" s="67"/>
    </row>
    <row r="61" spans="1:26" ht="12.5">
      <c r="A61" s="68" t="s">
        <v>17</v>
      </c>
      <c r="B61" s="68" t="s">
        <v>151</v>
      </c>
      <c r="C61" s="68" t="s">
        <v>162</v>
      </c>
      <c r="D61" s="68" t="s">
        <v>28</v>
      </c>
      <c r="E61" s="69">
        <v>2020</v>
      </c>
      <c r="F61" s="69">
        <v>20</v>
      </c>
      <c r="G61" s="69">
        <v>311.39999999999998</v>
      </c>
      <c r="H61" s="69">
        <v>7929</v>
      </c>
      <c r="I61" s="67"/>
      <c r="J61" s="67"/>
      <c r="K61" s="67"/>
      <c r="L61" s="67"/>
      <c r="M61" s="67"/>
      <c r="N61" s="67"/>
      <c r="O61" s="67"/>
      <c r="P61" s="67"/>
      <c r="Q61" s="67"/>
      <c r="R61" s="67"/>
      <c r="S61" s="67"/>
      <c r="T61" s="67"/>
      <c r="U61" s="67"/>
      <c r="V61" s="67"/>
      <c r="W61" s="67"/>
      <c r="X61" s="67"/>
      <c r="Y61" s="67"/>
      <c r="Z61" s="67"/>
    </row>
    <row r="62" spans="1:26" ht="12.5">
      <c r="A62" s="68" t="s">
        <v>17</v>
      </c>
      <c r="B62" s="68" t="s">
        <v>151</v>
      </c>
      <c r="C62" s="68" t="s">
        <v>165</v>
      </c>
      <c r="D62" s="68" t="s">
        <v>28</v>
      </c>
      <c r="E62" s="69">
        <v>2020</v>
      </c>
      <c r="F62" s="69">
        <v>20</v>
      </c>
      <c r="G62" s="69">
        <v>323.10000000000002</v>
      </c>
      <c r="H62" s="69">
        <v>8433</v>
      </c>
      <c r="I62" s="67"/>
      <c r="J62" s="67"/>
      <c r="K62" s="67"/>
      <c r="L62" s="67"/>
      <c r="M62" s="67"/>
      <c r="N62" s="67"/>
      <c r="O62" s="67"/>
      <c r="P62" s="67"/>
      <c r="Q62" s="67"/>
      <c r="R62" s="67"/>
      <c r="S62" s="67"/>
      <c r="T62" s="67"/>
      <c r="U62" s="67"/>
      <c r="V62" s="67"/>
      <c r="W62" s="67"/>
      <c r="X62" s="67"/>
      <c r="Y62" s="67"/>
      <c r="Z62" s="67"/>
    </row>
    <row r="63" spans="1:26" ht="12.5">
      <c r="A63" s="68" t="s">
        <v>17</v>
      </c>
      <c r="B63" s="68" t="s">
        <v>151</v>
      </c>
      <c r="C63" s="68" t="s">
        <v>167</v>
      </c>
      <c r="D63" s="68" t="s">
        <v>28</v>
      </c>
      <c r="E63" s="69">
        <v>2020</v>
      </c>
      <c r="F63" s="69">
        <v>36</v>
      </c>
      <c r="G63" s="69">
        <v>611.1</v>
      </c>
      <c r="H63" s="69">
        <v>15634</v>
      </c>
      <c r="I63" s="67"/>
      <c r="J63" s="67"/>
      <c r="K63" s="67"/>
      <c r="L63" s="67"/>
      <c r="M63" s="67"/>
      <c r="N63" s="67"/>
      <c r="O63" s="67"/>
      <c r="P63" s="67"/>
      <c r="Q63" s="67"/>
      <c r="R63" s="67"/>
      <c r="S63" s="67"/>
      <c r="T63" s="67"/>
      <c r="U63" s="67"/>
      <c r="V63" s="67"/>
      <c r="W63" s="67"/>
      <c r="X63" s="67"/>
      <c r="Y63" s="67"/>
      <c r="Z63" s="67"/>
    </row>
    <row r="64" spans="1:26" ht="12.5">
      <c r="A64" s="68" t="s">
        <v>17</v>
      </c>
      <c r="B64" s="68" t="s">
        <v>151</v>
      </c>
      <c r="C64" s="68" t="s">
        <v>169</v>
      </c>
      <c r="D64" s="68" t="s">
        <v>20</v>
      </c>
      <c r="E64" s="69">
        <v>2020</v>
      </c>
      <c r="F64" s="69">
        <v>42</v>
      </c>
      <c r="G64" s="69">
        <v>635.79999999999995</v>
      </c>
      <c r="H64" s="69">
        <v>43609</v>
      </c>
      <c r="I64" s="67"/>
      <c r="J64" s="67"/>
      <c r="K64" s="67"/>
      <c r="L64" s="67"/>
      <c r="M64" s="67"/>
      <c r="N64" s="67"/>
      <c r="O64" s="67"/>
      <c r="P64" s="67"/>
      <c r="Q64" s="67"/>
      <c r="R64" s="67"/>
      <c r="S64" s="67"/>
      <c r="T64" s="67"/>
      <c r="U64" s="67"/>
      <c r="V64" s="67"/>
      <c r="W64" s="67"/>
      <c r="X64" s="67"/>
      <c r="Y64" s="67"/>
      <c r="Z64" s="67"/>
    </row>
    <row r="65" spans="1:26" ht="12.5">
      <c r="A65" s="68" t="s">
        <v>171</v>
      </c>
      <c r="B65" s="68" t="s">
        <v>172</v>
      </c>
      <c r="C65" s="68" t="s">
        <v>173</v>
      </c>
      <c r="D65" s="68" t="s">
        <v>32</v>
      </c>
      <c r="E65" s="69">
        <v>2020</v>
      </c>
      <c r="F65" s="69">
        <v>9</v>
      </c>
      <c r="G65" s="69">
        <v>99.2</v>
      </c>
      <c r="H65" s="69">
        <v>9415</v>
      </c>
      <c r="I65" s="67"/>
      <c r="J65" s="67"/>
      <c r="K65" s="67"/>
      <c r="L65" s="67"/>
      <c r="M65" s="67"/>
      <c r="N65" s="67"/>
      <c r="O65" s="67"/>
      <c r="P65" s="67"/>
      <c r="Q65" s="67"/>
      <c r="R65" s="67"/>
      <c r="S65" s="67"/>
      <c r="T65" s="67"/>
      <c r="U65" s="67"/>
      <c r="V65" s="67"/>
      <c r="W65" s="67"/>
      <c r="X65" s="67"/>
      <c r="Y65" s="67"/>
      <c r="Z65" s="67"/>
    </row>
    <row r="66" spans="1:26" ht="12.5">
      <c r="A66" s="68" t="s">
        <v>171</v>
      </c>
      <c r="B66" s="68" t="s">
        <v>172</v>
      </c>
      <c r="C66" s="68" t="s">
        <v>175</v>
      </c>
      <c r="D66" s="68" t="s">
        <v>20</v>
      </c>
      <c r="E66" s="69">
        <v>2020</v>
      </c>
      <c r="F66" s="69">
        <v>9</v>
      </c>
      <c r="G66" s="69">
        <v>104.2</v>
      </c>
      <c r="H66" s="69">
        <v>42227</v>
      </c>
      <c r="I66" s="67"/>
      <c r="J66" s="67"/>
      <c r="K66" s="67"/>
      <c r="L66" s="67"/>
      <c r="M66" s="67"/>
      <c r="N66" s="67"/>
      <c r="O66" s="67"/>
      <c r="P66" s="67"/>
      <c r="Q66" s="67"/>
      <c r="R66" s="67"/>
      <c r="S66" s="67"/>
      <c r="T66" s="67"/>
      <c r="U66" s="67"/>
      <c r="V66" s="67"/>
      <c r="W66" s="67"/>
      <c r="X66" s="67"/>
      <c r="Y66" s="67"/>
      <c r="Z66" s="67"/>
    </row>
    <row r="67" spans="1:26" ht="12.5">
      <c r="A67" s="68" t="s">
        <v>171</v>
      </c>
      <c r="B67" s="68" t="s">
        <v>172</v>
      </c>
      <c r="C67" s="68" t="s">
        <v>177</v>
      </c>
      <c r="D67" s="68" t="s">
        <v>28</v>
      </c>
      <c r="E67" s="69">
        <v>2020</v>
      </c>
      <c r="F67" s="69">
        <v>26</v>
      </c>
      <c r="G67" s="69">
        <v>366.3</v>
      </c>
      <c r="H67" s="69">
        <v>8121</v>
      </c>
      <c r="I67" s="67"/>
      <c r="J67" s="67"/>
      <c r="K67" s="67"/>
      <c r="L67" s="67"/>
      <c r="M67" s="67"/>
      <c r="N67" s="67"/>
      <c r="O67" s="67"/>
      <c r="P67" s="67"/>
      <c r="Q67" s="67"/>
      <c r="R67" s="67"/>
      <c r="S67" s="67"/>
      <c r="T67" s="67"/>
      <c r="U67" s="67"/>
      <c r="V67" s="67"/>
      <c r="W67" s="67"/>
      <c r="X67" s="67"/>
      <c r="Y67" s="67"/>
      <c r="Z67" s="67"/>
    </row>
    <row r="68" spans="1:26" ht="12.5">
      <c r="A68" s="68" t="s">
        <v>171</v>
      </c>
      <c r="B68" s="68" t="s">
        <v>172</v>
      </c>
      <c r="C68" s="68" t="s">
        <v>180</v>
      </c>
      <c r="D68" s="68" t="s">
        <v>28</v>
      </c>
      <c r="E68" s="69">
        <v>2020</v>
      </c>
      <c r="F68" s="69">
        <v>30</v>
      </c>
      <c r="G68" s="69">
        <v>309.10000000000002</v>
      </c>
      <c r="H68" s="69">
        <v>8590</v>
      </c>
      <c r="I68" s="67"/>
      <c r="J68" s="67"/>
      <c r="K68" s="67"/>
      <c r="L68" s="67"/>
      <c r="M68" s="67"/>
      <c r="N68" s="67"/>
      <c r="O68" s="67"/>
      <c r="P68" s="67"/>
      <c r="Q68" s="67"/>
      <c r="R68" s="67"/>
      <c r="S68" s="67"/>
      <c r="T68" s="67"/>
      <c r="U68" s="67"/>
      <c r="V68" s="67"/>
      <c r="W68" s="67"/>
      <c r="X68" s="67"/>
      <c r="Y68" s="67"/>
      <c r="Z68" s="67"/>
    </row>
    <row r="69" spans="1:26" ht="12.5">
      <c r="A69" s="68" t="s">
        <v>171</v>
      </c>
      <c r="B69" s="68" t="s">
        <v>172</v>
      </c>
      <c r="C69" s="68" t="s">
        <v>182</v>
      </c>
      <c r="D69" s="68" t="s">
        <v>28</v>
      </c>
      <c r="E69" s="69">
        <v>2020</v>
      </c>
      <c r="F69" s="69">
        <v>6</v>
      </c>
      <c r="G69" s="69">
        <v>124</v>
      </c>
      <c r="H69" s="69">
        <v>4094</v>
      </c>
      <c r="I69" s="67"/>
      <c r="J69" s="67"/>
      <c r="K69" s="67"/>
      <c r="L69" s="67"/>
      <c r="M69" s="67"/>
      <c r="N69" s="67"/>
      <c r="O69" s="67"/>
      <c r="P69" s="67"/>
      <c r="Q69" s="67"/>
      <c r="R69" s="67"/>
      <c r="S69" s="67"/>
      <c r="T69" s="67"/>
      <c r="U69" s="67"/>
      <c r="V69" s="67"/>
      <c r="W69" s="67"/>
      <c r="X69" s="67"/>
      <c r="Y69" s="67"/>
      <c r="Z69" s="67"/>
    </row>
    <row r="70" spans="1:26" ht="12.5">
      <c r="A70" s="68" t="s">
        <v>171</v>
      </c>
      <c r="B70" s="68" t="s">
        <v>172</v>
      </c>
      <c r="C70" s="68" t="s">
        <v>184</v>
      </c>
      <c r="D70" s="68" t="s">
        <v>32</v>
      </c>
      <c r="E70" s="69">
        <v>2020</v>
      </c>
      <c r="F70" s="69">
        <v>28</v>
      </c>
      <c r="G70" s="69">
        <v>344.4</v>
      </c>
      <c r="H70" s="69">
        <v>13256</v>
      </c>
      <c r="I70" s="67"/>
      <c r="J70" s="67"/>
      <c r="K70" s="67"/>
      <c r="L70" s="67"/>
      <c r="M70" s="67"/>
      <c r="N70" s="67"/>
      <c r="O70" s="67"/>
      <c r="P70" s="67"/>
      <c r="Q70" s="67"/>
      <c r="R70" s="67"/>
      <c r="S70" s="67"/>
      <c r="T70" s="67"/>
      <c r="U70" s="67"/>
      <c r="V70" s="67"/>
      <c r="W70" s="67"/>
      <c r="X70" s="67"/>
      <c r="Y70" s="67"/>
      <c r="Z70" s="67"/>
    </row>
    <row r="71" spans="1:26" ht="12.5">
      <c r="A71" s="68" t="s">
        <v>171</v>
      </c>
      <c r="B71" s="68" t="s">
        <v>172</v>
      </c>
      <c r="C71" s="68" t="s">
        <v>186</v>
      </c>
      <c r="D71" s="68" t="s">
        <v>20</v>
      </c>
      <c r="E71" s="69">
        <v>2020</v>
      </c>
      <c r="F71" s="69">
        <v>8</v>
      </c>
      <c r="G71" s="69">
        <v>75.2</v>
      </c>
      <c r="H71" s="69">
        <v>58182</v>
      </c>
      <c r="I71" s="67"/>
      <c r="J71" s="67"/>
      <c r="K71" s="67"/>
      <c r="L71" s="67"/>
      <c r="M71" s="67"/>
      <c r="N71" s="67"/>
      <c r="O71" s="67"/>
      <c r="P71" s="67"/>
      <c r="Q71" s="67"/>
      <c r="R71" s="67"/>
      <c r="S71" s="67"/>
      <c r="T71" s="67"/>
      <c r="U71" s="67"/>
      <c r="V71" s="67"/>
      <c r="W71" s="67"/>
      <c r="X71" s="67"/>
      <c r="Y71" s="67"/>
      <c r="Z71" s="67"/>
    </row>
    <row r="72" spans="1:26" ht="12.5">
      <c r="A72" s="68" t="s">
        <v>171</v>
      </c>
      <c r="B72" s="68" t="s">
        <v>172</v>
      </c>
      <c r="C72" s="68" t="s">
        <v>188</v>
      </c>
      <c r="D72" s="68" t="s">
        <v>28</v>
      </c>
      <c r="E72" s="69">
        <v>2020</v>
      </c>
      <c r="F72" s="69">
        <v>21</v>
      </c>
      <c r="G72" s="69">
        <v>355.1</v>
      </c>
      <c r="H72" s="69">
        <v>5726</v>
      </c>
      <c r="I72" s="67"/>
      <c r="J72" s="67"/>
      <c r="K72" s="67"/>
      <c r="L72" s="67"/>
      <c r="M72" s="67"/>
      <c r="N72" s="67"/>
      <c r="O72" s="67"/>
      <c r="P72" s="67"/>
      <c r="Q72" s="67"/>
      <c r="R72" s="67"/>
      <c r="S72" s="67"/>
      <c r="T72" s="67"/>
      <c r="U72" s="67"/>
      <c r="V72" s="67"/>
      <c r="W72" s="67"/>
      <c r="X72" s="67"/>
      <c r="Y72" s="67"/>
      <c r="Z72" s="67"/>
    </row>
    <row r="73" spans="1:26" ht="12.5">
      <c r="A73" s="68" t="s">
        <v>171</v>
      </c>
      <c r="B73" s="68" t="s">
        <v>172</v>
      </c>
      <c r="C73" s="68" t="s">
        <v>190</v>
      </c>
      <c r="D73" s="68" t="s">
        <v>28</v>
      </c>
      <c r="E73" s="69">
        <v>2020</v>
      </c>
      <c r="F73" s="69">
        <v>20</v>
      </c>
      <c r="G73" s="69">
        <v>254.8</v>
      </c>
      <c r="H73" s="69">
        <v>8734</v>
      </c>
      <c r="I73" s="67"/>
      <c r="J73" s="67"/>
      <c r="K73" s="67"/>
      <c r="L73" s="67"/>
      <c r="M73" s="67"/>
      <c r="N73" s="67"/>
      <c r="O73" s="67"/>
      <c r="P73" s="67"/>
      <c r="Q73" s="67"/>
      <c r="R73" s="67"/>
      <c r="S73" s="67"/>
      <c r="T73" s="67"/>
      <c r="U73" s="67"/>
      <c r="V73" s="67"/>
      <c r="W73" s="67"/>
      <c r="X73" s="67"/>
      <c r="Y73" s="67"/>
      <c r="Z73" s="67"/>
    </row>
    <row r="74" spans="1:26" ht="12.5">
      <c r="A74" s="68" t="s">
        <v>171</v>
      </c>
      <c r="B74" s="68" t="s">
        <v>172</v>
      </c>
      <c r="C74" s="68" t="s">
        <v>192</v>
      </c>
      <c r="D74" s="68" t="s">
        <v>28</v>
      </c>
      <c r="E74" s="69">
        <v>2020</v>
      </c>
      <c r="F74" s="69">
        <v>18</v>
      </c>
      <c r="G74" s="69">
        <v>108.6</v>
      </c>
      <c r="H74" s="69">
        <v>5676</v>
      </c>
      <c r="I74" s="67"/>
      <c r="J74" s="67"/>
      <c r="K74" s="67"/>
      <c r="L74" s="67"/>
      <c r="M74" s="67"/>
      <c r="N74" s="67"/>
      <c r="O74" s="67"/>
      <c r="P74" s="67"/>
      <c r="Q74" s="67"/>
      <c r="R74" s="67"/>
      <c r="S74" s="67"/>
      <c r="T74" s="67"/>
      <c r="U74" s="67"/>
      <c r="V74" s="67"/>
      <c r="W74" s="67"/>
      <c r="X74" s="67"/>
      <c r="Y74" s="67"/>
      <c r="Z74" s="67"/>
    </row>
    <row r="75" spans="1:26" ht="12.5">
      <c r="A75" s="68" t="s">
        <v>171</v>
      </c>
      <c r="B75" s="68" t="s">
        <v>172</v>
      </c>
      <c r="C75" s="68" t="s">
        <v>194</v>
      </c>
      <c r="D75" s="68" t="s">
        <v>20</v>
      </c>
      <c r="E75" s="69">
        <v>2020</v>
      </c>
      <c r="F75" s="69">
        <v>26</v>
      </c>
      <c r="G75" s="69">
        <v>415.6</v>
      </c>
      <c r="H75" s="69">
        <v>7243</v>
      </c>
      <c r="I75" s="67"/>
      <c r="J75" s="67"/>
      <c r="K75" s="67"/>
      <c r="L75" s="67"/>
      <c r="M75" s="67"/>
      <c r="N75" s="67"/>
      <c r="O75" s="67"/>
      <c r="P75" s="67"/>
      <c r="Q75" s="67"/>
      <c r="R75" s="67"/>
      <c r="S75" s="67"/>
      <c r="T75" s="67"/>
      <c r="U75" s="67"/>
      <c r="V75" s="67"/>
      <c r="W75" s="67"/>
      <c r="X75" s="67"/>
      <c r="Y75" s="67"/>
      <c r="Z75" s="67"/>
    </row>
    <row r="76" spans="1:26" ht="12.5">
      <c r="A76" s="68" t="s">
        <v>171</v>
      </c>
      <c r="B76" s="68" t="s">
        <v>196</v>
      </c>
      <c r="C76" s="68" t="s">
        <v>197</v>
      </c>
      <c r="D76" s="68" t="s">
        <v>20</v>
      </c>
      <c r="E76" s="69">
        <v>2020</v>
      </c>
      <c r="F76" s="69">
        <v>55</v>
      </c>
      <c r="G76" s="69">
        <v>1421.9</v>
      </c>
      <c r="H76" s="69">
        <v>55874</v>
      </c>
      <c r="I76" s="67"/>
      <c r="J76" s="67"/>
      <c r="K76" s="67"/>
      <c r="L76" s="67"/>
      <c r="M76" s="67"/>
      <c r="N76" s="67"/>
      <c r="O76" s="67"/>
      <c r="P76" s="67"/>
      <c r="Q76" s="67"/>
      <c r="R76" s="67"/>
      <c r="S76" s="67"/>
      <c r="T76" s="67"/>
      <c r="U76" s="67"/>
      <c r="V76" s="67"/>
      <c r="W76" s="67"/>
      <c r="X76" s="67"/>
      <c r="Y76" s="67"/>
      <c r="Z76" s="67"/>
    </row>
    <row r="77" spans="1:26" ht="12.5">
      <c r="A77" s="68" t="s">
        <v>171</v>
      </c>
      <c r="B77" s="68" t="s">
        <v>196</v>
      </c>
      <c r="C77" s="68" t="s">
        <v>199</v>
      </c>
      <c r="D77" s="68" t="s">
        <v>32</v>
      </c>
      <c r="E77" s="69">
        <v>2020</v>
      </c>
      <c r="F77" s="69">
        <v>41</v>
      </c>
      <c r="G77" s="69">
        <v>1239.0999999999999</v>
      </c>
      <c r="H77" s="69">
        <v>29976</v>
      </c>
      <c r="I77" s="67"/>
      <c r="J77" s="67"/>
      <c r="K77" s="67"/>
      <c r="L77" s="67"/>
      <c r="M77" s="67"/>
      <c r="N77" s="67"/>
      <c r="O77" s="67"/>
      <c r="P77" s="67"/>
      <c r="Q77" s="67"/>
      <c r="R77" s="67"/>
      <c r="S77" s="67"/>
      <c r="T77" s="67"/>
      <c r="U77" s="67"/>
      <c r="V77" s="67"/>
      <c r="W77" s="67"/>
      <c r="X77" s="67"/>
      <c r="Y77" s="67"/>
      <c r="Z77" s="67"/>
    </row>
    <row r="78" spans="1:26" ht="12.5">
      <c r="A78" s="68" t="s">
        <v>171</v>
      </c>
      <c r="B78" s="68" t="s">
        <v>196</v>
      </c>
      <c r="C78" s="68" t="s">
        <v>201</v>
      </c>
      <c r="D78" s="68" t="s">
        <v>32</v>
      </c>
      <c r="E78" s="69">
        <v>2020</v>
      </c>
      <c r="F78" s="69">
        <v>36</v>
      </c>
      <c r="G78" s="69">
        <v>1097.2</v>
      </c>
      <c r="H78" s="69">
        <v>26729</v>
      </c>
      <c r="I78" s="67"/>
      <c r="J78" s="67"/>
      <c r="K78" s="67"/>
      <c r="L78" s="67"/>
      <c r="M78" s="67"/>
      <c r="N78" s="67"/>
      <c r="O78" s="67"/>
      <c r="P78" s="67"/>
      <c r="Q78" s="67"/>
      <c r="R78" s="67"/>
      <c r="S78" s="67"/>
      <c r="T78" s="67"/>
      <c r="U78" s="67"/>
      <c r="V78" s="67"/>
      <c r="W78" s="67"/>
      <c r="X78" s="67"/>
      <c r="Y78" s="67"/>
      <c r="Z78" s="67"/>
    </row>
    <row r="79" spans="1:26" ht="12.5">
      <c r="A79" s="68" t="s">
        <v>171</v>
      </c>
      <c r="B79" s="68" t="s">
        <v>196</v>
      </c>
      <c r="C79" s="68" t="s">
        <v>203</v>
      </c>
      <c r="D79" s="68" t="s">
        <v>28</v>
      </c>
      <c r="E79" s="69">
        <v>2020</v>
      </c>
      <c r="F79" s="69">
        <v>11</v>
      </c>
      <c r="G79" s="69">
        <v>526.70000000000005</v>
      </c>
      <c r="H79" s="69">
        <v>8896</v>
      </c>
      <c r="I79" s="67"/>
      <c r="J79" s="67"/>
      <c r="K79" s="67"/>
      <c r="L79" s="67"/>
      <c r="M79" s="67"/>
      <c r="N79" s="67"/>
      <c r="O79" s="67"/>
      <c r="P79" s="67"/>
      <c r="Q79" s="67"/>
      <c r="R79" s="67"/>
      <c r="S79" s="67"/>
      <c r="T79" s="67"/>
      <c r="U79" s="67"/>
      <c r="V79" s="67"/>
      <c r="W79" s="67"/>
      <c r="X79" s="67"/>
      <c r="Y79" s="67"/>
      <c r="Z79" s="67"/>
    </row>
    <row r="80" spans="1:26" ht="12.5">
      <c r="A80" s="68" t="s">
        <v>171</v>
      </c>
      <c r="B80" s="68" t="s">
        <v>196</v>
      </c>
      <c r="C80" s="68" t="s">
        <v>205</v>
      </c>
      <c r="D80" s="68" t="s">
        <v>28</v>
      </c>
      <c r="E80" s="69">
        <v>2020</v>
      </c>
      <c r="F80" s="69">
        <v>12</v>
      </c>
      <c r="G80" s="69">
        <v>394.8</v>
      </c>
      <c r="H80" s="69">
        <v>9648</v>
      </c>
      <c r="I80" s="67"/>
      <c r="J80" s="67"/>
      <c r="K80" s="67"/>
      <c r="L80" s="67"/>
      <c r="M80" s="67"/>
      <c r="N80" s="67"/>
      <c r="O80" s="67"/>
      <c r="P80" s="67"/>
      <c r="Q80" s="67"/>
      <c r="R80" s="67"/>
      <c r="S80" s="67"/>
      <c r="T80" s="67"/>
      <c r="U80" s="67"/>
      <c r="V80" s="67"/>
      <c r="W80" s="67"/>
      <c r="X80" s="67"/>
      <c r="Y80" s="67"/>
      <c r="Z80" s="67"/>
    </row>
    <row r="81" spans="1:26" ht="12.5">
      <c r="A81" s="68" t="s">
        <v>171</v>
      </c>
      <c r="B81" s="68" t="s">
        <v>207</v>
      </c>
      <c r="C81" s="68" t="s">
        <v>208</v>
      </c>
      <c r="D81" s="68" t="s">
        <v>28</v>
      </c>
      <c r="E81" s="69">
        <v>2020</v>
      </c>
      <c r="F81" s="69">
        <v>4</v>
      </c>
      <c r="G81" s="69">
        <v>110.9</v>
      </c>
      <c r="H81" s="69">
        <v>3752</v>
      </c>
      <c r="I81" s="67"/>
      <c r="J81" s="67"/>
      <c r="K81" s="67"/>
      <c r="L81" s="67"/>
      <c r="M81" s="67"/>
      <c r="N81" s="67"/>
      <c r="O81" s="67"/>
      <c r="P81" s="67"/>
      <c r="Q81" s="67"/>
      <c r="R81" s="67"/>
      <c r="S81" s="67"/>
      <c r="T81" s="67"/>
      <c r="U81" s="67"/>
      <c r="V81" s="67"/>
      <c r="W81" s="67"/>
      <c r="X81" s="67"/>
      <c r="Y81" s="67"/>
      <c r="Z81" s="67"/>
    </row>
    <row r="82" spans="1:26" ht="12.5">
      <c r="A82" s="68" t="s">
        <v>171</v>
      </c>
      <c r="B82" s="68" t="s">
        <v>207</v>
      </c>
      <c r="C82" s="68" t="s">
        <v>210</v>
      </c>
      <c r="D82" s="68" t="s">
        <v>28</v>
      </c>
      <c r="E82" s="69">
        <v>2020</v>
      </c>
      <c r="F82" s="69">
        <v>12</v>
      </c>
      <c r="G82" s="69">
        <v>211.5</v>
      </c>
      <c r="H82" s="69">
        <v>4010</v>
      </c>
      <c r="I82" s="67"/>
      <c r="J82" s="67"/>
      <c r="K82" s="67"/>
      <c r="L82" s="67"/>
      <c r="M82" s="67"/>
      <c r="N82" s="67"/>
      <c r="O82" s="67"/>
      <c r="P82" s="67"/>
      <c r="Q82" s="67"/>
      <c r="R82" s="67"/>
      <c r="S82" s="67"/>
      <c r="T82" s="67"/>
      <c r="U82" s="67"/>
      <c r="V82" s="67"/>
      <c r="W82" s="67"/>
      <c r="X82" s="67"/>
      <c r="Y82" s="67"/>
      <c r="Z82" s="67"/>
    </row>
    <row r="83" spans="1:26" ht="12.5">
      <c r="A83" s="68" t="s">
        <v>171</v>
      </c>
      <c r="B83" s="68" t="s">
        <v>207</v>
      </c>
      <c r="C83" s="68" t="s">
        <v>212</v>
      </c>
      <c r="D83" s="68" t="s">
        <v>28</v>
      </c>
      <c r="E83" s="69">
        <v>2020</v>
      </c>
      <c r="F83" s="69">
        <v>21</v>
      </c>
      <c r="G83" s="69">
        <v>498.3</v>
      </c>
      <c r="H83" s="69">
        <v>7899</v>
      </c>
      <c r="I83" s="67"/>
      <c r="J83" s="67"/>
      <c r="K83" s="67"/>
      <c r="L83" s="67"/>
      <c r="M83" s="67"/>
      <c r="N83" s="67"/>
      <c r="O83" s="67"/>
      <c r="P83" s="67"/>
      <c r="Q83" s="67"/>
      <c r="R83" s="67"/>
      <c r="S83" s="67"/>
      <c r="T83" s="67"/>
      <c r="U83" s="67"/>
      <c r="V83" s="67"/>
      <c r="W83" s="67"/>
      <c r="X83" s="67"/>
      <c r="Y83" s="67"/>
      <c r="Z83" s="67"/>
    </row>
    <row r="84" spans="1:26" ht="12.5">
      <c r="A84" s="68" t="s">
        <v>171</v>
      </c>
      <c r="B84" s="68" t="s">
        <v>207</v>
      </c>
      <c r="C84" s="68" t="s">
        <v>214</v>
      </c>
      <c r="D84" s="68" t="s">
        <v>32</v>
      </c>
      <c r="E84" s="69">
        <v>2020</v>
      </c>
      <c r="F84" s="69">
        <v>23</v>
      </c>
      <c r="G84" s="69">
        <v>300.8</v>
      </c>
      <c r="H84" s="69">
        <v>8555</v>
      </c>
      <c r="I84" s="67"/>
      <c r="J84" s="67"/>
      <c r="K84" s="67"/>
      <c r="L84" s="67"/>
      <c r="M84" s="67"/>
      <c r="N84" s="67"/>
      <c r="O84" s="67"/>
      <c r="P84" s="67"/>
      <c r="Q84" s="67"/>
      <c r="R84" s="67"/>
      <c r="S84" s="67"/>
      <c r="T84" s="67"/>
      <c r="U84" s="67"/>
      <c r="V84" s="67"/>
      <c r="W84" s="67"/>
      <c r="X84" s="67"/>
      <c r="Y84" s="67"/>
      <c r="Z84" s="67"/>
    </row>
    <row r="85" spans="1:26" ht="12.5">
      <c r="A85" s="68" t="s">
        <v>171</v>
      </c>
      <c r="B85" s="68" t="s">
        <v>207</v>
      </c>
      <c r="C85" s="68" t="s">
        <v>216</v>
      </c>
      <c r="D85" s="68" t="s">
        <v>32</v>
      </c>
      <c r="E85" s="69">
        <v>2020</v>
      </c>
      <c r="F85" s="69">
        <v>14</v>
      </c>
      <c r="G85" s="69">
        <v>317.2</v>
      </c>
      <c r="H85" s="69">
        <v>8308</v>
      </c>
      <c r="I85" s="67"/>
      <c r="J85" s="67"/>
      <c r="K85" s="67"/>
      <c r="L85" s="67"/>
      <c r="M85" s="67"/>
      <c r="N85" s="67"/>
      <c r="O85" s="67"/>
      <c r="P85" s="67"/>
      <c r="Q85" s="67"/>
      <c r="R85" s="67"/>
      <c r="S85" s="67"/>
      <c r="T85" s="67"/>
      <c r="U85" s="67"/>
      <c r="V85" s="67"/>
      <c r="W85" s="67"/>
      <c r="X85" s="67"/>
      <c r="Y85" s="67"/>
      <c r="Z85" s="67"/>
    </row>
    <row r="86" spans="1:26" ht="12.5">
      <c r="A86" s="68" t="s">
        <v>171</v>
      </c>
      <c r="B86" s="68" t="s">
        <v>207</v>
      </c>
      <c r="C86" s="68" t="s">
        <v>218</v>
      </c>
      <c r="D86" s="68" t="s">
        <v>28</v>
      </c>
      <c r="E86" s="69">
        <v>2020</v>
      </c>
      <c r="F86" s="69">
        <v>10</v>
      </c>
      <c r="G86" s="69">
        <v>310.7</v>
      </c>
      <c r="H86" s="69">
        <v>9269</v>
      </c>
      <c r="I86" s="67"/>
      <c r="J86" s="67"/>
      <c r="K86" s="67"/>
      <c r="L86" s="67"/>
      <c r="M86" s="67"/>
      <c r="N86" s="67"/>
      <c r="O86" s="67"/>
      <c r="P86" s="67"/>
      <c r="Q86" s="67"/>
      <c r="R86" s="67"/>
      <c r="S86" s="67"/>
      <c r="T86" s="67"/>
      <c r="U86" s="67"/>
      <c r="V86" s="67"/>
      <c r="W86" s="67"/>
      <c r="X86" s="67"/>
      <c r="Y86" s="67"/>
      <c r="Z86" s="67"/>
    </row>
    <row r="87" spans="1:26" ht="12.5">
      <c r="A87" s="68" t="s">
        <v>171</v>
      </c>
      <c r="B87" s="68" t="s">
        <v>207</v>
      </c>
      <c r="C87" s="68" t="s">
        <v>220</v>
      </c>
      <c r="D87" s="68" t="s">
        <v>28</v>
      </c>
      <c r="E87" s="69">
        <v>2020</v>
      </c>
      <c r="F87" s="69">
        <v>10</v>
      </c>
      <c r="G87" s="69">
        <v>204.7</v>
      </c>
      <c r="H87" s="69">
        <v>5120</v>
      </c>
      <c r="I87" s="67"/>
      <c r="J87" s="67"/>
      <c r="K87" s="67"/>
      <c r="L87" s="67"/>
      <c r="M87" s="67"/>
      <c r="N87" s="67"/>
      <c r="O87" s="67"/>
      <c r="P87" s="67"/>
      <c r="Q87" s="67"/>
      <c r="R87" s="67"/>
      <c r="S87" s="67"/>
      <c r="T87" s="67"/>
      <c r="U87" s="67"/>
      <c r="V87" s="67"/>
      <c r="W87" s="67"/>
      <c r="X87" s="67"/>
      <c r="Y87" s="67"/>
      <c r="Z87" s="67"/>
    </row>
    <row r="88" spans="1:26" ht="12.5">
      <c r="A88" s="68" t="s">
        <v>171</v>
      </c>
      <c r="B88" s="68" t="s">
        <v>207</v>
      </c>
      <c r="C88" s="68" t="s">
        <v>222</v>
      </c>
      <c r="D88" s="68" t="s">
        <v>32</v>
      </c>
      <c r="E88" s="69">
        <v>2020</v>
      </c>
      <c r="F88" s="69">
        <v>4</v>
      </c>
      <c r="G88" s="69">
        <v>253.3</v>
      </c>
      <c r="H88" s="69">
        <v>9485</v>
      </c>
      <c r="I88" s="67"/>
      <c r="J88" s="67"/>
      <c r="K88" s="67"/>
      <c r="L88" s="67"/>
      <c r="M88" s="67"/>
      <c r="N88" s="67"/>
      <c r="O88" s="67"/>
      <c r="P88" s="67"/>
      <c r="Q88" s="67"/>
      <c r="R88" s="67"/>
      <c r="S88" s="67"/>
      <c r="T88" s="67"/>
      <c r="U88" s="67"/>
      <c r="V88" s="67"/>
      <c r="W88" s="67"/>
      <c r="X88" s="67"/>
      <c r="Y88" s="67"/>
      <c r="Z88" s="67"/>
    </row>
    <row r="89" spans="1:26" ht="12.5">
      <c r="A89" s="68" t="s">
        <v>171</v>
      </c>
      <c r="B89" s="68" t="s">
        <v>207</v>
      </c>
      <c r="C89" s="68" t="s">
        <v>224</v>
      </c>
      <c r="D89" s="68" t="s">
        <v>28</v>
      </c>
      <c r="E89" s="69">
        <v>2020</v>
      </c>
      <c r="F89" s="69">
        <v>18</v>
      </c>
      <c r="G89" s="69">
        <v>333.8</v>
      </c>
      <c r="H89" s="69">
        <v>10537</v>
      </c>
      <c r="I89" s="67"/>
      <c r="J89" s="67"/>
      <c r="K89" s="67"/>
      <c r="L89" s="67"/>
      <c r="M89" s="67"/>
      <c r="N89" s="67"/>
      <c r="O89" s="67"/>
      <c r="P89" s="67"/>
      <c r="Q89" s="67"/>
      <c r="R89" s="67"/>
      <c r="S89" s="67"/>
      <c r="T89" s="67"/>
      <c r="U89" s="67"/>
      <c r="V89" s="67"/>
      <c r="W89" s="67"/>
      <c r="X89" s="67"/>
      <c r="Y89" s="67"/>
      <c r="Z89" s="67"/>
    </row>
    <row r="90" spans="1:26" ht="12.5">
      <c r="A90" s="68" t="s">
        <v>171</v>
      </c>
      <c r="B90" s="68" t="s">
        <v>207</v>
      </c>
      <c r="C90" s="68" t="s">
        <v>226</v>
      </c>
      <c r="D90" s="68" t="s">
        <v>20</v>
      </c>
      <c r="E90" s="69">
        <v>2020</v>
      </c>
      <c r="F90" s="69">
        <v>15</v>
      </c>
      <c r="G90" s="69">
        <v>311.10000000000002</v>
      </c>
      <c r="H90" s="69">
        <v>73370</v>
      </c>
      <c r="I90" s="67"/>
      <c r="J90" s="67"/>
      <c r="K90" s="67"/>
      <c r="L90" s="67"/>
      <c r="M90" s="67"/>
      <c r="N90" s="67"/>
      <c r="O90" s="67"/>
      <c r="P90" s="67"/>
      <c r="Q90" s="67"/>
      <c r="R90" s="67"/>
      <c r="S90" s="67"/>
      <c r="T90" s="67"/>
      <c r="U90" s="67"/>
      <c r="V90" s="67"/>
      <c r="W90" s="67"/>
      <c r="X90" s="67"/>
      <c r="Y90" s="67"/>
      <c r="Z90" s="67"/>
    </row>
    <row r="91" spans="1:26" ht="12.5">
      <c r="A91" s="68" t="s">
        <v>171</v>
      </c>
      <c r="B91" s="68" t="s">
        <v>207</v>
      </c>
      <c r="C91" s="68" t="s">
        <v>228</v>
      </c>
      <c r="D91" s="68" t="s">
        <v>28</v>
      </c>
      <c r="E91" s="69">
        <v>2020</v>
      </c>
      <c r="F91" s="69">
        <v>19</v>
      </c>
      <c r="G91" s="69">
        <v>464.4</v>
      </c>
      <c r="H91" s="69">
        <v>8345</v>
      </c>
      <c r="I91" s="67"/>
      <c r="J91" s="67"/>
      <c r="K91" s="67"/>
      <c r="L91" s="67"/>
      <c r="M91" s="67"/>
      <c r="N91" s="67"/>
      <c r="O91" s="67"/>
      <c r="P91" s="67"/>
      <c r="Q91" s="67"/>
      <c r="R91" s="67"/>
      <c r="S91" s="67"/>
      <c r="T91" s="67"/>
      <c r="U91" s="67"/>
      <c r="V91" s="67"/>
      <c r="W91" s="67"/>
      <c r="X91" s="67"/>
      <c r="Y91" s="67"/>
      <c r="Z91" s="67"/>
    </row>
    <row r="92" spans="1:26" ht="12.5">
      <c r="A92" s="68" t="s">
        <v>171</v>
      </c>
      <c r="B92" s="68" t="s">
        <v>207</v>
      </c>
      <c r="C92" s="68" t="s">
        <v>230</v>
      </c>
      <c r="D92" s="68" t="s">
        <v>32</v>
      </c>
      <c r="E92" s="69">
        <v>2020</v>
      </c>
      <c r="F92" s="69">
        <v>14</v>
      </c>
      <c r="G92" s="69">
        <v>161.19999999999999</v>
      </c>
      <c r="H92" s="69">
        <v>5043</v>
      </c>
      <c r="I92" s="67"/>
      <c r="J92" s="67"/>
      <c r="K92" s="67"/>
      <c r="L92" s="67"/>
      <c r="M92" s="67"/>
      <c r="N92" s="67"/>
      <c r="O92" s="67"/>
      <c r="P92" s="67"/>
      <c r="Q92" s="67"/>
      <c r="R92" s="67"/>
      <c r="S92" s="67"/>
      <c r="T92" s="67"/>
      <c r="U92" s="67"/>
      <c r="V92" s="67"/>
      <c r="W92" s="67"/>
      <c r="X92" s="67"/>
      <c r="Y92" s="67"/>
      <c r="Z92" s="67"/>
    </row>
    <row r="93" spans="1:26" ht="12.5">
      <c r="A93" s="68" t="s">
        <v>171</v>
      </c>
      <c r="B93" s="68" t="s">
        <v>207</v>
      </c>
      <c r="C93" s="68" t="s">
        <v>232</v>
      </c>
      <c r="D93" s="68" t="s">
        <v>32</v>
      </c>
      <c r="E93" s="69">
        <v>2020</v>
      </c>
      <c r="F93" s="69">
        <v>9</v>
      </c>
      <c r="G93" s="69">
        <v>115</v>
      </c>
      <c r="H93" s="69">
        <v>6388</v>
      </c>
      <c r="I93" s="67"/>
      <c r="J93" s="67"/>
      <c r="K93" s="67"/>
      <c r="L93" s="67"/>
      <c r="M93" s="67"/>
      <c r="N93" s="67"/>
      <c r="O93" s="67"/>
      <c r="P93" s="67"/>
      <c r="Q93" s="67"/>
      <c r="R93" s="67"/>
      <c r="S93" s="67"/>
      <c r="T93" s="67"/>
      <c r="U93" s="67"/>
      <c r="V93" s="67"/>
      <c r="W93" s="67"/>
      <c r="X93" s="67"/>
      <c r="Y93" s="67"/>
      <c r="Z93" s="67"/>
    </row>
    <row r="94" spans="1:26" ht="12.5">
      <c r="A94" s="68" t="s">
        <v>171</v>
      </c>
      <c r="B94" s="68" t="s">
        <v>207</v>
      </c>
      <c r="C94" s="68" t="s">
        <v>234</v>
      </c>
      <c r="D94" s="68" t="s">
        <v>20</v>
      </c>
      <c r="E94" s="69">
        <v>2020</v>
      </c>
      <c r="F94" s="69">
        <v>15</v>
      </c>
      <c r="G94" s="69">
        <v>296.8</v>
      </c>
      <c r="H94" s="69">
        <v>15887</v>
      </c>
      <c r="I94" s="67"/>
      <c r="J94" s="67"/>
      <c r="K94" s="67"/>
      <c r="L94" s="67"/>
      <c r="M94" s="67"/>
      <c r="N94" s="67"/>
      <c r="O94" s="67"/>
      <c r="P94" s="67"/>
      <c r="Q94" s="67"/>
      <c r="R94" s="67"/>
      <c r="S94" s="67"/>
      <c r="T94" s="67"/>
      <c r="U94" s="67"/>
      <c r="V94" s="67"/>
      <c r="W94" s="67"/>
      <c r="X94" s="67"/>
      <c r="Y94" s="67"/>
      <c r="Z94" s="67"/>
    </row>
    <row r="95" spans="1:26" ht="12.5">
      <c r="A95" s="68" t="s">
        <v>171</v>
      </c>
      <c r="B95" s="68" t="s">
        <v>207</v>
      </c>
      <c r="C95" s="68" t="s">
        <v>236</v>
      </c>
      <c r="D95" s="68" t="s">
        <v>28</v>
      </c>
      <c r="E95" s="69">
        <v>2020</v>
      </c>
      <c r="F95" s="69">
        <v>11</v>
      </c>
      <c r="G95" s="69">
        <v>299.3</v>
      </c>
      <c r="H95" s="69">
        <v>4461</v>
      </c>
      <c r="I95" s="67"/>
      <c r="J95" s="67"/>
      <c r="K95" s="67"/>
      <c r="L95" s="67"/>
      <c r="M95" s="67"/>
      <c r="N95" s="67"/>
      <c r="O95" s="67"/>
      <c r="P95" s="67"/>
      <c r="Q95" s="67"/>
      <c r="R95" s="67"/>
      <c r="S95" s="67"/>
      <c r="T95" s="67"/>
      <c r="U95" s="67"/>
      <c r="V95" s="67"/>
      <c r="W95" s="67"/>
      <c r="X95" s="67"/>
      <c r="Y95" s="67"/>
      <c r="Z95" s="67"/>
    </row>
    <row r="96" spans="1:26" ht="12.5">
      <c r="A96" s="68" t="s">
        <v>171</v>
      </c>
      <c r="B96" s="68" t="s">
        <v>207</v>
      </c>
      <c r="C96" s="68" t="s">
        <v>238</v>
      </c>
      <c r="D96" s="68" t="s">
        <v>32</v>
      </c>
      <c r="E96" s="69">
        <v>2020</v>
      </c>
      <c r="F96" s="69">
        <v>24</v>
      </c>
      <c r="G96" s="69">
        <v>481.2</v>
      </c>
      <c r="H96" s="69">
        <v>22317</v>
      </c>
      <c r="I96" s="67"/>
      <c r="J96" s="67"/>
      <c r="K96" s="67"/>
      <c r="L96" s="67"/>
      <c r="M96" s="67"/>
      <c r="N96" s="67"/>
      <c r="O96" s="67"/>
      <c r="P96" s="67"/>
      <c r="Q96" s="67"/>
      <c r="R96" s="67"/>
      <c r="S96" s="67"/>
      <c r="T96" s="67"/>
      <c r="U96" s="67"/>
      <c r="V96" s="67"/>
      <c r="W96" s="67"/>
      <c r="X96" s="67"/>
      <c r="Y96" s="67"/>
      <c r="Z96" s="67"/>
    </row>
    <row r="97" spans="1:26" ht="12.5">
      <c r="A97" s="68" t="s">
        <v>171</v>
      </c>
      <c r="B97" s="68" t="s">
        <v>207</v>
      </c>
      <c r="C97" s="68" t="s">
        <v>240</v>
      </c>
      <c r="D97" s="68" t="s">
        <v>28</v>
      </c>
      <c r="E97" s="69">
        <v>2020</v>
      </c>
      <c r="F97" s="69">
        <v>17</v>
      </c>
      <c r="G97" s="69">
        <v>333.5</v>
      </c>
      <c r="H97" s="69">
        <v>5475</v>
      </c>
      <c r="I97" s="67"/>
      <c r="J97" s="67"/>
      <c r="K97" s="67"/>
      <c r="L97" s="67"/>
      <c r="M97" s="67"/>
      <c r="N97" s="67"/>
      <c r="O97" s="67"/>
      <c r="P97" s="67"/>
      <c r="Q97" s="67"/>
      <c r="R97" s="67"/>
      <c r="S97" s="67"/>
      <c r="T97" s="67"/>
      <c r="U97" s="67"/>
      <c r="V97" s="67"/>
      <c r="W97" s="67"/>
      <c r="X97" s="67"/>
      <c r="Y97" s="67"/>
      <c r="Z97" s="67"/>
    </row>
    <row r="98" spans="1:26" ht="12.5">
      <c r="A98" s="68" t="s">
        <v>171</v>
      </c>
      <c r="B98" s="68" t="s">
        <v>207</v>
      </c>
      <c r="C98" s="68" t="s">
        <v>242</v>
      </c>
      <c r="D98" s="68" t="s">
        <v>28</v>
      </c>
      <c r="E98" s="69">
        <v>2020</v>
      </c>
      <c r="F98" s="69">
        <v>19</v>
      </c>
      <c r="G98" s="69">
        <v>256.8</v>
      </c>
      <c r="H98" s="69">
        <v>5460</v>
      </c>
      <c r="I98" s="67"/>
      <c r="J98" s="67"/>
      <c r="K98" s="67"/>
      <c r="L98" s="67"/>
      <c r="M98" s="67"/>
      <c r="N98" s="67"/>
      <c r="O98" s="67"/>
      <c r="P98" s="67"/>
      <c r="Q98" s="67"/>
      <c r="R98" s="67"/>
      <c r="S98" s="67"/>
      <c r="T98" s="67"/>
      <c r="U98" s="67"/>
      <c r="V98" s="67"/>
      <c r="W98" s="67"/>
      <c r="X98" s="67"/>
      <c r="Y98" s="67"/>
      <c r="Z98" s="67"/>
    </row>
    <row r="99" spans="1:26" ht="12.5">
      <c r="A99" s="68" t="s">
        <v>171</v>
      </c>
      <c r="B99" s="68" t="s">
        <v>207</v>
      </c>
      <c r="C99" s="68" t="s">
        <v>244</v>
      </c>
      <c r="D99" s="68" t="s">
        <v>28</v>
      </c>
      <c r="E99" s="69">
        <v>2020</v>
      </c>
      <c r="F99" s="69">
        <v>11</v>
      </c>
      <c r="G99" s="69">
        <v>167.6</v>
      </c>
      <c r="H99" s="69">
        <v>3218</v>
      </c>
      <c r="I99" s="67"/>
      <c r="J99" s="67"/>
      <c r="K99" s="67"/>
      <c r="L99" s="67"/>
      <c r="M99" s="67"/>
      <c r="N99" s="67"/>
      <c r="O99" s="67"/>
      <c r="P99" s="67"/>
      <c r="Q99" s="67"/>
      <c r="R99" s="67"/>
      <c r="S99" s="67"/>
      <c r="T99" s="67"/>
      <c r="U99" s="67"/>
      <c r="V99" s="67"/>
      <c r="W99" s="67"/>
      <c r="X99" s="67"/>
      <c r="Y99" s="67"/>
      <c r="Z99" s="67"/>
    </row>
    <row r="100" spans="1:26" ht="12.5">
      <c r="A100" s="68" t="s">
        <v>171</v>
      </c>
      <c r="B100" s="68" t="s">
        <v>207</v>
      </c>
      <c r="C100" s="68" t="s">
        <v>246</v>
      </c>
      <c r="D100" s="68" t="s">
        <v>28</v>
      </c>
      <c r="E100" s="69">
        <v>2020</v>
      </c>
      <c r="F100" s="69">
        <v>10</v>
      </c>
      <c r="G100" s="69">
        <v>227.2</v>
      </c>
      <c r="H100" s="69">
        <v>4277</v>
      </c>
      <c r="I100" s="67"/>
      <c r="J100" s="67"/>
      <c r="K100" s="67"/>
      <c r="L100" s="67"/>
      <c r="M100" s="67"/>
      <c r="N100" s="67"/>
      <c r="O100" s="67"/>
      <c r="P100" s="67"/>
      <c r="Q100" s="67"/>
      <c r="R100" s="67"/>
      <c r="S100" s="67"/>
      <c r="T100" s="67"/>
      <c r="U100" s="67"/>
      <c r="V100" s="67"/>
      <c r="W100" s="67"/>
      <c r="X100" s="67"/>
      <c r="Y100" s="67"/>
      <c r="Z100" s="67"/>
    </row>
    <row r="101" spans="1:26" ht="12.5">
      <c r="A101" s="68" t="s">
        <v>171</v>
      </c>
      <c r="B101" s="68" t="s">
        <v>207</v>
      </c>
      <c r="C101" s="68" t="s">
        <v>248</v>
      </c>
      <c r="D101" s="68" t="s">
        <v>32</v>
      </c>
      <c r="E101" s="69">
        <v>2020</v>
      </c>
      <c r="F101" s="69">
        <v>17</v>
      </c>
      <c r="G101" s="69">
        <v>373.3</v>
      </c>
      <c r="H101" s="69">
        <v>11973</v>
      </c>
      <c r="I101" s="67"/>
      <c r="J101" s="67"/>
      <c r="K101" s="67"/>
      <c r="L101" s="67"/>
      <c r="M101" s="67"/>
      <c r="N101" s="67"/>
      <c r="O101" s="67"/>
      <c r="P101" s="67"/>
      <c r="Q101" s="67"/>
      <c r="R101" s="67"/>
      <c r="S101" s="67"/>
      <c r="T101" s="67"/>
      <c r="U101" s="67"/>
      <c r="V101" s="67"/>
      <c r="W101" s="67"/>
      <c r="X101" s="67"/>
      <c r="Y101" s="67"/>
      <c r="Z101" s="67"/>
    </row>
    <row r="102" spans="1:26" ht="12.5">
      <c r="A102" s="68" t="s">
        <v>171</v>
      </c>
      <c r="B102" s="68" t="s">
        <v>207</v>
      </c>
      <c r="C102" s="68" t="s">
        <v>251</v>
      </c>
      <c r="D102" s="68" t="s">
        <v>32</v>
      </c>
      <c r="E102" s="69">
        <v>2020</v>
      </c>
      <c r="F102" s="69">
        <v>52</v>
      </c>
      <c r="G102" s="69">
        <v>869</v>
      </c>
      <c r="H102" s="69">
        <v>18451</v>
      </c>
      <c r="I102" s="67"/>
      <c r="J102" s="67"/>
      <c r="K102" s="67"/>
      <c r="L102" s="67"/>
      <c r="M102" s="67"/>
      <c r="N102" s="67"/>
      <c r="O102" s="67"/>
      <c r="P102" s="67"/>
      <c r="Q102" s="67"/>
      <c r="R102" s="67"/>
      <c r="S102" s="67"/>
      <c r="T102" s="67"/>
      <c r="U102" s="67"/>
      <c r="V102" s="67"/>
      <c r="W102" s="67"/>
      <c r="X102" s="67"/>
      <c r="Y102" s="67"/>
      <c r="Z102" s="67"/>
    </row>
    <row r="103" spans="1:26" ht="12.5">
      <c r="A103" s="68" t="s">
        <v>171</v>
      </c>
      <c r="B103" s="68" t="s">
        <v>207</v>
      </c>
      <c r="C103" s="68" t="s">
        <v>253</v>
      </c>
      <c r="D103" s="68" t="s">
        <v>32</v>
      </c>
      <c r="E103" s="69">
        <v>2020</v>
      </c>
      <c r="F103" s="69">
        <v>31</v>
      </c>
      <c r="G103" s="69">
        <v>761.1</v>
      </c>
      <c r="H103" s="69">
        <v>16482</v>
      </c>
      <c r="I103" s="67"/>
      <c r="J103" s="67"/>
      <c r="K103" s="67"/>
      <c r="L103" s="67"/>
      <c r="M103" s="67"/>
      <c r="N103" s="67"/>
      <c r="O103" s="67"/>
      <c r="P103" s="67"/>
      <c r="Q103" s="67"/>
      <c r="R103" s="67"/>
      <c r="S103" s="67"/>
      <c r="T103" s="67"/>
      <c r="U103" s="67"/>
      <c r="V103" s="67"/>
      <c r="W103" s="67"/>
      <c r="X103" s="67"/>
      <c r="Y103" s="67"/>
      <c r="Z103" s="67"/>
    </row>
    <row r="104" spans="1:26" ht="12.5">
      <c r="A104" s="68" t="s">
        <v>171</v>
      </c>
      <c r="B104" s="68" t="s">
        <v>256</v>
      </c>
      <c r="C104" s="68" t="s">
        <v>257</v>
      </c>
      <c r="D104" s="68" t="s">
        <v>20</v>
      </c>
      <c r="E104" s="69">
        <v>2020</v>
      </c>
      <c r="F104" s="69">
        <v>21</v>
      </c>
      <c r="G104" s="69">
        <v>223.2</v>
      </c>
      <c r="H104" s="69">
        <v>9312</v>
      </c>
      <c r="I104" s="67"/>
      <c r="J104" s="67"/>
      <c r="K104" s="67"/>
      <c r="L104" s="67"/>
      <c r="M104" s="67"/>
      <c r="N104" s="67"/>
      <c r="O104" s="67"/>
      <c r="P104" s="67"/>
      <c r="Q104" s="67"/>
      <c r="R104" s="67"/>
      <c r="S104" s="67"/>
      <c r="T104" s="67"/>
      <c r="U104" s="67"/>
      <c r="V104" s="67"/>
      <c r="W104" s="67"/>
      <c r="X104" s="67"/>
      <c r="Y104" s="67"/>
      <c r="Z104" s="67"/>
    </row>
    <row r="105" spans="1:26" ht="12.5">
      <c r="A105" s="68" t="s">
        <v>171</v>
      </c>
      <c r="B105" s="68" t="s">
        <v>256</v>
      </c>
      <c r="C105" s="68" t="s">
        <v>259</v>
      </c>
      <c r="D105" s="68" t="s">
        <v>28</v>
      </c>
      <c r="E105" s="69">
        <v>2020</v>
      </c>
      <c r="F105" s="69">
        <v>24</v>
      </c>
      <c r="G105" s="69">
        <v>282.7</v>
      </c>
      <c r="H105" s="69">
        <v>18666</v>
      </c>
      <c r="I105" s="67"/>
      <c r="J105" s="67"/>
      <c r="K105" s="67"/>
      <c r="L105" s="67"/>
      <c r="M105" s="67"/>
      <c r="N105" s="67"/>
      <c r="O105" s="67"/>
      <c r="P105" s="67"/>
      <c r="Q105" s="67"/>
      <c r="R105" s="67"/>
      <c r="S105" s="67"/>
      <c r="T105" s="67"/>
      <c r="U105" s="67"/>
      <c r="V105" s="67"/>
      <c r="W105" s="67"/>
      <c r="X105" s="67"/>
      <c r="Y105" s="67"/>
      <c r="Z105" s="67"/>
    </row>
    <row r="106" spans="1:26" ht="12.5">
      <c r="A106" s="68" t="s">
        <v>171</v>
      </c>
      <c r="B106" s="68" t="s">
        <v>256</v>
      </c>
      <c r="C106" s="68" t="s">
        <v>261</v>
      </c>
      <c r="D106" s="68" t="s">
        <v>28</v>
      </c>
      <c r="E106" s="69">
        <v>2020</v>
      </c>
      <c r="F106" s="69">
        <v>21</v>
      </c>
      <c r="G106" s="69">
        <v>234.7</v>
      </c>
      <c r="H106" s="69">
        <v>8994</v>
      </c>
      <c r="I106" s="67"/>
      <c r="J106" s="67"/>
      <c r="K106" s="67"/>
      <c r="L106" s="67"/>
      <c r="M106" s="67"/>
      <c r="N106" s="67"/>
      <c r="O106" s="67"/>
      <c r="P106" s="67"/>
      <c r="Q106" s="67"/>
      <c r="R106" s="67"/>
      <c r="S106" s="67"/>
      <c r="T106" s="67"/>
      <c r="U106" s="67"/>
      <c r="V106" s="67"/>
      <c r="W106" s="67"/>
      <c r="X106" s="67"/>
      <c r="Y106" s="67"/>
      <c r="Z106" s="67"/>
    </row>
    <row r="107" spans="1:26" ht="12.5">
      <c r="A107" s="68" t="s">
        <v>171</v>
      </c>
      <c r="B107" s="68" t="s">
        <v>256</v>
      </c>
      <c r="C107" s="68" t="s">
        <v>263</v>
      </c>
      <c r="D107" s="68" t="s">
        <v>20</v>
      </c>
      <c r="E107" s="69">
        <v>2020</v>
      </c>
      <c r="F107" s="69">
        <v>41</v>
      </c>
      <c r="G107" s="69">
        <v>494.9</v>
      </c>
      <c r="H107" s="69">
        <v>25147</v>
      </c>
      <c r="I107" s="67"/>
      <c r="J107" s="67"/>
      <c r="K107" s="67"/>
      <c r="L107" s="67"/>
      <c r="M107" s="67"/>
      <c r="N107" s="67"/>
      <c r="O107" s="67"/>
      <c r="P107" s="67"/>
      <c r="Q107" s="67"/>
      <c r="R107" s="67"/>
      <c r="S107" s="67"/>
      <c r="T107" s="67"/>
      <c r="U107" s="67"/>
      <c r="V107" s="67"/>
      <c r="W107" s="67"/>
      <c r="X107" s="67"/>
      <c r="Y107" s="67"/>
      <c r="Z107" s="67"/>
    </row>
    <row r="108" spans="1:26" ht="12.5">
      <c r="A108" s="68" t="s">
        <v>171</v>
      </c>
      <c r="B108" s="68" t="s">
        <v>256</v>
      </c>
      <c r="C108" s="68" t="s">
        <v>265</v>
      </c>
      <c r="D108" s="68" t="s">
        <v>28</v>
      </c>
      <c r="E108" s="69">
        <v>2020</v>
      </c>
      <c r="F108" s="69">
        <v>13</v>
      </c>
      <c r="G108" s="69">
        <v>234.7</v>
      </c>
      <c r="H108" s="69">
        <v>5676</v>
      </c>
      <c r="I108" s="67"/>
      <c r="J108" s="67"/>
      <c r="K108" s="67"/>
      <c r="L108" s="67"/>
      <c r="M108" s="67"/>
      <c r="N108" s="67"/>
      <c r="O108" s="67"/>
      <c r="P108" s="67"/>
      <c r="Q108" s="67"/>
      <c r="R108" s="67"/>
      <c r="S108" s="67"/>
      <c r="T108" s="67"/>
      <c r="U108" s="67"/>
      <c r="V108" s="67"/>
      <c r="W108" s="67"/>
      <c r="X108" s="67"/>
      <c r="Y108" s="67"/>
      <c r="Z108" s="67"/>
    </row>
    <row r="109" spans="1:26" ht="12.5">
      <c r="A109" s="68" t="s">
        <v>171</v>
      </c>
      <c r="B109" s="68" t="s">
        <v>256</v>
      </c>
      <c r="C109" s="68" t="s">
        <v>267</v>
      </c>
      <c r="D109" s="68" t="s">
        <v>32</v>
      </c>
      <c r="E109" s="69">
        <v>2020</v>
      </c>
      <c r="F109" s="69">
        <v>28</v>
      </c>
      <c r="G109" s="69">
        <v>763.5</v>
      </c>
      <c r="H109" s="69">
        <v>20762</v>
      </c>
      <c r="I109" s="67"/>
      <c r="J109" s="67"/>
      <c r="K109" s="67"/>
      <c r="L109" s="67"/>
      <c r="M109" s="67"/>
      <c r="N109" s="67"/>
      <c r="O109" s="67"/>
      <c r="P109" s="67"/>
      <c r="Q109" s="67"/>
      <c r="R109" s="67"/>
      <c r="S109" s="67"/>
      <c r="T109" s="67"/>
      <c r="U109" s="67"/>
      <c r="V109" s="67"/>
      <c r="W109" s="67"/>
      <c r="X109" s="67"/>
      <c r="Y109" s="67"/>
      <c r="Z109" s="67"/>
    </row>
    <row r="110" spans="1:26" ht="12.5">
      <c r="A110" s="68" t="s">
        <v>171</v>
      </c>
      <c r="B110" s="68" t="s">
        <v>256</v>
      </c>
      <c r="C110" s="68" t="s">
        <v>269</v>
      </c>
      <c r="D110" s="68" t="s">
        <v>28</v>
      </c>
      <c r="E110" s="69">
        <v>2020</v>
      </c>
      <c r="F110" s="69">
        <v>14</v>
      </c>
      <c r="G110" s="69">
        <v>178.4</v>
      </c>
      <c r="H110" s="69">
        <v>5178</v>
      </c>
      <c r="I110" s="67"/>
      <c r="J110" s="67"/>
      <c r="K110" s="67"/>
      <c r="L110" s="67"/>
      <c r="M110" s="67"/>
      <c r="N110" s="67"/>
      <c r="O110" s="67"/>
      <c r="P110" s="67"/>
      <c r="Q110" s="67"/>
      <c r="R110" s="67"/>
      <c r="S110" s="67"/>
      <c r="T110" s="67"/>
      <c r="U110" s="67"/>
      <c r="V110" s="67"/>
      <c r="W110" s="67"/>
      <c r="X110" s="67"/>
      <c r="Y110" s="67"/>
      <c r="Z110" s="67"/>
    </row>
    <row r="111" spans="1:26" ht="12.5">
      <c r="A111" s="68" t="s">
        <v>171</v>
      </c>
      <c r="B111" s="68" t="s">
        <v>256</v>
      </c>
      <c r="C111" s="68" t="s">
        <v>271</v>
      </c>
      <c r="D111" s="68" t="s">
        <v>20</v>
      </c>
      <c r="E111" s="69">
        <v>2020</v>
      </c>
      <c r="F111" s="69">
        <v>24</v>
      </c>
      <c r="G111" s="69">
        <v>473.9</v>
      </c>
      <c r="H111" s="69">
        <v>23442</v>
      </c>
      <c r="I111" s="67"/>
      <c r="J111" s="67"/>
      <c r="K111" s="67"/>
      <c r="L111" s="67"/>
      <c r="M111" s="67"/>
      <c r="N111" s="67"/>
      <c r="O111" s="67"/>
      <c r="P111" s="67"/>
      <c r="Q111" s="67"/>
      <c r="R111" s="67"/>
      <c r="S111" s="67"/>
      <c r="T111" s="67"/>
      <c r="U111" s="67"/>
      <c r="V111" s="67"/>
      <c r="W111" s="67"/>
      <c r="X111" s="67"/>
      <c r="Y111" s="67"/>
      <c r="Z111" s="67"/>
    </row>
    <row r="112" spans="1:26" ht="12.5">
      <c r="A112" s="68" t="s">
        <v>171</v>
      </c>
      <c r="B112" s="68" t="s">
        <v>256</v>
      </c>
      <c r="C112" s="68" t="s">
        <v>273</v>
      </c>
      <c r="D112" s="68" t="s">
        <v>20</v>
      </c>
      <c r="E112" s="69">
        <v>2020</v>
      </c>
      <c r="F112" s="69">
        <v>36</v>
      </c>
      <c r="G112" s="69">
        <v>383.1</v>
      </c>
      <c r="H112" s="69">
        <v>240292</v>
      </c>
      <c r="I112" s="67"/>
      <c r="J112" s="67"/>
      <c r="K112" s="67"/>
      <c r="L112" s="67"/>
      <c r="M112" s="67"/>
      <c r="N112" s="67"/>
      <c r="O112" s="67"/>
      <c r="P112" s="67"/>
      <c r="Q112" s="67"/>
      <c r="R112" s="67"/>
      <c r="S112" s="67"/>
      <c r="T112" s="67"/>
      <c r="U112" s="67"/>
      <c r="V112" s="67"/>
      <c r="W112" s="67"/>
      <c r="X112" s="67"/>
      <c r="Y112" s="67"/>
      <c r="Z112" s="67"/>
    </row>
    <row r="113" spans="1:26" ht="12.5">
      <c r="A113" s="68" t="s">
        <v>171</v>
      </c>
      <c r="B113" s="68" t="s">
        <v>256</v>
      </c>
      <c r="C113" s="68" t="s">
        <v>275</v>
      </c>
      <c r="D113" s="68" t="s">
        <v>32</v>
      </c>
      <c r="E113" s="69">
        <v>2020</v>
      </c>
      <c r="F113" s="69">
        <v>15</v>
      </c>
      <c r="G113" s="69">
        <v>229.7</v>
      </c>
      <c r="H113" s="69">
        <v>9519</v>
      </c>
      <c r="I113" s="67"/>
      <c r="J113" s="67"/>
      <c r="K113" s="67"/>
      <c r="L113" s="67"/>
      <c r="M113" s="67"/>
      <c r="N113" s="67"/>
      <c r="O113" s="67"/>
      <c r="P113" s="67"/>
      <c r="Q113" s="67"/>
      <c r="R113" s="67"/>
      <c r="S113" s="67"/>
      <c r="T113" s="67"/>
      <c r="U113" s="67"/>
      <c r="V113" s="67"/>
      <c r="W113" s="67"/>
      <c r="X113" s="67"/>
      <c r="Y113" s="67"/>
      <c r="Z113" s="67"/>
    </row>
    <row r="114" spans="1:26" ht="12.5">
      <c r="A114" s="68" t="s">
        <v>171</v>
      </c>
      <c r="B114" s="68" t="s">
        <v>256</v>
      </c>
      <c r="C114" s="68" t="s">
        <v>277</v>
      </c>
      <c r="D114" s="68" t="s">
        <v>32</v>
      </c>
      <c r="E114" s="69">
        <v>2020</v>
      </c>
      <c r="F114" s="69">
        <v>17</v>
      </c>
      <c r="G114" s="69">
        <v>270</v>
      </c>
      <c r="H114" s="69">
        <v>11810</v>
      </c>
      <c r="I114" s="67"/>
      <c r="J114" s="67"/>
      <c r="K114" s="67"/>
      <c r="L114" s="67"/>
      <c r="M114" s="67"/>
      <c r="N114" s="67"/>
      <c r="O114" s="67"/>
      <c r="P114" s="67"/>
      <c r="Q114" s="67"/>
      <c r="R114" s="67"/>
      <c r="S114" s="67"/>
      <c r="T114" s="67"/>
      <c r="U114" s="67"/>
      <c r="V114" s="67"/>
      <c r="W114" s="67"/>
      <c r="X114" s="67"/>
      <c r="Y114" s="67"/>
      <c r="Z114" s="67"/>
    </row>
    <row r="115" spans="1:26" ht="12.5">
      <c r="A115" s="68" t="s">
        <v>171</v>
      </c>
      <c r="B115" s="68" t="s">
        <v>256</v>
      </c>
      <c r="C115" s="68" t="s">
        <v>279</v>
      </c>
      <c r="D115" s="68" t="s">
        <v>28</v>
      </c>
      <c r="E115" s="69">
        <v>2020</v>
      </c>
      <c r="F115" s="69">
        <v>20</v>
      </c>
      <c r="G115" s="69">
        <v>285</v>
      </c>
      <c r="H115" s="69">
        <v>20573</v>
      </c>
      <c r="I115" s="67"/>
      <c r="J115" s="67"/>
      <c r="K115" s="67"/>
      <c r="L115" s="67"/>
      <c r="M115" s="67"/>
      <c r="N115" s="67"/>
      <c r="O115" s="67"/>
      <c r="P115" s="67"/>
      <c r="Q115" s="67"/>
      <c r="R115" s="67"/>
      <c r="S115" s="67"/>
      <c r="T115" s="67"/>
      <c r="U115" s="67"/>
      <c r="V115" s="67"/>
      <c r="W115" s="67"/>
      <c r="X115" s="67"/>
      <c r="Y115" s="67"/>
      <c r="Z115" s="67"/>
    </row>
    <row r="116" spans="1:26" ht="12.5">
      <c r="A116" s="68" t="s">
        <v>171</v>
      </c>
      <c r="B116" s="68" t="s">
        <v>256</v>
      </c>
      <c r="C116" s="68" t="s">
        <v>281</v>
      </c>
      <c r="D116" s="68" t="s">
        <v>20</v>
      </c>
      <c r="E116" s="69">
        <v>2020</v>
      </c>
      <c r="F116" s="69">
        <v>37</v>
      </c>
      <c r="G116" s="69">
        <v>461.5</v>
      </c>
      <c r="H116" s="69">
        <v>26368</v>
      </c>
      <c r="I116" s="67"/>
      <c r="J116" s="67"/>
      <c r="K116" s="67"/>
      <c r="L116" s="67"/>
      <c r="M116" s="67"/>
      <c r="N116" s="67"/>
      <c r="O116" s="67"/>
      <c r="P116" s="67"/>
      <c r="Q116" s="67"/>
      <c r="R116" s="67"/>
      <c r="S116" s="67"/>
      <c r="T116" s="67"/>
      <c r="U116" s="67"/>
      <c r="V116" s="67"/>
      <c r="W116" s="67"/>
      <c r="X116" s="67"/>
      <c r="Y116" s="67"/>
      <c r="Z116" s="67"/>
    </row>
    <row r="117" spans="1:26" ht="12.5">
      <c r="A117" s="68" t="s">
        <v>171</v>
      </c>
      <c r="B117" s="68" t="s">
        <v>256</v>
      </c>
      <c r="C117" s="68" t="s">
        <v>283</v>
      </c>
      <c r="D117" s="68" t="s">
        <v>32</v>
      </c>
      <c r="E117" s="69">
        <v>2020</v>
      </c>
      <c r="F117" s="69">
        <v>24</v>
      </c>
      <c r="G117" s="69">
        <v>286.8</v>
      </c>
      <c r="H117" s="69">
        <v>13534</v>
      </c>
      <c r="I117" s="67"/>
      <c r="J117" s="67"/>
      <c r="K117" s="67"/>
      <c r="L117" s="67"/>
      <c r="M117" s="67"/>
      <c r="N117" s="67"/>
      <c r="O117" s="67"/>
      <c r="P117" s="67"/>
      <c r="Q117" s="67"/>
      <c r="R117" s="67"/>
      <c r="S117" s="67"/>
      <c r="T117" s="67"/>
      <c r="U117" s="67"/>
      <c r="V117" s="67"/>
      <c r="W117" s="67"/>
      <c r="X117" s="67"/>
      <c r="Y117" s="67"/>
      <c r="Z117" s="67"/>
    </row>
    <row r="118" spans="1:26" ht="12.5">
      <c r="A118" s="68" t="s">
        <v>171</v>
      </c>
      <c r="B118" s="68" t="s">
        <v>256</v>
      </c>
      <c r="C118" s="68" t="s">
        <v>285</v>
      </c>
      <c r="D118" s="68" t="s">
        <v>32</v>
      </c>
      <c r="E118" s="69">
        <v>2020</v>
      </c>
      <c r="F118" s="69">
        <v>16</v>
      </c>
      <c r="G118" s="69">
        <v>447</v>
      </c>
      <c r="H118" s="69">
        <v>17655</v>
      </c>
      <c r="I118" s="67"/>
      <c r="J118" s="67"/>
      <c r="K118" s="67"/>
      <c r="L118" s="67"/>
      <c r="M118" s="67"/>
      <c r="N118" s="67"/>
      <c r="O118" s="67"/>
      <c r="P118" s="67"/>
      <c r="Q118" s="67"/>
      <c r="R118" s="67"/>
      <c r="S118" s="67"/>
      <c r="T118" s="67"/>
      <c r="U118" s="67"/>
      <c r="V118" s="67"/>
      <c r="W118" s="67"/>
      <c r="X118" s="67"/>
      <c r="Y118" s="67"/>
      <c r="Z118" s="67"/>
    </row>
    <row r="119" spans="1:26" ht="12.5">
      <c r="A119" s="68" t="s">
        <v>287</v>
      </c>
      <c r="B119" s="68" t="s">
        <v>288</v>
      </c>
      <c r="C119" s="68" t="s">
        <v>289</v>
      </c>
      <c r="D119" s="68" t="s">
        <v>20</v>
      </c>
      <c r="E119" s="69">
        <v>2020</v>
      </c>
      <c r="F119" s="69">
        <v>2</v>
      </c>
      <c r="G119" s="69">
        <v>406</v>
      </c>
      <c r="H119" s="69">
        <v>983515</v>
      </c>
      <c r="I119" s="67"/>
      <c r="J119" s="67"/>
      <c r="K119" s="67"/>
      <c r="L119" s="67"/>
      <c r="M119" s="67"/>
      <c r="N119" s="67"/>
      <c r="O119" s="67"/>
      <c r="P119" s="67"/>
      <c r="Q119" s="67"/>
      <c r="R119" s="67"/>
      <c r="S119" s="67"/>
      <c r="T119" s="67"/>
      <c r="U119" s="67"/>
      <c r="V119" s="67"/>
      <c r="W119" s="67"/>
      <c r="X119" s="67"/>
      <c r="Y119" s="67"/>
      <c r="Z119" s="67"/>
    </row>
    <row r="120" spans="1:26" ht="12.5">
      <c r="A120" s="68" t="s">
        <v>287</v>
      </c>
      <c r="B120" s="68" t="s">
        <v>288</v>
      </c>
      <c r="C120" s="68" t="s">
        <v>291</v>
      </c>
      <c r="D120" s="68" t="s">
        <v>28</v>
      </c>
      <c r="E120" s="69">
        <v>2020</v>
      </c>
      <c r="F120" s="69">
        <v>5</v>
      </c>
      <c r="G120" s="69">
        <v>96.1</v>
      </c>
      <c r="H120" s="69">
        <v>3217</v>
      </c>
      <c r="I120" s="67"/>
      <c r="J120" s="67"/>
      <c r="K120" s="67"/>
      <c r="L120" s="67"/>
      <c r="M120" s="67"/>
      <c r="N120" s="67"/>
      <c r="O120" s="67"/>
      <c r="P120" s="67"/>
      <c r="Q120" s="67"/>
      <c r="R120" s="67"/>
      <c r="S120" s="67"/>
      <c r="T120" s="67"/>
      <c r="U120" s="67"/>
      <c r="V120" s="67"/>
      <c r="W120" s="67"/>
      <c r="X120" s="67"/>
      <c r="Y120" s="67"/>
      <c r="Z120" s="67"/>
    </row>
    <row r="121" spans="1:26" ht="12.5">
      <c r="A121" s="68" t="s">
        <v>287</v>
      </c>
      <c r="B121" s="68" t="s">
        <v>288</v>
      </c>
      <c r="C121" s="68" t="s">
        <v>293</v>
      </c>
      <c r="D121" s="68" t="s">
        <v>28</v>
      </c>
      <c r="E121" s="69">
        <v>2020</v>
      </c>
      <c r="F121" s="69">
        <v>6</v>
      </c>
      <c r="G121" s="69">
        <v>148.5</v>
      </c>
      <c r="H121" s="69">
        <v>3615</v>
      </c>
      <c r="I121" s="67"/>
      <c r="J121" s="67"/>
      <c r="K121" s="67"/>
      <c r="L121" s="67"/>
      <c r="M121" s="67"/>
      <c r="N121" s="67"/>
      <c r="O121" s="67"/>
      <c r="P121" s="67"/>
      <c r="Q121" s="67"/>
      <c r="R121" s="67"/>
      <c r="S121" s="67"/>
      <c r="T121" s="67"/>
      <c r="U121" s="67"/>
      <c r="V121" s="67"/>
      <c r="W121" s="67"/>
      <c r="X121" s="67"/>
      <c r="Y121" s="67"/>
      <c r="Z121" s="67"/>
    </row>
    <row r="122" spans="1:26" ht="12.5">
      <c r="A122" s="68" t="s">
        <v>287</v>
      </c>
      <c r="B122" s="68" t="s">
        <v>288</v>
      </c>
      <c r="C122" s="68" t="s">
        <v>295</v>
      </c>
      <c r="D122" s="68" t="s">
        <v>28</v>
      </c>
      <c r="E122" s="69">
        <v>2020</v>
      </c>
      <c r="F122" s="69">
        <v>9</v>
      </c>
      <c r="G122" s="69">
        <v>83.2</v>
      </c>
      <c r="H122" s="69">
        <v>2070</v>
      </c>
      <c r="I122" s="67"/>
      <c r="J122" s="67"/>
      <c r="K122" s="67"/>
      <c r="L122" s="67"/>
      <c r="M122" s="67"/>
      <c r="N122" s="67"/>
      <c r="O122" s="67"/>
      <c r="P122" s="67"/>
      <c r="Q122" s="67"/>
      <c r="R122" s="67"/>
      <c r="S122" s="67"/>
      <c r="T122" s="67"/>
      <c r="U122" s="67"/>
      <c r="V122" s="67"/>
      <c r="W122" s="67"/>
      <c r="X122" s="67"/>
      <c r="Y122" s="67"/>
      <c r="Z122" s="67"/>
    </row>
    <row r="123" spans="1:26" ht="12.5">
      <c r="A123" s="68" t="s">
        <v>287</v>
      </c>
      <c r="B123" s="68" t="s">
        <v>288</v>
      </c>
      <c r="C123" s="68" t="s">
        <v>297</v>
      </c>
      <c r="D123" s="68" t="s">
        <v>28</v>
      </c>
      <c r="E123" s="69">
        <v>2020</v>
      </c>
      <c r="F123" s="69">
        <v>10</v>
      </c>
      <c r="G123" s="69">
        <v>370.3</v>
      </c>
      <c r="H123" s="69">
        <v>6634</v>
      </c>
      <c r="I123" s="67"/>
      <c r="J123" s="67"/>
      <c r="K123" s="67"/>
      <c r="L123" s="67"/>
      <c r="M123" s="67"/>
      <c r="N123" s="67"/>
      <c r="O123" s="67"/>
      <c r="P123" s="67"/>
      <c r="Q123" s="67"/>
      <c r="R123" s="67"/>
      <c r="S123" s="67"/>
      <c r="T123" s="67"/>
      <c r="U123" s="67"/>
      <c r="V123" s="67"/>
      <c r="W123" s="67"/>
      <c r="X123" s="67"/>
      <c r="Y123" s="67"/>
      <c r="Z123" s="67"/>
    </row>
    <row r="124" spans="1:26" ht="12.5">
      <c r="A124" s="68" t="s">
        <v>287</v>
      </c>
      <c r="B124" s="68" t="s">
        <v>288</v>
      </c>
      <c r="C124" s="68" t="s">
        <v>299</v>
      </c>
      <c r="D124" s="68" t="s">
        <v>28</v>
      </c>
      <c r="E124" s="69">
        <v>2020</v>
      </c>
      <c r="F124" s="69">
        <v>12</v>
      </c>
      <c r="G124" s="69">
        <v>243.2</v>
      </c>
      <c r="H124" s="69">
        <v>5971</v>
      </c>
      <c r="I124" s="67"/>
      <c r="J124" s="67"/>
      <c r="K124" s="67"/>
      <c r="L124" s="67"/>
      <c r="M124" s="67"/>
      <c r="N124" s="67"/>
      <c r="O124" s="67"/>
      <c r="P124" s="67"/>
      <c r="Q124" s="67"/>
      <c r="R124" s="67"/>
      <c r="S124" s="67"/>
      <c r="T124" s="67"/>
      <c r="U124" s="67"/>
      <c r="V124" s="67"/>
      <c r="W124" s="67"/>
      <c r="X124" s="67"/>
      <c r="Y124" s="67"/>
      <c r="Z124" s="67"/>
    </row>
    <row r="125" spans="1:26" ht="12.5">
      <c r="A125" s="68" t="s">
        <v>287</v>
      </c>
      <c r="B125" s="68" t="s">
        <v>288</v>
      </c>
      <c r="C125" s="68" t="s">
        <v>301</v>
      </c>
      <c r="D125" s="68" t="s">
        <v>28</v>
      </c>
      <c r="E125" s="69">
        <v>2020</v>
      </c>
      <c r="F125" s="69">
        <v>12</v>
      </c>
      <c r="G125" s="69">
        <v>252.6</v>
      </c>
      <c r="H125" s="69">
        <v>10653</v>
      </c>
      <c r="I125" s="67"/>
      <c r="J125" s="67"/>
      <c r="K125" s="67"/>
      <c r="L125" s="67"/>
      <c r="M125" s="67"/>
      <c r="N125" s="67"/>
      <c r="O125" s="67"/>
      <c r="P125" s="67"/>
      <c r="Q125" s="67"/>
      <c r="R125" s="67"/>
      <c r="S125" s="67"/>
      <c r="T125" s="67"/>
      <c r="U125" s="67"/>
      <c r="V125" s="67"/>
      <c r="W125" s="67"/>
      <c r="X125" s="67"/>
      <c r="Y125" s="67"/>
      <c r="Z125" s="67"/>
    </row>
    <row r="126" spans="1:26" ht="12.5">
      <c r="A126" s="68" t="s">
        <v>287</v>
      </c>
      <c r="B126" s="68" t="s">
        <v>288</v>
      </c>
      <c r="C126" s="68" t="s">
        <v>303</v>
      </c>
      <c r="D126" s="68" t="s">
        <v>32</v>
      </c>
      <c r="E126" s="69">
        <v>2020</v>
      </c>
      <c r="F126" s="69">
        <v>33</v>
      </c>
      <c r="G126" s="69">
        <v>530.20000000000005</v>
      </c>
      <c r="H126" s="69">
        <v>7826</v>
      </c>
      <c r="I126" s="67"/>
      <c r="J126" s="67"/>
      <c r="K126" s="67"/>
      <c r="L126" s="67"/>
      <c r="M126" s="67"/>
      <c r="N126" s="67"/>
      <c r="O126" s="67"/>
      <c r="P126" s="67"/>
      <c r="Q126" s="67"/>
      <c r="R126" s="67"/>
      <c r="S126" s="67"/>
      <c r="T126" s="67"/>
      <c r="U126" s="67"/>
      <c r="V126" s="67"/>
      <c r="W126" s="67"/>
      <c r="X126" s="67"/>
      <c r="Y126" s="67"/>
      <c r="Z126" s="67"/>
    </row>
    <row r="127" spans="1:26" ht="12.5">
      <c r="A127" s="68" t="s">
        <v>287</v>
      </c>
      <c r="B127" s="68" t="s">
        <v>288</v>
      </c>
      <c r="C127" s="68" t="s">
        <v>305</v>
      </c>
      <c r="D127" s="68" t="s">
        <v>32</v>
      </c>
      <c r="E127" s="69">
        <v>2020</v>
      </c>
      <c r="F127" s="69">
        <v>3</v>
      </c>
      <c r="G127" s="69">
        <v>144.69999999999999</v>
      </c>
      <c r="H127" s="69">
        <v>11785</v>
      </c>
      <c r="I127" s="67"/>
      <c r="J127" s="67"/>
      <c r="K127" s="67"/>
      <c r="L127" s="67"/>
      <c r="M127" s="67"/>
      <c r="N127" s="67"/>
      <c r="O127" s="67"/>
      <c r="P127" s="67"/>
      <c r="Q127" s="67"/>
      <c r="R127" s="67"/>
      <c r="S127" s="67"/>
      <c r="T127" s="67"/>
      <c r="U127" s="67"/>
      <c r="V127" s="67"/>
      <c r="W127" s="67"/>
      <c r="X127" s="67"/>
      <c r="Y127" s="67"/>
      <c r="Z127" s="67"/>
    </row>
    <row r="128" spans="1:26" ht="12.5">
      <c r="A128" s="68" t="s">
        <v>287</v>
      </c>
      <c r="B128" s="68" t="s">
        <v>288</v>
      </c>
      <c r="C128" s="68" t="s">
        <v>307</v>
      </c>
      <c r="D128" s="68" t="s">
        <v>32</v>
      </c>
      <c r="E128" s="69">
        <v>2020</v>
      </c>
      <c r="F128" s="69">
        <v>19</v>
      </c>
      <c r="G128" s="69">
        <v>841</v>
      </c>
      <c r="H128" s="69">
        <v>23028</v>
      </c>
      <c r="I128" s="67"/>
      <c r="J128" s="67"/>
      <c r="K128" s="67"/>
      <c r="L128" s="67"/>
      <c r="M128" s="67"/>
      <c r="N128" s="67"/>
      <c r="O128" s="67"/>
      <c r="P128" s="67"/>
      <c r="Q128" s="67"/>
      <c r="R128" s="67"/>
      <c r="S128" s="67"/>
      <c r="T128" s="67"/>
      <c r="U128" s="67"/>
      <c r="V128" s="67"/>
      <c r="W128" s="67"/>
      <c r="X128" s="67"/>
      <c r="Y128" s="67"/>
      <c r="Z128" s="67"/>
    </row>
    <row r="129" spans="1:26" ht="12.5">
      <c r="A129" s="68" t="s">
        <v>287</v>
      </c>
      <c r="B129" s="68" t="s">
        <v>288</v>
      </c>
      <c r="C129" s="68" t="s">
        <v>309</v>
      </c>
      <c r="D129" s="68" t="s">
        <v>20</v>
      </c>
      <c r="E129" s="69">
        <v>2020</v>
      </c>
      <c r="F129" s="69">
        <v>5</v>
      </c>
      <c r="G129" s="69">
        <v>232.4</v>
      </c>
      <c r="H129" s="69">
        <v>23400</v>
      </c>
      <c r="I129" s="67"/>
      <c r="J129" s="67"/>
      <c r="K129" s="67"/>
      <c r="L129" s="67"/>
      <c r="M129" s="67"/>
      <c r="N129" s="67"/>
      <c r="O129" s="67"/>
      <c r="P129" s="67"/>
      <c r="Q129" s="67"/>
      <c r="R129" s="67"/>
      <c r="S129" s="67"/>
      <c r="T129" s="67"/>
      <c r="U129" s="67"/>
      <c r="V129" s="67"/>
      <c r="W129" s="67"/>
      <c r="X129" s="67"/>
      <c r="Y129" s="67"/>
      <c r="Z129" s="67"/>
    </row>
    <row r="130" spans="1:26" ht="12.5">
      <c r="A130" s="68" t="s">
        <v>287</v>
      </c>
      <c r="B130" s="68" t="s">
        <v>288</v>
      </c>
      <c r="C130" s="68" t="s">
        <v>312</v>
      </c>
      <c r="D130" s="68" t="s">
        <v>28</v>
      </c>
      <c r="E130" s="69">
        <v>2020</v>
      </c>
      <c r="F130" s="69">
        <v>23</v>
      </c>
      <c r="G130" s="69">
        <v>306.7</v>
      </c>
      <c r="H130" s="69">
        <v>5023</v>
      </c>
      <c r="I130" s="67"/>
      <c r="J130" s="67"/>
      <c r="K130" s="67"/>
      <c r="L130" s="67"/>
      <c r="M130" s="67"/>
      <c r="N130" s="67"/>
      <c r="O130" s="67"/>
      <c r="P130" s="67"/>
      <c r="Q130" s="67"/>
      <c r="R130" s="67"/>
      <c r="S130" s="67"/>
      <c r="T130" s="67"/>
      <c r="U130" s="67"/>
      <c r="V130" s="67"/>
      <c r="W130" s="67"/>
      <c r="X130" s="67"/>
      <c r="Y130" s="67"/>
      <c r="Z130" s="67"/>
    </row>
    <row r="131" spans="1:26" ht="12.5">
      <c r="A131" s="68" t="s">
        <v>287</v>
      </c>
      <c r="B131" s="68" t="s">
        <v>288</v>
      </c>
      <c r="C131" s="68" t="s">
        <v>314</v>
      </c>
      <c r="D131" s="68" t="s">
        <v>32</v>
      </c>
      <c r="E131" s="69">
        <v>2020</v>
      </c>
      <c r="F131" s="69">
        <v>6</v>
      </c>
      <c r="G131" s="69">
        <v>257.60000000000002</v>
      </c>
      <c r="H131" s="69">
        <v>23191</v>
      </c>
      <c r="I131" s="67"/>
      <c r="J131" s="67"/>
      <c r="K131" s="67"/>
      <c r="L131" s="67"/>
      <c r="M131" s="67"/>
      <c r="N131" s="67"/>
      <c r="O131" s="67"/>
      <c r="P131" s="67"/>
      <c r="Q131" s="67"/>
      <c r="R131" s="67"/>
      <c r="S131" s="67"/>
      <c r="T131" s="67"/>
      <c r="U131" s="67"/>
      <c r="V131" s="67"/>
      <c r="W131" s="67"/>
      <c r="X131" s="67"/>
      <c r="Y131" s="67"/>
      <c r="Z131" s="67"/>
    </row>
    <row r="132" spans="1:26" ht="12.5">
      <c r="A132" s="68" t="s">
        <v>287</v>
      </c>
      <c r="B132" s="68" t="s">
        <v>288</v>
      </c>
      <c r="C132" s="68" t="s">
        <v>316</v>
      </c>
      <c r="D132" s="68" t="s">
        <v>32</v>
      </c>
      <c r="E132" s="69">
        <v>2020</v>
      </c>
      <c r="F132" s="69">
        <v>51</v>
      </c>
      <c r="G132" s="69">
        <v>899.7</v>
      </c>
      <c r="H132" s="69">
        <v>24100</v>
      </c>
      <c r="I132" s="67"/>
      <c r="J132" s="67"/>
      <c r="K132" s="67"/>
      <c r="L132" s="67"/>
      <c r="M132" s="67"/>
      <c r="N132" s="67"/>
      <c r="O132" s="67"/>
      <c r="P132" s="67"/>
      <c r="Q132" s="67"/>
      <c r="R132" s="67"/>
      <c r="S132" s="67"/>
      <c r="T132" s="67"/>
      <c r="U132" s="67"/>
      <c r="V132" s="67"/>
      <c r="W132" s="67"/>
      <c r="X132" s="67"/>
      <c r="Y132" s="67"/>
      <c r="Z132" s="67"/>
    </row>
    <row r="133" spans="1:26" ht="12.5">
      <c r="A133" s="68" t="s">
        <v>287</v>
      </c>
      <c r="B133" s="68" t="s">
        <v>288</v>
      </c>
      <c r="C133" s="68" t="s">
        <v>318</v>
      </c>
      <c r="D133" s="68" t="s">
        <v>28</v>
      </c>
      <c r="E133" s="69">
        <v>2020</v>
      </c>
      <c r="F133" s="69">
        <v>4</v>
      </c>
      <c r="G133" s="69">
        <v>121.6</v>
      </c>
      <c r="H133" s="69">
        <v>5786</v>
      </c>
      <c r="I133" s="67"/>
      <c r="J133" s="67"/>
      <c r="K133" s="67"/>
      <c r="L133" s="67"/>
      <c r="M133" s="67"/>
      <c r="N133" s="67"/>
      <c r="O133" s="67"/>
      <c r="P133" s="67"/>
      <c r="Q133" s="67"/>
      <c r="R133" s="67"/>
      <c r="S133" s="67"/>
      <c r="T133" s="67"/>
      <c r="U133" s="67"/>
      <c r="V133" s="67"/>
      <c r="W133" s="67"/>
      <c r="X133" s="67"/>
      <c r="Y133" s="67"/>
      <c r="Z133" s="67"/>
    </row>
    <row r="134" spans="1:26" ht="12.5">
      <c r="A134" s="68" t="s">
        <v>287</v>
      </c>
      <c r="B134" s="68" t="s">
        <v>288</v>
      </c>
      <c r="C134" s="68" t="s">
        <v>320</v>
      </c>
      <c r="D134" s="68" t="s">
        <v>32</v>
      </c>
      <c r="E134" s="69">
        <v>2020</v>
      </c>
      <c r="F134" s="69">
        <v>23</v>
      </c>
      <c r="G134" s="69">
        <v>478.9</v>
      </c>
      <c r="H134" s="69">
        <v>14473</v>
      </c>
      <c r="I134" s="67"/>
      <c r="J134" s="67"/>
      <c r="K134" s="67"/>
      <c r="L134" s="67"/>
      <c r="M134" s="67"/>
      <c r="N134" s="67"/>
      <c r="O134" s="67"/>
      <c r="P134" s="67"/>
      <c r="Q134" s="67"/>
      <c r="R134" s="67"/>
      <c r="S134" s="67"/>
      <c r="T134" s="67"/>
      <c r="U134" s="67"/>
      <c r="V134" s="67"/>
      <c r="W134" s="67"/>
      <c r="X134" s="67"/>
      <c r="Y134" s="67"/>
      <c r="Z134" s="67"/>
    </row>
    <row r="135" spans="1:26" ht="12.5">
      <c r="A135" s="68" t="s">
        <v>287</v>
      </c>
      <c r="B135" s="68" t="s">
        <v>288</v>
      </c>
      <c r="C135" s="68" t="s">
        <v>322</v>
      </c>
      <c r="D135" s="68" t="s">
        <v>28</v>
      </c>
      <c r="E135" s="69">
        <v>2020</v>
      </c>
      <c r="F135" s="69">
        <v>11</v>
      </c>
      <c r="G135" s="69">
        <v>192.9</v>
      </c>
      <c r="H135" s="69">
        <v>4584</v>
      </c>
      <c r="I135" s="67"/>
      <c r="J135" s="67"/>
      <c r="K135" s="67"/>
      <c r="L135" s="67"/>
      <c r="M135" s="67"/>
      <c r="N135" s="67"/>
      <c r="O135" s="67"/>
      <c r="P135" s="67"/>
      <c r="Q135" s="67"/>
      <c r="R135" s="67"/>
      <c r="S135" s="67"/>
      <c r="T135" s="67"/>
      <c r="U135" s="67"/>
      <c r="V135" s="67"/>
      <c r="W135" s="67"/>
      <c r="X135" s="67"/>
      <c r="Y135" s="67"/>
      <c r="Z135" s="67"/>
    </row>
    <row r="136" spans="1:26" ht="12.5">
      <c r="A136" s="68" t="s">
        <v>287</v>
      </c>
      <c r="B136" s="68" t="s">
        <v>324</v>
      </c>
      <c r="C136" s="68" t="s">
        <v>325</v>
      </c>
      <c r="D136" s="68" t="s">
        <v>32</v>
      </c>
      <c r="E136" s="69">
        <v>2020</v>
      </c>
      <c r="F136" s="69">
        <v>42</v>
      </c>
      <c r="G136" s="69">
        <v>606.5</v>
      </c>
      <c r="H136" s="69">
        <v>10624</v>
      </c>
      <c r="I136" s="67"/>
      <c r="J136" s="67"/>
      <c r="K136" s="67"/>
      <c r="L136" s="67"/>
      <c r="M136" s="67"/>
      <c r="N136" s="67"/>
      <c r="O136" s="67"/>
      <c r="P136" s="67"/>
      <c r="Q136" s="67"/>
      <c r="R136" s="67"/>
      <c r="S136" s="67"/>
      <c r="T136" s="67"/>
      <c r="U136" s="67"/>
      <c r="V136" s="67"/>
      <c r="W136" s="67"/>
      <c r="X136" s="67"/>
      <c r="Y136" s="67"/>
      <c r="Z136" s="67"/>
    </row>
    <row r="137" spans="1:26" ht="12.5">
      <c r="A137" s="68" t="s">
        <v>287</v>
      </c>
      <c r="B137" s="68" t="s">
        <v>324</v>
      </c>
      <c r="C137" s="68" t="s">
        <v>327</v>
      </c>
      <c r="D137" s="68" t="s">
        <v>20</v>
      </c>
      <c r="E137" s="69">
        <v>2020</v>
      </c>
      <c r="F137" s="69">
        <v>48</v>
      </c>
      <c r="G137" s="69">
        <v>1030.5</v>
      </c>
      <c r="H137" s="69">
        <v>37577</v>
      </c>
      <c r="I137" s="67"/>
      <c r="J137" s="67"/>
      <c r="K137" s="67"/>
      <c r="L137" s="67"/>
      <c r="M137" s="67"/>
      <c r="N137" s="67"/>
      <c r="O137" s="67"/>
      <c r="P137" s="67"/>
      <c r="Q137" s="67"/>
      <c r="R137" s="67"/>
      <c r="S137" s="67"/>
      <c r="T137" s="67"/>
      <c r="U137" s="67"/>
      <c r="V137" s="67"/>
      <c r="W137" s="67"/>
      <c r="X137" s="67"/>
      <c r="Y137" s="67"/>
      <c r="Z137" s="67"/>
    </row>
    <row r="138" spans="1:26" ht="12.5">
      <c r="A138" s="68" t="s">
        <v>287</v>
      </c>
      <c r="B138" s="68" t="s">
        <v>324</v>
      </c>
      <c r="C138" s="68" t="s">
        <v>329</v>
      </c>
      <c r="D138" s="68" t="s">
        <v>20</v>
      </c>
      <c r="E138" s="69">
        <v>2020</v>
      </c>
      <c r="F138" s="69">
        <v>11</v>
      </c>
      <c r="G138" s="69">
        <v>151.19999999999999</v>
      </c>
      <c r="H138" s="69">
        <v>11953</v>
      </c>
      <c r="I138" s="67"/>
      <c r="J138" s="67"/>
      <c r="K138" s="67"/>
      <c r="L138" s="67"/>
      <c r="M138" s="67"/>
      <c r="N138" s="67"/>
      <c r="O138" s="67"/>
      <c r="P138" s="67"/>
      <c r="Q138" s="67"/>
      <c r="R138" s="67"/>
      <c r="S138" s="67"/>
      <c r="T138" s="67"/>
      <c r="U138" s="67"/>
      <c r="V138" s="67"/>
      <c r="W138" s="67"/>
      <c r="X138" s="67"/>
      <c r="Y138" s="67"/>
      <c r="Z138" s="67"/>
    </row>
    <row r="139" spans="1:26" ht="12.5">
      <c r="A139" s="68" t="s">
        <v>287</v>
      </c>
      <c r="B139" s="68" t="s">
        <v>324</v>
      </c>
      <c r="C139" s="68" t="s">
        <v>212</v>
      </c>
      <c r="D139" s="68" t="s">
        <v>32</v>
      </c>
      <c r="E139" s="69">
        <v>2020</v>
      </c>
      <c r="F139" s="69">
        <v>10</v>
      </c>
      <c r="G139" s="69">
        <v>213.2</v>
      </c>
      <c r="H139" s="69">
        <v>4440</v>
      </c>
      <c r="I139" s="67"/>
      <c r="J139" s="67"/>
      <c r="K139" s="67"/>
      <c r="L139" s="67"/>
      <c r="M139" s="67"/>
      <c r="N139" s="67"/>
      <c r="O139" s="67"/>
      <c r="P139" s="67"/>
      <c r="Q139" s="67"/>
      <c r="R139" s="67"/>
      <c r="S139" s="67"/>
      <c r="T139" s="67"/>
      <c r="U139" s="67"/>
      <c r="V139" s="67"/>
      <c r="W139" s="67"/>
      <c r="X139" s="67"/>
      <c r="Y139" s="67"/>
      <c r="Z139" s="67"/>
    </row>
    <row r="140" spans="1:26" ht="12.5">
      <c r="A140" s="68" t="s">
        <v>287</v>
      </c>
      <c r="B140" s="68" t="s">
        <v>324</v>
      </c>
      <c r="C140" s="68" t="s">
        <v>332</v>
      </c>
      <c r="D140" s="68" t="s">
        <v>20</v>
      </c>
      <c r="E140" s="69">
        <v>2020</v>
      </c>
      <c r="F140" s="69">
        <v>11</v>
      </c>
      <c r="G140" s="69">
        <v>151.9</v>
      </c>
      <c r="H140" s="69">
        <v>23768</v>
      </c>
      <c r="I140" s="67"/>
      <c r="J140" s="67"/>
      <c r="K140" s="67"/>
      <c r="L140" s="67"/>
      <c r="M140" s="67"/>
      <c r="N140" s="67"/>
      <c r="O140" s="67"/>
      <c r="P140" s="67"/>
      <c r="Q140" s="67"/>
      <c r="R140" s="67"/>
      <c r="S140" s="67"/>
      <c r="T140" s="67"/>
      <c r="U140" s="67"/>
      <c r="V140" s="67"/>
      <c r="W140" s="67"/>
      <c r="X140" s="67"/>
      <c r="Y140" s="67"/>
      <c r="Z140" s="67"/>
    </row>
    <row r="141" spans="1:26" ht="12.5">
      <c r="A141" s="68" t="s">
        <v>287</v>
      </c>
      <c r="B141" s="68" t="s">
        <v>324</v>
      </c>
      <c r="C141" s="68" t="s">
        <v>334</v>
      </c>
      <c r="D141" s="68" t="s">
        <v>20</v>
      </c>
      <c r="E141" s="69">
        <v>2020</v>
      </c>
      <c r="F141" s="69">
        <v>4</v>
      </c>
      <c r="G141" s="69">
        <v>79.099999999999994</v>
      </c>
      <c r="H141" s="69">
        <v>44376</v>
      </c>
      <c r="I141" s="67"/>
      <c r="J141" s="67"/>
      <c r="K141" s="67"/>
      <c r="L141" s="67"/>
      <c r="M141" s="67"/>
      <c r="N141" s="67"/>
      <c r="O141" s="67"/>
      <c r="P141" s="67"/>
      <c r="Q141" s="67"/>
      <c r="R141" s="67"/>
      <c r="S141" s="67"/>
      <c r="T141" s="67"/>
      <c r="U141" s="67"/>
      <c r="V141" s="67"/>
      <c r="W141" s="67"/>
      <c r="X141" s="67"/>
      <c r="Y141" s="67"/>
      <c r="Z141" s="67"/>
    </row>
    <row r="142" spans="1:26" ht="12.5">
      <c r="A142" s="68" t="s">
        <v>287</v>
      </c>
      <c r="B142" s="68" t="s">
        <v>324</v>
      </c>
      <c r="C142" s="68" t="s">
        <v>336</v>
      </c>
      <c r="D142" s="68" t="s">
        <v>28</v>
      </c>
      <c r="E142" s="69">
        <v>2020</v>
      </c>
      <c r="F142" s="69">
        <v>23</v>
      </c>
      <c r="G142" s="69">
        <v>372.1</v>
      </c>
      <c r="H142" s="69">
        <v>3888</v>
      </c>
      <c r="I142" s="67"/>
      <c r="J142" s="67"/>
      <c r="K142" s="67"/>
      <c r="L142" s="67"/>
      <c r="M142" s="67"/>
      <c r="N142" s="67"/>
      <c r="O142" s="67"/>
      <c r="P142" s="67"/>
      <c r="Q142" s="67"/>
      <c r="R142" s="67"/>
      <c r="S142" s="67"/>
      <c r="T142" s="67"/>
      <c r="U142" s="67"/>
      <c r="V142" s="67"/>
      <c r="W142" s="67"/>
      <c r="X142" s="67"/>
      <c r="Y142" s="67"/>
      <c r="Z142" s="67"/>
    </row>
    <row r="143" spans="1:26" ht="12.5">
      <c r="A143" s="68" t="s">
        <v>287</v>
      </c>
      <c r="B143" s="68" t="s">
        <v>324</v>
      </c>
      <c r="C143" s="68" t="s">
        <v>338</v>
      </c>
      <c r="D143" s="68" t="s">
        <v>20</v>
      </c>
      <c r="E143" s="69">
        <v>2020</v>
      </c>
      <c r="F143" s="69">
        <v>3</v>
      </c>
      <c r="G143" s="69">
        <v>136.30000000000001</v>
      </c>
      <c r="H143" s="69">
        <v>236672</v>
      </c>
      <c r="I143" s="67"/>
      <c r="J143" s="67"/>
      <c r="K143" s="67"/>
      <c r="L143" s="67"/>
      <c r="M143" s="67"/>
      <c r="N143" s="67"/>
      <c r="O143" s="67"/>
      <c r="P143" s="67"/>
      <c r="Q143" s="67"/>
      <c r="R143" s="67"/>
      <c r="S143" s="67"/>
      <c r="T143" s="67"/>
      <c r="U143" s="67"/>
      <c r="V143" s="67"/>
      <c r="W143" s="67"/>
      <c r="X143" s="67"/>
      <c r="Y143" s="67"/>
      <c r="Z143" s="67"/>
    </row>
    <row r="144" spans="1:26" ht="12.5">
      <c r="A144" s="68" t="s">
        <v>287</v>
      </c>
      <c r="B144" s="68" t="s">
        <v>324</v>
      </c>
      <c r="C144" s="68" t="s">
        <v>340</v>
      </c>
      <c r="D144" s="68" t="s">
        <v>32</v>
      </c>
      <c r="E144" s="69">
        <v>2020</v>
      </c>
      <c r="F144" s="69">
        <v>46</v>
      </c>
      <c r="G144" s="69">
        <v>689.5</v>
      </c>
      <c r="H144" s="69">
        <v>19105</v>
      </c>
      <c r="I144" s="67"/>
      <c r="J144" s="67"/>
      <c r="K144" s="67"/>
      <c r="L144" s="67"/>
      <c r="M144" s="67"/>
      <c r="N144" s="67"/>
      <c r="O144" s="67"/>
      <c r="P144" s="67"/>
      <c r="Q144" s="67"/>
      <c r="R144" s="67"/>
      <c r="S144" s="67"/>
      <c r="T144" s="67"/>
      <c r="U144" s="67"/>
      <c r="V144" s="67"/>
      <c r="W144" s="67"/>
      <c r="X144" s="67"/>
      <c r="Y144" s="67"/>
      <c r="Z144" s="67"/>
    </row>
    <row r="145" spans="1:26" ht="12.5">
      <c r="A145" s="68" t="s">
        <v>287</v>
      </c>
      <c r="B145" s="68" t="s">
        <v>324</v>
      </c>
      <c r="C145" s="68" t="s">
        <v>342</v>
      </c>
      <c r="D145" s="68" t="s">
        <v>32</v>
      </c>
      <c r="E145" s="69">
        <v>2020</v>
      </c>
      <c r="F145" s="69">
        <v>26</v>
      </c>
      <c r="G145" s="69">
        <v>466.5</v>
      </c>
      <c r="H145" s="69">
        <v>4846</v>
      </c>
      <c r="I145" s="67"/>
      <c r="J145" s="67"/>
      <c r="K145" s="67"/>
      <c r="L145" s="67"/>
      <c r="M145" s="67"/>
      <c r="N145" s="67"/>
      <c r="O145" s="67"/>
      <c r="P145" s="67"/>
      <c r="Q145" s="67"/>
      <c r="R145" s="67"/>
      <c r="S145" s="67"/>
      <c r="T145" s="67"/>
      <c r="U145" s="67"/>
      <c r="V145" s="67"/>
      <c r="W145" s="67"/>
      <c r="X145" s="67"/>
      <c r="Y145" s="67"/>
      <c r="Z145" s="67"/>
    </row>
    <row r="146" spans="1:26" ht="12.5">
      <c r="A146" s="68" t="s">
        <v>287</v>
      </c>
      <c r="B146" s="68" t="s">
        <v>324</v>
      </c>
      <c r="C146" s="68" t="s">
        <v>344</v>
      </c>
      <c r="D146" s="68" t="s">
        <v>20</v>
      </c>
      <c r="E146" s="69">
        <v>2020</v>
      </c>
      <c r="F146" s="69">
        <v>31</v>
      </c>
      <c r="G146" s="69">
        <v>500.3</v>
      </c>
      <c r="H146" s="69">
        <v>25840</v>
      </c>
      <c r="I146" s="67"/>
      <c r="J146" s="67"/>
      <c r="K146" s="67"/>
      <c r="L146" s="67"/>
      <c r="M146" s="67"/>
      <c r="N146" s="67"/>
      <c r="O146" s="67"/>
      <c r="P146" s="67"/>
      <c r="Q146" s="67"/>
      <c r="R146" s="67"/>
      <c r="S146" s="67"/>
      <c r="T146" s="67"/>
      <c r="U146" s="67"/>
      <c r="V146" s="67"/>
      <c r="W146" s="67"/>
      <c r="X146" s="67"/>
      <c r="Y146" s="67"/>
      <c r="Z146" s="67"/>
    </row>
    <row r="147" spans="1:26" ht="12.5">
      <c r="A147" s="68" t="s">
        <v>287</v>
      </c>
      <c r="B147" s="68" t="s">
        <v>324</v>
      </c>
      <c r="C147" s="68" t="s">
        <v>346</v>
      </c>
      <c r="D147" s="68" t="s">
        <v>28</v>
      </c>
      <c r="E147" s="69">
        <v>2020</v>
      </c>
      <c r="F147" s="69">
        <v>19</v>
      </c>
      <c r="G147" s="69">
        <v>406.3</v>
      </c>
      <c r="H147" s="69">
        <v>6977</v>
      </c>
      <c r="I147" s="67"/>
      <c r="J147" s="67"/>
      <c r="K147" s="67"/>
      <c r="L147" s="67"/>
      <c r="M147" s="67"/>
      <c r="N147" s="67"/>
      <c r="O147" s="67"/>
      <c r="P147" s="67"/>
      <c r="Q147" s="67"/>
      <c r="R147" s="67"/>
      <c r="S147" s="67"/>
      <c r="T147" s="67"/>
      <c r="U147" s="67"/>
      <c r="V147" s="67"/>
      <c r="W147" s="67"/>
      <c r="X147" s="67"/>
      <c r="Y147" s="67"/>
      <c r="Z147" s="67"/>
    </row>
    <row r="148" spans="1:26" ht="12.5">
      <c r="A148" s="68" t="s">
        <v>287</v>
      </c>
      <c r="B148" s="68" t="s">
        <v>348</v>
      </c>
      <c r="C148" s="68" t="s">
        <v>349</v>
      </c>
      <c r="D148" s="68" t="s">
        <v>20</v>
      </c>
      <c r="E148" s="69">
        <v>2020</v>
      </c>
      <c r="F148" s="69">
        <v>20</v>
      </c>
      <c r="G148" s="69">
        <v>676.5</v>
      </c>
      <c r="H148" s="69">
        <v>22208</v>
      </c>
      <c r="I148" s="67"/>
      <c r="J148" s="67"/>
      <c r="K148" s="67"/>
      <c r="L148" s="67"/>
      <c r="M148" s="67"/>
      <c r="N148" s="67"/>
      <c r="O148" s="67"/>
      <c r="P148" s="67"/>
      <c r="Q148" s="67"/>
      <c r="R148" s="67"/>
      <c r="S148" s="67"/>
      <c r="T148" s="67"/>
      <c r="U148" s="67"/>
      <c r="V148" s="67"/>
      <c r="W148" s="67"/>
      <c r="X148" s="67"/>
      <c r="Y148" s="67"/>
      <c r="Z148" s="67"/>
    </row>
    <row r="149" spans="1:26" ht="12.5">
      <c r="A149" s="68" t="s">
        <v>287</v>
      </c>
      <c r="B149" s="68" t="s">
        <v>348</v>
      </c>
      <c r="C149" s="68" t="s">
        <v>351</v>
      </c>
      <c r="D149" s="68" t="s">
        <v>28</v>
      </c>
      <c r="E149" s="69">
        <v>2020</v>
      </c>
      <c r="F149" s="69">
        <v>18</v>
      </c>
      <c r="G149" s="69">
        <v>285.3</v>
      </c>
      <c r="H149" s="69">
        <v>2838</v>
      </c>
      <c r="I149" s="67"/>
      <c r="J149" s="67"/>
      <c r="K149" s="67"/>
      <c r="L149" s="67"/>
      <c r="M149" s="67"/>
      <c r="N149" s="67"/>
      <c r="O149" s="67"/>
      <c r="P149" s="67"/>
      <c r="Q149" s="67"/>
      <c r="R149" s="67"/>
      <c r="S149" s="67"/>
      <c r="T149" s="67"/>
      <c r="U149" s="67"/>
      <c r="V149" s="67"/>
      <c r="W149" s="67"/>
      <c r="X149" s="67"/>
      <c r="Y149" s="67"/>
      <c r="Z149" s="67"/>
    </row>
    <row r="150" spans="1:26" ht="12.5">
      <c r="A150" s="68" t="s">
        <v>287</v>
      </c>
      <c r="B150" s="68" t="s">
        <v>348</v>
      </c>
      <c r="C150" s="68" t="s">
        <v>353</v>
      </c>
      <c r="D150" s="68" t="s">
        <v>28</v>
      </c>
      <c r="E150" s="69">
        <v>2020</v>
      </c>
      <c r="F150" s="69">
        <v>19</v>
      </c>
      <c r="G150" s="69">
        <v>343.6</v>
      </c>
      <c r="H150" s="69">
        <v>7675</v>
      </c>
      <c r="I150" s="67"/>
      <c r="J150" s="67"/>
      <c r="K150" s="67"/>
      <c r="L150" s="67"/>
      <c r="M150" s="67"/>
      <c r="N150" s="67"/>
      <c r="O150" s="67"/>
      <c r="P150" s="67"/>
      <c r="Q150" s="67"/>
      <c r="R150" s="67"/>
      <c r="S150" s="67"/>
      <c r="T150" s="67"/>
      <c r="U150" s="67"/>
      <c r="V150" s="67"/>
      <c r="W150" s="67"/>
      <c r="X150" s="67"/>
      <c r="Y150" s="67"/>
      <c r="Z150" s="67"/>
    </row>
    <row r="151" spans="1:26" ht="12.5">
      <c r="A151" s="68" t="s">
        <v>287</v>
      </c>
      <c r="B151" s="68" t="s">
        <v>348</v>
      </c>
      <c r="C151" s="68" t="s">
        <v>355</v>
      </c>
      <c r="D151" s="68" t="s">
        <v>28</v>
      </c>
      <c r="E151" s="69">
        <v>2020</v>
      </c>
      <c r="F151" s="69">
        <v>15</v>
      </c>
      <c r="G151" s="69">
        <v>257</v>
      </c>
      <c r="H151" s="69">
        <v>4512</v>
      </c>
      <c r="I151" s="67"/>
      <c r="J151" s="67"/>
      <c r="K151" s="67"/>
      <c r="L151" s="67"/>
      <c r="M151" s="67"/>
      <c r="N151" s="67"/>
      <c r="O151" s="67"/>
      <c r="P151" s="67"/>
      <c r="Q151" s="67"/>
      <c r="R151" s="67"/>
      <c r="S151" s="67"/>
      <c r="T151" s="67"/>
      <c r="U151" s="67"/>
      <c r="V151" s="67"/>
      <c r="W151" s="67"/>
      <c r="X151" s="67"/>
      <c r="Y151" s="67"/>
      <c r="Z151" s="67"/>
    </row>
    <row r="152" spans="1:26" ht="12.5">
      <c r="A152" s="68" t="s">
        <v>287</v>
      </c>
      <c r="B152" s="68" t="s">
        <v>348</v>
      </c>
      <c r="C152" s="68" t="s">
        <v>357</v>
      </c>
      <c r="D152" s="68" t="s">
        <v>28</v>
      </c>
      <c r="E152" s="69">
        <v>2020</v>
      </c>
      <c r="F152" s="69">
        <v>7</v>
      </c>
      <c r="G152" s="69">
        <v>268</v>
      </c>
      <c r="H152" s="69">
        <v>6174</v>
      </c>
      <c r="I152" s="67"/>
      <c r="J152" s="67"/>
      <c r="K152" s="67"/>
      <c r="L152" s="67"/>
      <c r="M152" s="67"/>
      <c r="N152" s="67"/>
      <c r="O152" s="67"/>
      <c r="P152" s="67"/>
      <c r="Q152" s="67"/>
      <c r="R152" s="67"/>
      <c r="S152" s="67"/>
      <c r="T152" s="67"/>
      <c r="U152" s="67"/>
      <c r="V152" s="67"/>
      <c r="W152" s="67"/>
      <c r="X152" s="67"/>
      <c r="Y152" s="67"/>
      <c r="Z152" s="67"/>
    </row>
    <row r="153" spans="1:26" ht="12.5">
      <c r="A153" s="68" t="s">
        <v>287</v>
      </c>
      <c r="B153" s="68" t="s">
        <v>348</v>
      </c>
      <c r="C153" s="68" t="s">
        <v>359</v>
      </c>
      <c r="D153" s="68" t="s">
        <v>28</v>
      </c>
      <c r="E153" s="69">
        <v>2020</v>
      </c>
      <c r="F153" s="69">
        <v>34</v>
      </c>
      <c r="G153" s="69">
        <v>408.6</v>
      </c>
      <c r="H153" s="69">
        <v>5255</v>
      </c>
      <c r="I153" s="67"/>
      <c r="J153" s="67"/>
      <c r="K153" s="67"/>
      <c r="L153" s="67"/>
      <c r="M153" s="67"/>
      <c r="N153" s="67"/>
      <c r="O153" s="67"/>
      <c r="P153" s="67"/>
      <c r="Q153" s="67"/>
      <c r="R153" s="67"/>
      <c r="S153" s="67"/>
      <c r="T153" s="67"/>
      <c r="U153" s="67"/>
      <c r="V153" s="67"/>
      <c r="W153" s="67"/>
      <c r="X153" s="67"/>
      <c r="Y153" s="67"/>
      <c r="Z153" s="67"/>
    </row>
    <row r="154" spans="1:26" ht="12.5">
      <c r="A154" s="68" t="s">
        <v>287</v>
      </c>
      <c r="B154" s="68" t="s">
        <v>348</v>
      </c>
      <c r="C154" s="68" t="s">
        <v>361</v>
      </c>
      <c r="D154" s="68" t="s">
        <v>20</v>
      </c>
      <c r="E154" s="69">
        <v>2020</v>
      </c>
      <c r="F154" s="69">
        <v>4</v>
      </c>
      <c r="G154" s="69">
        <v>310.39999999999998</v>
      </c>
      <c r="H154" s="69">
        <v>18637</v>
      </c>
      <c r="I154" s="67"/>
      <c r="J154" s="67"/>
      <c r="K154" s="67"/>
      <c r="L154" s="67"/>
      <c r="M154" s="67"/>
      <c r="N154" s="67"/>
      <c r="O154" s="67"/>
      <c r="P154" s="67"/>
      <c r="Q154" s="67"/>
      <c r="R154" s="67"/>
      <c r="S154" s="67"/>
      <c r="T154" s="67"/>
      <c r="U154" s="67"/>
      <c r="V154" s="67"/>
      <c r="W154" s="67"/>
      <c r="X154" s="67"/>
      <c r="Y154" s="67"/>
      <c r="Z154" s="67"/>
    </row>
    <row r="155" spans="1:26" ht="12.5">
      <c r="A155" s="68" t="s">
        <v>287</v>
      </c>
      <c r="B155" s="68" t="s">
        <v>348</v>
      </c>
      <c r="C155" s="68" t="s">
        <v>363</v>
      </c>
      <c r="D155" s="68" t="s">
        <v>28</v>
      </c>
      <c r="E155" s="69">
        <v>2020</v>
      </c>
      <c r="F155" s="69">
        <v>26</v>
      </c>
      <c r="G155" s="69">
        <v>366.2</v>
      </c>
      <c r="H155" s="69">
        <v>5377</v>
      </c>
      <c r="I155" s="67"/>
      <c r="J155" s="67"/>
      <c r="K155" s="67"/>
      <c r="L155" s="67"/>
      <c r="M155" s="67"/>
      <c r="N155" s="67"/>
      <c r="O155" s="67"/>
      <c r="P155" s="67"/>
      <c r="Q155" s="67"/>
      <c r="R155" s="67"/>
      <c r="S155" s="67"/>
      <c r="T155" s="67"/>
      <c r="U155" s="67"/>
      <c r="V155" s="67"/>
      <c r="W155" s="67"/>
      <c r="X155" s="67"/>
      <c r="Y155" s="67"/>
      <c r="Z155" s="67"/>
    </row>
    <row r="156" spans="1:26" ht="12.5">
      <c r="A156" s="68" t="s">
        <v>287</v>
      </c>
      <c r="B156" s="68" t="s">
        <v>348</v>
      </c>
      <c r="C156" s="68" t="s">
        <v>365</v>
      </c>
      <c r="D156" s="68" t="s">
        <v>20</v>
      </c>
      <c r="E156" s="69">
        <v>2020</v>
      </c>
      <c r="F156" s="69">
        <v>6</v>
      </c>
      <c r="G156" s="69">
        <v>431.9</v>
      </c>
      <c r="H156" s="69">
        <v>615492</v>
      </c>
      <c r="I156" s="67"/>
      <c r="J156" s="67"/>
      <c r="K156" s="67"/>
      <c r="L156" s="67"/>
      <c r="M156" s="67"/>
      <c r="N156" s="67"/>
      <c r="O156" s="67"/>
      <c r="P156" s="67"/>
      <c r="Q156" s="67"/>
      <c r="R156" s="67"/>
      <c r="S156" s="67"/>
      <c r="T156" s="67"/>
      <c r="U156" s="67"/>
      <c r="V156" s="67"/>
      <c r="W156" s="67"/>
      <c r="X156" s="67"/>
      <c r="Y156" s="67"/>
      <c r="Z156" s="67"/>
    </row>
    <row r="157" spans="1:26" ht="12.5">
      <c r="A157" s="68" t="s">
        <v>287</v>
      </c>
      <c r="B157" s="68" t="s">
        <v>348</v>
      </c>
      <c r="C157" s="68" t="s">
        <v>367</v>
      </c>
      <c r="D157" s="68" t="s">
        <v>28</v>
      </c>
      <c r="E157" s="69">
        <v>2020</v>
      </c>
      <c r="F157" s="69">
        <v>32</v>
      </c>
      <c r="G157" s="69">
        <v>563.79999999999995</v>
      </c>
      <c r="H157" s="69">
        <v>18910</v>
      </c>
      <c r="I157" s="67"/>
      <c r="J157" s="67"/>
      <c r="K157" s="67"/>
      <c r="L157" s="67"/>
      <c r="M157" s="67"/>
      <c r="N157" s="67"/>
      <c r="O157" s="67"/>
      <c r="P157" s="67"/>
      <c r="Q157" s="67"/>
      <c r="R157" s="67"/>
      <c r="S157" s="67"/>
      <c r="T157" s="67"/>
      <c r="U157" s="67"/>
      <c r="V157" s="67"/>
      <c r="W157" s="67"/>
      <c r="X157" s="67"/>
      <c r="Y157" s="67"/>
      <c r="Z157" s="67"/>
    </row>
    <row r="158" spans="1:26" ht="12.5">
      <c r="A158" s="68" t="s">
        <v>287</v>
      </c>
      <c r="B158" s="68" t="s">
        <v>348</v>
      </c>
      <c r="C158" s="68" t="s">
        <v>369</v>
      </c>
      <c r="D158" s="68" t="s">
        <v>28</v>
      </c>
      <c r="E158" s="69">
        <v>2020</v>
      </c>
      <c r="F158" s="69">
        <v>8</v>
      </c>
      <c r="G158" s="69">
        <v>129.30000000000001</v>
      </c>
      <c r="H158" s="69">
        <v>4635</v>
      </c>
      <c r="I158" s="67"/>
      <c r="J158" s="67"/>
      <c r="K158" s="67"/>
      <c r="L158" s="67"/>
      <c r="M158" s="67"/>
      <c r="N158" s="67"/>
      <c r="O158" s="67"/>
      <c r="P158" s="67"/>
      <c r="Q158" s="67"/>
      <c r="R158" s="67"/>
      <c r="S158" s="67"/>
      <c r="T158" s="67"/>
      <c r="U158" s="67"/>
      <c r="V158" s="67"/>
      <c r="W158" s="67"/>
      <c r="X158" s="67"/>
      <c r="Y158" s="67"/>
      <c r="Z158" s="67"/>
    </row>
    <row r="159" spans="1:26" ht="12.5">
      <c r="A159" s="68" t="s">
        <v>287</v>
      </c>
      <c r="B159" s="68" t="s">
        <v>348</v>
      </c>
      <c r="C159" s="68" t="s">
        <v>371</v>
      </c>
      <c r="D159" s="68" t="s">
        <v>28</v>
      </c>
      <c r="E159" s="69">
        <v>2020</v>
      </c>
      <c r="F159" s="69">
        <v>11</v>
      </c>
      <c r="G159" s="69">
        <v>267.3</v>
      </c>
      <c r="H159" s="69">
        <v>2507</v>
      </c>
      <c r="I159" s="67"/>
      <c r="J159" s="67"/>
      <c r="K159" s="67"/>
      <c r="L159" s="67"/>
      <c r="M159" s="67"/>
      <c r="N159" s="67"/>
      <c r="O159" s="67"/>
      <c r="P159" s="67"/>
      <c r="Q159" s="67"/>
      <c r="R159" s="67"/>
      <c r="S159" s="67"/>
      <c r="T159" s="67"/>
      <c r="U159" s="67"/>
      <c r="V159" s="67"/>
      <c r="W159" s="67"/>
      <c r="X159" s="67"/>
      <c r="Y159" s="67"/>
      <c r="Z159" s="67"/>
    </row>
    <row r="160" spans="1:26" ht="12.5">
      <c r="A160" s="68" t="s">
        <v>287</v>
      </c>
      <c r="B160" s="68" t="s">
        <v>348</v>
      </c>
      <c r="C160" s="68" t="s">
        <v>373</v>
      </c>
      <c r="D160" s="68" t="s">
        <v>28</v>
      </c>
      <c r="E160" s="69">
        <v>2020</v>
      </c>
      <c r="F160" s="69">
        <v>38</v>
      </c>
      <c r="G160" s="69">
        <v>444.8</v>
      </c>
      <c r="H160" s="69">
        <v>16631</v>
      </c>
      <c r="I160" s="67"/>
      <c r="J160" s="67"/>
      <c r="K160" s="67"/>
      <c r="L160" s="67"/>
      <c r="M160" s="67"/>
      <c r="N160" s="67"/>
      <c r="O160" s="67"/>
      <c r="P160" s="67"/>
      <c r="Q160" s="67"/>
      <c r="R160" s="67"/>
      <c r="S160" s="67"/>
      <c r="T160" s="67"/>
      <c r="U160" s="67"/>
      <c r="V160" s="67"/>
      <c r="W160" s="67"/>
      <c r="X160" s="67"/>
      <c r="Y160" s="67"/>
      <c r="Z160" s="67"/>
    </row>
    <row r="161" spans="1:26" ht="12.5">
      <c r="A161" s="68" t="s">
        <v>287</v>
      </c>
      <c r="B161" s="68" t="s">
        <v>348</v>
      </c>
      <c r="C161" s="68" t="s">
        <v>375</v>
      </c>
      <c r="D161" s="68" t="s">
        <v>32</v>
      </c>
      <c r="E161" s="69">
        <v>2020</v>
      </c>
      <c r="F161" s="69">
        <v>29</v>
      </c>
      <c r="G161" s="69">
        <v>667.9</v>
      </c>
      <c r="H161" s="69">
        <v>12074</v>
      </c>
      <c r="I161" s="67"/>
      <c r="J161" s="67"/>
      <c r="K161" s="67"/>
      <c r="L161" s="67"/>
      <c r="M161" s="67"/>
      <c r="N161" s="67"/>
      <c r="O161" s="67"/>
      <c r="P161" s="67"/>
      <c r="Q161" s="67"/>
      <c r="R161" s="67"/>
      <c r="S161" s="67"/>
      <c r="T161" s="67"/>
      <c r="U161" s="67"/>
      <c r="V161" s="67"/>
      <c r="W161" s="67"/>
      <c r="X161" s="67"/>
      <c r="Y161" s="67"/>
      <c r="Z161" s="67"/>
    </row>
    <row r="162" spans="1:26" ht="12.5">
      <c r="A162" s="68" t="s">
        <v>287</v>
      </c>
      <c r="B162" s="68" t="s">
        <v>348</v>
      </c>
      <c r="C162" s="68" t="s">
        <v>377</v>
      </c>
      <c r="D162" s="68" t="s">
        <v>32</v>
      </c>
      <c r="E162" s="69">
        <v>2020</v>
      </c>
      <c r="F162" s="69">
        <v>16</v>
      </c>
      <c r="G162" s="69">
        <v>304.3</v>
      </c>
      <c r="H162" s="69">
        <v>12742</v>
      </c>
      <c r="I162" s="67"/>
      <c r="J162" s="67"/>
      <c r="K162" s="67"/>
      <c r="L162" s="67"/>
      <c r="M162" s="67"/>
      <c r="N162" s="67"/>
      <c r="O162" s="67"/>
      <c r="P162" s="67"/>
      <c r="Q162" s="67"/>
      <c r="R162" s="67"/>
      <c r="S162" s="67"/>
      <c r="T162" s="67"/>
      <c r="U162" s="67"/>
      <c r="V162" s="67"/>
      <c r="W162" s="67"/>
      <c r="X162" s="67"/>
      <c r="Y162" s="67"/>
      <c r="Z162" s="67"/>
    </row>
    <row r="163" spans="1:26" ht="12.5">
      <c r="A163" s="68" t="s">
        <v>287</v>
      </c>
      <c r="B163" s="68" t="s">
        <v>379</v>
      </c>
      <c r="C163" s="68" t="s">
        <v>380</v>
      </c>
      <c r="D163" s="68" t="s">
        <v>32</v>
      </c>
      <c r="E163" s="69">
        <v>2020</v>
      </c>
      <c r="F163" s="69">
        <v>25</v>
      </c>
      <c r="G163" s="69">
        <v>748.3</v>
      </c>
      <c r="H163" s="69">
        <v>18173</v>
      </c>
      <c r="I163" s="67"/>
      <c r="J163" s="67"/>
      <c r="K163" s="67"/>
      <c r="L163" s="67"/>
      <c r="M163" s="67"/>
      <c r="N163" s="67"/>
      <c r="O163" s="67"/>
      <c r="P163" s="67"/>
      <c r="Q163" s="67"/>
      <c r="R163" s="67"/>
      <c r="S163" s="67"/>
      <c r="T163" s="67"/>
      <c r="U163" s="67"/>
      <c r="V163" s="67"/>
      <c r="W163" s="67"/>
      <c r="X163" s="67"/>
      <c r="Y163" s="67"/>
      <c r="Z163" s="67"/>
    </row>
    <row r="164" spans="1:26" ht="12.5">
      <c r="A164" s="68" t="s">
        <v>287</v>
      </c>
      <c r="B164" s="68" t="s">
        <v>379</v>
      </c>
      <c r="C164" s="68" t="s">
        <v>382</v>
      </c>
      <c r="D164" s="68" t="s">
        <v>28</v>
      </c>
      <c r="E164" s="69">
        <v>2020</v>
      </c>
      <c r="F164" s="69">
        <v>8</v>
      </c>
      <c r="G164" s="69">
        <v>298.10000000000002</v>
      </c>
      <c r="H164" s="69">
        <v>5086</v>
      </c>
      <c r="I164" s="67"/>
      <c r="J164" s="67"/>
      <c r="K164" s="67"/>
      <c r="L164" s="67"/>
      <c r="M164" s="67"/>
      <c r="N164" s="67"/>
      <c r="O164" s="67"/>
      <c r="P164" s="67"/>
      <c r="Q164" s="67"/>
      <c r="R164" s="67"/>
      <c r="S164" s="67"/>
      <c r="T164" s="67"/>
      <c r="U164" s="67"/>
      <c r="V164" s="67"/>
      <c r="W164" s="67"/>
      <c r="X164" s="67"/>
      <c r="Y164" s="67"/>
      <c r="Z164" s="67"/>
    </row>
    <row r="165" spans="1:26" ht="12.5">
      <c r="A165" s="68" t="s">
        <v>287</v>
      </c>
      <c r="B165" s="68" t="s">
        <v>379</v>
      </c>
      <c r="C165" s="68" t="s">
        <v>384</v>
      </c>
      <c r="D165" s="68" t="s">
        <v>32</v>
      </c>
      <c r="E165" s="69">
        <v>2020</v>
      </c>
      <c r="F165" s="69">
        <v>36</v>
      </c>
      <c r="G165" s="69">
        <v>923.4</v>
      </c>
      <c r="H165" s="69">
        <v>21442</v>
      </c>
      <c r="I165" s="67"/>
      <c r="J165" s="67"/>
      <c r="K165" s="67"/>
      <c r="L165" s="67"/>
      <c r="M165" s="67"/>
      <c r="N165" s="67"/>
      <c r="O165" s="67"/>
      <c r="P165" s="67"/>
      <c r="Q165" s="67"/>
      <c r="R165" s="67"/>
      <c r="S165" s="67"/>
      <c r="T165" s="67"/>
      <c r="U165" s="67"/>
      <c r="V165" s="67"/>
      <c r="W165" s="67"/>
      <c r="X165" s="67"/>
      <c r="Y165" s="67"/>
      <c r="Z165" s="67"/>
    </row>
    <row r="166" spans="1:26" ht="12.5">
      <c r="A166" s="68" t="s">
        <v>287</v>
      </c>
      <c r="B166" s="68" t="s">
        <v>379</v>
      </c>
      <c r="C166" s="68" t="s">
        <v>386</v>
      </c>
      <c r="D166" s="68" t="s">
        <v>20</v>
      </c>
      <c r="E166" s="69">
        <v>2020</v>
      </c>
      <c r="F166" s="69">
        <v>1</v>
      </c>
      <c r="G166" s="69">
        <v>36</v>
      </c>
      <c r="H166" s="69">
        <v>70230</v>
      </c>
      <c r="I166" s="67"/>
      <c r="J166" s="67"/>
      <c r="K166" s="67"/>
      <c r="L166" s="67"/>
      <c r="M166" s="67"/>
      <c r="N166" s="67"/>
      <c r="O166" s="67"/>
      <c r="P166" s="67"/>
      <c r="Q166" s="67"/>
      <c r="R166" s="67"/>
      <c r="S166" s="67"/>
      <c r="T166" s="67"/>
      <c r="U166" s="67"/>
      <c r="V166" s="67"/>
      <c r="W166" s="67"/>
      <c r="X166" s="67"/>
      <c r="Y166" s="67"/>
      <c r="Z166" s="67"/>
    </row>
    <row r="167" spans="1:26" ht="12.5">
      <c r="A167" s="68" t="s">
        <v>287</v>
      </c>
      <c r="B167" s="68" t="s">
        <v>379</v>
      </c>
      <c r="C167" s="68" t="s">
        <v>388</v>
      </c>
      <c r="D167" s="68" t="s">
        <v>20</v>
      </c>
      <c r="E167" s="69">
        <v>2020</v>
      </c>
      <c r="F167" s="69">
        <v>21</v>
      </c>
      <c r="G167" s="69">
        <v>575.70000000000005</v>
      </c>
      <c r="H167" s="69">
        <v>20639</v>
      </c>
      <c r="I167" s="67"/>
      <c r="J167" s="67"/>
      <c r="K167" s="67"/>
      <c r="L167" s="67"/>
      <c r="M167" s="67"/>
      <c r="N167" s="67"/>
      <c r="O167" s="67"/>
      <c r="P167" s="67"/>
      <c r="Q167" s="67"/>
      <c r="R167" s="67"/>
      <c r="S167" s="67"/>
      <c r="T167" s="67"/>
      <c r="U167" s="67"/>
      <c r="V167" s="67"/>
      <c r="W167" s="67"/>
      <c r="X167" s="67"/>
      <c r="Y167" s="67"/>
      <c r="Z167" s="67"/>
    </row>
    <row r="168" spans="1:26" ht="12.5">
      <c r="A168" s="68" t="s">
        <v>287</v>
      </c>
      <c r="B168" s="68" t="s">
        <v>379</v>
      </c>
      <c r="C168" s="68" t="s">
        <v>140</v>
      </c>
      <c r="D168" s="68" t="s">
        <v>28</v>
      </c>
      <c r="E168" s="69">
        <v>2020</v>
      </c>
      <c r="F168" s="69">
        <v>9</v>
      </c>
      <c r="G168" s="69">
        <v>399.2</v>
      </c>
      <c r="H168" s="69">
        <v>18668</v>
      </c>
      <c r="I168" s="67"/>
      <c r="J168" s="67"/>
      <c r="K168" s="67"/>
      <c r="L168" s="67"/>
      <c r="M168" s="67"/>
      <c r="N168" s="67"/>
      <c r="O168" s="67"/>
      <c r="P168" s="67"/>
      <c r="Q168" s="67"/>
      <c r="R168" s="67"/>
      <c r="S168" s="67"/>
      <c r="T168" s="67"/>
      <c r="U168" s="67"/>
      <c r="V168" s="67"/>
      <c r="W168" s="67"/>
      <c r="X168" s="67"/>
      <c r="Y168" s="67"/>
      <c r="Z168" s="67"/>
    </row>
    <row r="169" spans="1:26" ht="12.5">
      <c r="A169" s="68" t="s">
        <v>287</v>
      </c>
      <c r="B169" s="68" t="s">
        <v>379</v>
      </c>
      <c r="C169" s="68" t="s">
        <v>392</v>
      </c>
      <c r="D169" s="68" t="s">
        <v>32</v>
      </c>
      <c r="E169" s="69">
        <v>2020</v>
      </c>
      <c r="F169" s="69">
        <v>2</v>
      </c>
      <c r="G169" s="69">
        <v>190.3</v>
      </c>
      <c r="H169" s="69">
        <v>10293</v>
      </c>
      <c r="I169" s="67"/>
      <c r="J169" s="67"/>
      <c r="K169" s="67"/>
      <c r="L169" s="67"/>
      <c r="M169" s="67"/>
      <c r="N169" s="67"/>
      <c r="O169" s="67"/>
      <c r="P169" s="67"/>
      <c r="Q169" s="67"/>
      <c r="R169" s="67"/>
      <c r="S169" s="67"/>
      <c r="T169" s="67"/>
      <c r="U169" s="67"/>
      <c r="V169" s="67"/>
      <c r="W169" s="67"/>
      <c r="X169" s="67"/>
      <c r="Y169" s="67"/>
      <c r="Z169" s="67"/>
    </row>
    <row r="170" spans="1:26" ht="12.5">
      <c r="A170" s="68" t="s">
        <v>287</v>
      </c>
      <c r="B170" s="68" t="s">
        <v>379</v>
      </c>
      <c r="C170" s="68" t="s">
        <v>394</v>
      </c>
      <c r="D170" s="68" t="s">
        <v>28</v>
      </c>
      <c r="E170" s="69">
        <v>2020</v>
      </c>
      <c r="F170" s="69">
        <v>8</v>
      </c>
      <c r="G170" s="69">
        <v>307.2</v>
      </c>
      <c r="H170" s="69">
        <v>4744</v>
      </c>
      <c r="I170" s="67"/>
      <c r="J170" s="67"/>
      <c r="K170" s="67"/>
      <c r="L170" s="67"/>
      <c r="M170" s="67"/>
      <c r="N170" s="67"/>
      <c r="O170" s="67"/>
      <c r="P170" s="67"/>
      <c r="Q170" s="67"/>
      <c r="R170" s="67"/>
      <c r="S170" s="67"/>
      <c r="T170" s="67"/>
      <c r="U170" s="67"/>
      <c r="V170" s="67"/>
      <c r="W170" s="67"/>
      <c r="X170" s="67"/>
      <c r="Y170" s="67"/>
      <c r="Z170" s="67"/>
    </row>
    <row r="171" spans="1:26" ht="12.5">
      <c r="A171" s="68" t="s">
        <v>287</v>
      </c>
      <c r="B171" s="68" t="s">
        <v>396</v>
      </c>
      <c r="C171" s="68" t="s">
        <v>397</v>
      </c>
      <c r="D171" s="68" t="s">
        <v>20</v>
      </c>
      <c r="E171" s="69">
        <v>2020</v>
      </c>
      <c r="F171" s="69">
        <v>8</v>
      </c>
      <c r="G171" s="69">
        <v>264.10000000000002</v>
      </c>
      <c r="H171" s="69">
        <v>48474</v>
      </c>
      <c r="I171" s="67"/>
      <c r="J171" s="67"/>
      <c r="K171" s="67"/>
      <c r="L171" s="67"/>
      <c r="M171" s="67"/>
      <c r="N171" s="67"/>
      <c r="O171" s="67"/>
      <c r="P171" s="67"/>
      <c r="Q171" s="67"/>
      <c r="R171" s="67"/>
      <c r="S171" s="67"/>
      <c r="T171" s="67"/>
      <c r="U171" s="67"/>
      <c r="V171" s="67"/>
      <c r="W171" s="67"/>
      <c r="X171" s="67"/>
      <c r="Y171" s="67"/>
      <c r="Z171" s="67"/>
    </row>
    <row r="172" spans="1:26" ht="12.5">
      <c r="A172" s="68" t="s">
        <v>287</v>
      </c>
      <c r="B172" s="68" t="s">
        <v>396</v>
      </c>
      <c r="C172" s="68" t="s">
        <v>400</v>
      </c>
      <c r="D172" s="68" t="s">
        <v>28</v>
      </c>
      <c r="E172" s="69">
        <v>2020</v>
      </c>
      <c r="F172" s="69">
        <v>15</v>
      </c>
      <c r="G172" s="69">
        <v>321</v>
      </c>
      <c r="H172" s="69">
        <v>7122</v>
      </c>
      <c r="I172" s="67"/>
      <c r="J172" s="67"/>
      <c r="K172" s="67"/>
      <c r="L172" s="67"/>
      <c r="M172" s="67"/>
      <c r="N172" s="67"/>
      <c r="O172" s="67"/>
      <c r="P172" s="67"/>
      <c r="Q172" s="67"/>
      <c r="R172" s="67"/>
      <c r="S172" s="67"/>
      <c r="T172" s="67"/>
      <c r="U172" s="67"/>
      <c r="V172" s="67"/>
      <c r="W172" s="67"/>
      <c r="X172" s="67"/>
      <c r="Y172" s="67"/>
      <c r="Z172" s="67"/>
    </row>
    <row r="173" spans="1:26" ht="12.5">
      <c r="A173" s="68" t="s">
        <v>287</v>
      </c>
      <c r="B173" s="68" t="s">
        <v>396</v>
      </c>
      <c r="C173" s="68" t="s">
        <v>402</v>
      </c>
      <c r="D173" s="68" t="s">
        <v>20</v>
      </c>
      <c r="E173" s="69">
        <v>2020</v>
      </c>
      <c r="F173" s="69">
        <v>1</v>
      </c>
      <c r="G173" s="69">
        <v>50.7</v>
      </c>
      <c r="H173" s="69">
        <v>107464</v>
      </c>
      <c r="I173" s="67"/>
      <c r="J173" s="67"/>
      <c r="K173" s="67"/>
      <c r="L173" s="67"/>
      <c r="M173" s="67"/>
      <c r="N173" s="67"/>
      <c r="O173" s="67"/>
      <c r="P173" s="67"/>
      <c r="Q173" s="67"/>
      <c r="R173" s="67"/>
      <c r="S173" s="67"/>
      <c r="T173" s="67"/>
      <c r="U173" s="67"/>
      <c r="V173" s="67"/>
      <c r="W173" s="67"/>
      <c r="X173" s="67"/>
      <c r="Y173" s="67"/>
      <c r="Z173" s="67"/>
    </row>
    <row r="174" spans="1:26" ht="12.5">
      <c r="A174" s="68" t="s">
        <v>287</v>
      </c>
      <c r="B174" s="68" t="s">
        <v>396</v>
      </c>
      <c r="C174" s="68" t="s">
        <v>404</v>
      </c>
      <c r="D174" s="68" t="s">
        <v>28</v>
      </c>
      <c r="E174" s="69">
        <v>2020</v>
      </c>
      <c r="F174" s="69">
        <v>45</v>
      </c>
      <c r="G174" s="69">
        <v>790.9</v>
      </c>
      <c r="H174" s="69">
        <v>12327</v>
      </c>
      <c r="I174" s="67"/>
      <c r="J174" s="67"/>
      <c r="K174" s="67"/>
      <c r="L174" s="67"/>
      <c r="M174" s="67"/>
      <c r="N174" s="67"/>
      <c r="O174" s="67"/>
      <c r="P174" s="67"/>
      <c r="Q174" s="67"/>
      <c r="R174" s="67"/>
      <c r="S174" s="67"/>
      <c r="T174" s="67"/>
      <c r="U174" s="67"/>
      <c r="V174" s="67"/>
      <c r="W174" s="67"/>
      <c r="X174" s="67"/>
      <c r="Y174" s="67"/>
      <c r="Z174" s="67"/>
    </row>
    <row r="175" spans="1:26" ht="12.5">
      <c r="A175" s="68" t="s">
        <v>287</v>
      </c>
      <c r="B175" s="68" t="s">
        <v>396</v>
      </c>
      <c r="C175" s="68" t="s">
        <v>406</v>
      </c>
      <c r="D175" s="68" t="s">
        <v>32</v>
      </c>
      <c r="E175" s="69">
        <v>2020</v>
      </c>
      <c r="F175" s="69">
        <v>50</v>
      </c>
      <c r="G175" s="69">
        <v>696.7</v>
      </c>
      <c r="H175" s="69">
        <v>20038</v>
      </c>
      <c r="I175" s="67"/>
      <c r="J175" s="67"/>
      <c r="K175" s="67"/>
      <c r="L175" s="67"/>
      <c r="M175" s="67"/>
      <c r="N175" s="67"/>
      <c r="O175" s="67"/>
      <c r="P175" s="67"/>
      <c r="Q175" s="67"/>
      <c r="R175" s="67"/>
      <c r="S175" s="67"/>
      <c r="T175" s="67"/>
      <c r="U175" s="67"/>
      <c r="V175" s="67"/>
      <c r="W175" s="67"/>
      <c r="X175" s="67"/>
      <c r="Y175" s="67"/>
      <c r="Z175" s="67"/>
    </row>
    <row r="176" spans="1:26" ht="12.5">
      <c r="A176" s="68" t="s">
        <v>287</v>
      </c>
      <c r="B176" s="68" t="s">
        <v>396</v>
      </c>
      <c r="C176" s="68" t="s">
        <v>406</v>
      </c>
      <c r="D176" s="68" t="s">
        <v>20</v>
      </c>
      <c r="E176" s="69">
        <v>2020</v>
      </c>
      <c r="F176" s="69">
        <v>6</v>
      </c>
      <c r="G176" s="69">
        <v>170.1</v>
      </c>
      <c r="H176" s="69">
        <v>42875</v>
      </c>
      <c r="I176" s="67"/>
      <c r="J176" s="67"/>
      <c r="K176" s="67"/>
      <c r="L176" s="67"/>
      <c r="M176" s="67"/>
      <c r="N176" s="67"/>
      <c r="O176" s="67"/>
      <c r="P176" s="67"/>
      <c r="Q176" s="67"/>
      <c r="R176" s="67"/>
      <c r="S176" s="67"/>
      <c r="T176" s="67"/>
      <c r="U176" s="67"/>
      <c r="V176" s="67"/>
      <c r="W176" s="67"/>
      <c r="X176" s="67"/>
      <c r="Y176" s="67"/>
      <c r="Z176" s="67"/>
    </row>
    <row r="177" spans="1:26" ht="12.5">
      <c r="A177" s="68" t="s">
        <v>287</v>
      </c>
      <c r="B177" s="68" t="s">
        <v>396</v>
      </c>
      <c r="C177" s="68" t="s">
        <v>409</v>
      </c>
      <c r="D177" s="68" t="s">
        <v>32</v>
      </c>
      <c r="E177" s="69">
        <v>2020</v>
      </c>
      <c r="F177" s="69">
        <v>35</v>
      </c>
      <c r="G177" s="69">
        <v>669</v>
      </c>
      <c r="H177" s="69">
        <v>14416</v>
      </c>
      <c r="I177" s="67"/>
      <c r="J177" s="67"/>
      <c r="K177" s="67"/>
      <c r="L177" s="67"/>
      <c r="M177" s="67"/>
      <c r="N177" s="67"/>
      <c r="O177" s="67"/>
      <c r="P177" s="67"/>
      <c r="Q177" s="67"/>
      <c r="R177" s="67"/>
      <c r="S177" s="67"/>
      <c r="T177" s="67"/>
      <c r="U177" s="67"/>
      <c r="V177" s="67"/>
      <c r="W177" s="67"/>
      <c r="X177" s="67"/>
      <c r="Y177" s="67"/>
      <c r="Z177" s="67"/>
    </row>
    <row r="178" spans="1:26" ht="12.5">
      <c r="A178" s="68" t="s">
        <v>287</v>
      </c>
      <c r="B178" s="68" t="s">
        <v>396</v>
      </c>
      <c r="C178" s="68" t="s">
        <v>411</v>
      </c>
      <c r="D178" s="68" t="s">
        <v>32</v>
      </c>
      <c r="E178" s="69">
        <v>2020</v>
      </c>
      <c r="F178" s="69">
        <v>7</v>
      </c>
      <c r="G178" s="69">
        <v>442.1</v>
      </c>
      <c r="H178" s="69">
        <v>12511</v>
      </c>
      <c r="I178" s="67"/>
      <c r="J178" s="67"/>
      <c r="K178" s="67"/>
      <c r="L178" s="67"/>
      <c r="M178" s="67"/>
      <c r="N178" s="67"/>
      <c r="O178" s="67"/>
      <c r="P178" s="67"/>
      <c r="Q178" s="67"/>
      <c r="R178" s="67"/>
      <c r="S178" s="67"/>
      <c r="T178" s="67"/>
      <c r="U178" s="67"/>
      <c r="V178" s="67"/>
      <c r="W178" s="67"/>
      <c r="X178" s="67"/>
      <c r="Y178" s="67"/>
      <c r="Z178" s="67"/>
    </row>
    <row r="179" spans="1:26" ht="12.5">
      <c r="A179" s="68" t="s">
        <v>287</v>
      </c>
      <c r="B179" s="68" t="s">
        <v>413</v>
      </c>
      <c r="C179" s="68" t="s">
        <v>414</v>
      </c>
      <c r="D179" s="68" t="s">
        <v>28</v>
      </c>
      <c r="E179" s="69">
        <v>2020</v>
      </c>
      <c r="F179" s="69">
        <v>10</v>
      </c>
      <c r="G179" s="69">
        <v>496.9</v>
      </c>
      <c r="H179" s="69">
        <v>9737</v>
      </c>
      <c r="I179" s="67"/>
      <c r="J179" s="67"/>
      <c r="K179" s="67"/>
      <c r="L179" s="67"/>
      <c r="M179" s="67"/>
      <c r="N179" s="67"/>
      <c r="O179" s="67"/>
      <c r="P179" s="67"/>
      <c r="Q179" s="67"/>
      <c r="R179" s="67"/>
      <c r="S179" s="67"/>
      <c r="T179" s="67"/>
      <c r="U179" s="67"/>
      <c r="V179" s="67"/>
      <c r="W179" s="67"/>
      <c r="X179" s="67"/>
      <c r="Y179" s="67"/>
      <c r="Z179" s="67"/>
    </row>
    <row r="180" spans="1:26" ht="12.5">
      <c r="A180" s="68" t="s">
        <v>287</v>
      </c>
      <c r="B180" s="68" t="s">
        <v>413</v>
      </c>
      <c r="C180" s="68" t="s">
        <v>416</v>
      </c>
      <c r="D180" s="68" t="s">
        <v>28</v>
      </c>
      <c r="E180" s="69">
        <v>2020</v>
      </c>
      <c r="F180" s="69">
        <v>16</v>
      </c>
      <c r="G180" s="69">
        <v>583.20000000000005</v>
      </c>
      <c r="H180" s="69">
        <v>8097</v>
      </c>
      <c r="I180" s="67"/>
      <c r="J180" s="67"/>
      <c r="K180" s="67"/>
      <c r="L180" s="67"/>
      <c r="M180" s="67"/>
      <c r="N180" s="67"/>
      <c r="O180" s="67"/>
      <c r="P180" s="67"/>
      <c r="Q180" s="67"/>
      <c r="R180" s="67"/>
      <c r="S180" s="67"/>
      <c r="T180" s="67"/>
      <c r="U180" s="67"/>
      <c r="V180" s="67"/>
      <c r="W180" s="67"/>
      <c r="X180" s="67"/>
      <c r="Y180" s="67"/>
      <c r="Z180" s="67"/>
    </row>
    <row r="181" spans="1:26" ht="12.5">
      <c r="A181" s="68" t="s">
        <v>287</v>
      </c>
      <c r="B181" s="68" t="s">
        <v>413</v>
      </c>
      <c r="C181" s="68" t="s">
        <v>418</v>
      </c>
      <c r="D181" s="68" t="s">
        <v>28</v>
      </c>
      <c r="E181" s="69">
        <v>2020</v>
      </c>
      <c r="F181" s="69">
        <v>12</v>
      </c>
      <c r="G181" s="69">
        <v>270</v>
      </c>
      <c r="H181" s="69">
        <v>6805</v>
      </c>
      <c r="I181" s="67"/>
      <c r="J181" s="67"/>
      <c r="K181" s="67"/>
      <c r="L181" s="67"/>
      <c r="M181" s="67"/>
      <c r="N181" s="67"/>
      <c r="O181" s="67"/>
      <c r="P181" s="67"/>
      <c r="Q181" s="67"/>
      <c r="R181" s="67"/>
      <c r="S181" s="67"/>
      <c r="T181" s="67"/>
      <c r="U181" s="67"/>
      <c r="V181" s="67"/>
      <c r="W181" s="67"/>
      <c r="X181" s="67"/>
      <c r="Y181" s="67"/>
      <c r="Z181" s="67"/>
    </row>
    <row r="182" spans="1:26" ht="12.5">
      <c r="A182" s="68" t="s">
        <v>287</v>
      </c>
      <c r="B182" s="68" t="s">
        <v>413</v>
      </c>
      <c r="C182" s="68" t="s">
        <v>420</v>
      </c>
      <c r="D182" s="68" t="s">
        <v>20</v>
      </c>
      <c r="E182" s="69">
        <v>2020</v>
      </c>
      <c r="F182" s="69">
        <v>1</v>
      </c>
      <c r="G182" s="69">
        <v>58.8</v>
      </c>
      <c r="H182" s="69">
        <v>103073</v>
      </c>
      <c r="I182" s="67"/>
      <c r="J182" s="67"/>
      <c r="K182" s="67"/>
      <c r="L182" s="67"/>
      <c r="M182" s="67"/>
      <c r="N182" s="67"/>
      <c r="O182" s="67"/>
      <c r="P182" s="67"/>
      <c r="Q182" s="67"/>
      <c r="R182" s="67"/>
      <c r="S182" s="67"/>
      <c r="T182" s="67"/>
      <c r="U182" s="67"/>
      <c r="V182" s="67"/>
      <c r="W182" s="67"/>
      <c r="X182" s="67"/>
      <c r="Y182" s="67"/>
      <c r="Z182" s="67"/>
    </row>
    <row r="183" spans="1:26" ht="12.5">
      <c r="A183" s="68" t="s">
        <v>287</v>
      </c>
      <c r="B183" s="68" t="s">
        <v>413</v>
      </c>
      <c r="C183" s="68" t="s">
        <v>422</v>
      </c>
      <c r="D183" s="68" t="s">
        <v>20</v>
      </c>
      <c r="E183" s="69">
        <v>2020</v>
      </c>
      <c r="F183" s="69">
        <v>2</v>
      </c>
      <c r="G183" s="69">
        <v>14.3</v>
      </c>
      <c r="H183" s="69">
        <v>27320</v>
      </c>
      <c r="I183" s="67"/>
      <c r="J183" s="67"/>
      <c r="K183" s="67"/>
      <c r="L183" s="67"/>
      <c r="M183" s="67"/>
      <c r="N183" s="67"/>
      <c r="O183" s="67"/>
      <c r="P183" s="67"/>
      <c r="Q183" s="67"/>
      <c r="R183" s="67"/>
      <c r="S183" s="67"/>
      <c r="T183" s="67"/>
      <c r="U183" s="67"/>
      <c r="V183" s="67"/>
      <c r="W183" s="67"/>
      <c r="X183" s="67"/>
      <c r="Y183" s="67"/>
      <c r="Z183" s="67"/>
    </row>
    <row r="184" spans="1:26" ht="12.5">
      <c r="A184" s="68" t="s">
        <v>287</v>
      </c>
      <c r="B184" s="68" t="s">
        <v>413</v>
      </c>
      <c r="C184" s="68" t="s">
        <v>425</v>
      </c>
      <c r="D184" s="68" t="s">
        <v>28</v>
      </c>
      <c r="E184" s="69">
        <v>2020</v>
      </c>
      <c r="F184" s="69">
        <v>10</v>
      </c>
      <c r="G184" s="69">
        <v>237.9</v>
      </c>
      <c r="H184" s="69">
        <v>3450</v>
      </c>
      <c r="I184" s="67"/>
      <c r="J184" s="67"/>
      <c r="K184" s="67"/>
      <c r="L184" s="67"/>
      <c r="M184" s="67"/>
      <c r="N184" s="67"/>
      <c r="O184" s="67"/>
      <c r="P184" s="67"/>
      <c r="Q184" s="67"/>
      <c r="R184" s="67"/>
      <c r="S184" s="67"/>
      <c r="T184" s="67"/>
      <c r="U184" s="67"/>
      <c r="V184" s="67"/>
      <c r="W184" s="67"/>
      <c r="X184" s="67"/>
      <c r="Y184" s="67"/>
      <c r="Z184" s="67"/>
    </row>
    <row r="185" spans="1:26" ht="12.5">
      <c r="A185" s="68" t="s">
        <v>287</v>
      </c>
      <c r="B185" s="68" t="s">
        <v>413</v>
      </c>
      <c r="C185" s="68" t="s">
        <v>427</v>
      </c>
      <c r="D185" s="68" t="s">
        <v>32</v>
      </c>
      <c r="E185" s="69">
        <v>2020</v>
      </c>
      <c r="F185" s="69">
        <v>47</v>
      </c>
      <c r="G185" s="69">
        <v>769</v>
      </c>
      <c r="H185" s="69">
        <v>11768</v>
      </c>
      <c r="I185" s="67"/>
      <c r="J185" s="67"/>
      <c r="K185" s="67"/>
      <c r="L185" s="67"/>
      <c r="M185" s="67"/>
      <c r="N185" s="67"/>
      <c r="O185" s="67"/>
      <c r="P185" s="67"/>
      <c r="Q185" s="67"/>
      <c r="R185" s="67"/>
      <c r="S185" s="67"/>
      <c r="T185" s="67"/>
      <c r="U185" s="67"/>
      <c r="V185" s="67"/>
      <c r="W185" s="67"/>
      <c r="X185" s="67"/>
      <c r="Y185" s="67"/>
      <c r="Z185" s="67"/>
    </row>
    <row r="186" spans="1:26" ht="12.5">
      <c r="A186" s="68" t="s">
        <v>287</v>
      </c>
      <c r="B186" s="68" t="s">
        <v>429</v>
      </c>
      <c r="C186" s="68" t="s">
        <v>430</v>
      </c>
      <c r="D186" s="68" t="s">
        <v>32</v>
      </c>
      <c r="E186" s="69">
        <v>2020</v>
      </c>
      <c r="F186" s="69">
        <v>17</v>
      </c>
      <c r="G186" s="69">
        <v>235.4</v>
      </c>
      <c r="H186" s="69">
        <v>12995</v>
      </c>
      <c r="I186" s="67"/>
      <c r="J186" s="67"/>
      <c r="K186" s="67"/>
      <c r="L186" s="67"/>
      <c r="M186" s="67"/>
      <c r="N186" s="67"/>
      <c r="O186" s="67"/>
      <c r="P186" s="67"/>
      <c r="Q186" s="67"/>
      <c r="R186" s="67"/>
      <c r="S186" s="67"/>
      <c r="T186" s="67"/>
      <c r="U186" s="67"/>
      <c r="V186" s="67"/>
      <c r="W186" s="67"/>
      <c r="X186" s="67"/>
      <c r="Y186" s="67"/>
      <c r="Z186" s="67"/>
    </row>
    <row r="187" spans="1:26" ht="12.5">
      <c r="A187" s="68" t="s">
        <v>287</v>
      </c>
      <c r="B187" s="68" t="s">
        <v>429</v>
      </c>
      <c r="C187" s="68" t="s">
        <v>432</v>
      </c>
      <c r="D187" s="68" t="s">
        <v>28</v>
      </c>
      <c r="E187" s="69">
        <v>2020</v>
      </c>
      <c r="F187" s="69">
        <v>18</v>
      </c>
      <c r="G187" s="69">
        <v>323.7</v>
      </c>
      <c r="H187" s="69">
        <v>3892</v>
      </c>
      <c r="I187" s="67"/>
      <c r="J187" s="67"/>
      <c r="K187" s="67"/>
      <c r="L187" s="67"/>
      <c r="M187" s="67"/>
      <c r="N187" s="67"/>
      <c r="O187" s="67"/>
      <c r="P187" s="67"/>
      <c r="Q187" s="67"/>
      <c r="R187" s="67"/>
      <c r="S187" s="67"/>
      <c r="T187" s="67"/>
      <c r="U187" s="67"/>
      <c r="V187" s="67"/>
      <c r="W187" s="67"/>
      <c r="X187" s="67"/>
      <c r="Y187" s="67"/>
      <c r="Z187" s="67"/>
    </row>
    <row r="188" spans="1:26" ht="12.5">
      <c r="A188" s="68" t="s">
        <v>287</v>
      </c>
      <c r="B188" s="68" t="s">
        <v>429</v>
      </c>
      <c r="C188" s="68" t="s">
        <v>434</v>
      </c>
      <c r="D188" s="68" t="s">
        <v>32</v>
      </c>
      <c r="E188" s="69">
        <v>2020</v>
      </c>
      <c r="F188" s="69">
        <v>56</v>
      </c>
      <c r="G188" s="69">
        <v>882.4</v>
      </c>
      <c r="H188" s="69">
        <v>21999</v>
      </c>
      <c r="I188" s="67"/>
      <c r="J188" s="67"/>
      <c r="K188" s="67"/>
      <c r="L188" s="67"/>
      <c r="M188" s="67"/>
      <c r="N188" s="67"/>
      <c r="O188" s="67"/>
      <c r="P188" s="67"/>
      <c r="Q188" s="67"/>
      <c r="R188" s="67"/>
      <c r="S188" s="67"/>
      <c r="T188" s="67"/>
      <c r="U188" s="67"/>
      <c r="V188" s="67"/>
      <c r="W188" s="67"/>
      <c r="X188" s="67"/>
      <c r="Y188" s="67"/>
      <c r="Z188" s="67"/>
    </row>
    <row r="189" spans="1:26" ht="12.5">
      <c r="A189" s="68" t="s">
        <v>287</v>
      </c>
      <c r="B189" s="68" t="s">
        <v>429</v>
      </c>
      <c r="C189" s="68" t="s">
        <v>436</v>
      </c>
      <c r="D189" s="68" t="s">
        <v>28</v>
      </c>
      <c r="E189" s="69">
        <v>2020</v>
      </c>
      <c r="F189" s="69">
        <v>16</v>
      </c>
      <c r="G189" s="69">
        <v>271</v>
      </c>
      <c r="H189" s="69">
        <v>3779</v>
      </c>
      <c r="I189" s="67"/>
      <c r="J189" s="67"/>
      <c r="K189" s="67"/>
      <c r="L189" s="67"/>
      <c r="M189" s="67"/>
      <c r="N189" s="67"/>
      <c r="O189" s="67"/>
      <c r="P189" s="67"/>
      <c r="Q189" s="67"/>
      <c r="R189" s="67"/>
      <c r="S189" s="67"/>
      <c r="T189" s="67"/>
      <c r="U189" s="67"/>
      <c r="V189" s="67"/>
      <c r="W189" s="67"/>
      <c r="X189" s="67"/>
      <c r="Y189" s="67"/>
      <c r="Z189" s="67"/>
    </row>
    <row r="190" spans="1:26" ht="12.5">
      <c r="A190" s="68" t="s">
        <v>287</v>
      </c>
      <c r="B190" s="68" t="s">
        <v>429</v>
      </c>
      <c r="C190" s="68" t="s">
        <v>438</v>
      </c>
      <c r="D190" s="68" t="s">
        <v>28</v>
      </c>
      <c r="E190" s="69">
        <v>2020</v>
      </c>
      <c r="F190" s="69">
        <v>27</v>
      </c>
      <c r="G190" s="69">
        <v>448.6</v>
      </c>
      <c r="H190" s="69">
        <v>8670</v>
      </c>
      <c r="I190" s="67"/>
      <c r="J190" s="67"/>
      <c r="K190" s="67"/>
      <c r="L190" s="67"/>
      <c r="M190" s="67"/>
      <c r="N190" s="67"/>
      <c r="O190" s="67"/>
      <c r="P190" s="67"/>
      <c r="Q190" s="67"/>
      <c r="R190" s="67"/>
      <c r="S190" s="67"/>
      <c r="T190" s="67"/>
      <c r="U190" s="67"/>
      <c r="V190" s="67"/>
      <c r="W190" s="67"/>
      <c r="X190" s="67"/>
      <c r="Y190" s="67"/>
      <c r="Z190" s="67"/>
    </row>
    <row r="191" spans="1:26" ht="12.5">
      <c r="A191" s="68" t="s">
        <v>287</v>
      </c>
      <c r="B191" s="68" t="s">
        <v>429</v>
      </c>
      <c r="C191" s="68" t="s">
        <v>440</v>
      </c>
      <c r="D191" s="68" t="s">
        <v>28</v>
      </c>
      <c r="E191" s="69">
        <v>2020</v>
      </c>
      <c r="F191" s="69">
        <v>15</v>
      </c>
      <c r="G191" s="69">
        <v>257</v>
      </c>
      <c r="H191" s="69">
        <v>3410</v>
      </c>
      <c r="I191" s="67"/>
      <c r="J191" s="67"/>
      <c r="K191" s="67"/>
      <c r="L191" s="67"/>
      <c r="M191" s="67"/>
      <c r="N191" s="67"/>
      <c r="O191" s="67"/>
      <c r="P191" s="67"/>
      <c r="Q191" s="67"/>
      <c r="R191" s="67"/>
      <c r="S191" s="67"/>
      <c r="T191" s="67"/>
      <c r="U191" s="67"/>
      <c r="V191" s="67"/>
      <c r="W191" s="67"/>
      <c r="X191" s="67"/>
      <c r="Y191" s="67"/>
      <c r="Z191" s="67"/>
    </row>
    <row r="192" spans="1:26" ht="12.5">
      <c r="A192" s="68" t="s">
        <v>287</v>
      </c>
      <c r="B192" s="68" t="s">
        <v>429</v>
      </c>
      <c r="C192" s="68" t="s">
        <v>442</v>
      </c>
      <c r="D192" s="68" t="s">
        <v>28</v>
      </c>
      <c r="E192" s="69">
        <v>2020</v>
      </c>
      <c r="F192" s="69">
        <v>5</v>
      </c>
      <c r="G192" s="69">
        <v>243.6</v>
      </c>
      <c r="H192" s="69">
        <v>8722</v>
      </c>
      <c r="I192" s="67"/>
      <c r="J192" s="67"/>
      <c r="K192" s="67"/>
      <c r="L192" s="67"/>
      <c r="M192" s="67"/>
      <c r="N192" s="67"/>
      <c r="O192" s="67"/>
      <c r="P192" s="67"/>
      <c r="Q192" s="67"/>
      <c r="R192" s="67"/>
      <c r="S192" s="67"/>
      <c r="T192" s="67"/>
      <c r="U192" s="67"/>
      <c r="V192" s="67"/>
      <c r="W192" s="67"/>
      <c r="X192" s="67"/>
      <c r="Y192" s="67"/>
      <c r="Z192" s="67"/>
    </row>
    <row r="193" spans="1:26" ht="12.5">
      <c r="A193" s="68" t="s">
        <v>287</v>
      </c>
      <c r="B193" s="68" t="s">
        <v>429</v>
      </c>
      <c r="C193" s="68" t="s">
        <v>444</v>
      </c>
      <c r="D193" s="68" t="s">
        <v>32</v>
      </c>
      <c r="E193" s="69">
        <v>2020</v>
      </c>
      <c r="F193" s="69">
        <v>30</v>
      </c>
      <c r="G193" s="69">
        <v>631.4</v>
      </c>
      <c r="H193" s="69">
        <v>14946</v>
      </c>
      <c r="I193" s="67"/>
      <c r="J193" s="67"/>
      <c r="K193" s="67"/>
      <c r="L193" s="67"/>
      <c r="M193" s="67"/>
      <c r="N193" s="67"/>
      <c r="O193" s="67"/>
      <c r="P193" s="67"/>
      <c r="Q193" s="67"/>
      <c r="R193" s="67"/>
      <c r="S193" s="67"/>
      <c r="T193" s="67"/>
      <c r="U193" s="67"/>
      <c r="V193" s="67"/>
      <c r="W193" s="67"/>
      <c r="X193" s="67"/>
      <c r="Y193" s="67"/>
      <c r="Z193" s="67"/>
    </row>
    <row r="194" spans="1:26" ht="12.5">
      <c r="A194" s="68" t="s">
        <v>287</v>
      </c>
      <c r="B194" s="68" t="s">
        <v>429</v>
      </c>
      <c r="C194" s="68" t="s">
        <v>297</v>
      </c>
      <c r="D194" s="68" t="s">
        <v>28</v>
      </c>
      <c r="E194" s="69">
        <v>2020</v>
      </c>
      <c r="F194" s="69">
        <v>17</v>
      </c>
      <c r="G194" s="69">
        <v>459.5</v>
      </c>
      <c r="H194" s="69">
        <v>9764</v>
      </c>
      <c r="I194" s="67"/>
      <c r="J194" s="67"/>
      <c r="K194" s="67"/>
      <c r="L194" s="67"/>
      <c r="M194" s="67"/>
      <c r="N194" s="67"/>
      <c r="O194" s="67"/>
      <c r="P194" s="67"/>
      <c r="Q194" s="67"/>
      <c r="R194" s="67"/>
      <c r="S194" s="67"/>
      <c r="T194" s="67"/>
      <c r="U194" s="67"/>
      <c r="V194" s="67"/>
      <c r="W194" s="67"/>
      <c r="X194" s="67"/>
      <c r="Y194" s="67"/>
      <c r="Z194" s="67"/>
    </row>
    <row r="195" spans="1:26" ht="12.5">
      <c r="A195" s="68" t="s">
        <v>287</v>
      </c>
      <c r="B195" s="68" t="s">
        <v>429</v>
      </c>
      <c r="C195" s="68" t="s">
        <v>446</v>
      </c>
      <c r="D195" s="68" t="s">
        <v>28</v>
      </c>
      <c r="E195" s="69">
        <v>2020</v>
      </c>
      <c r="F195" s="69">
        <v>11</v>
      </c>
      <c r="G195" s="69">
        <v>327.10000000000002</v>
      </c>
      <c r="H195" s="69">
        <v>3901</v>
      </c>
      <c r="I195" s="67"/>
      <c r="J195" s="67"/>
      <c r="K195" s="67"/>
      <c r="L195" s="67"/>
      <c r="M195" s="67"/>
      <c r="N195" s="67"/>
      <c r="O195" s="67"/>
      <c r="P195" s="67"/>
      <c r="Q195" s="67"/>
      <c r="R195" s="67"/>
      <c r="S195" s="67"/>
      <c r="T195" s="67"/>
      <c r="U195" s="67"/>
      <c r="V195" s="67"/>
      <c r="W195" s="67"/>
      <c r="X195" s="67"/>
      <c r="Y195" s="67"/>
      <c r="Z195" s="67"/>
    </row>
    <row r="196" spans="1:26" ht="12.5">
      <c r="A196" s="68" t="s">
        <v>287</v>
      </c>
      <c r="B196" s="68" t="s">
        <v>429</v>
      </c>
      <c r="C196" s="68" t="s">
        <v>448</v>
      </c>
      <c r="D196" s="68" t="s">
        <v>20</v>
      </c>
      <c r="E196" s="69">
        <v>2020</v>
      </c>
      <c r="F196" s="69">
        <v>1</v>
      </c>
      <c r="G196" s="69">
        <v>2.9</v>
      </c>
      <c r="H196" s="69">
        <v>27573</v>
      </c>
      <c r="I196" s="67"/>
      <c r="J196" s="67"/>
      <c r="K196" s="67"/>
      <c r="L196" s="67"/>
      <c r="M196" s="67"/>
      <c r="N196" s="67"/>
      <c r="O196" s="67"/>
      <c r="P196" s="67"/>
      <c r="Q196" s="67"/>
      <c r="R196" s="67"/>
      <c r="S196" s="67"/>
      <c r="T196" s="67"/>
      <c r="U196" s="67"/>
      <c r="V196" s="67"/>
      <c r="W196" s="67"/>
      <c r="X196" s="67"/>
      <c r="Y196" s="67"/>
      <c r="Z196" s="67"/>
    </row>
    <row r="197" spans="1:26" ht="12.5">
      <c r="A197" s="68" t="s">
        <v>287</v>
      </c>
      <c r="B197" s="68" t="s">
        <v>429</v>
      </c>
      <c r="C197" s="68" t="s">
        <v>450</v>
      </c>
      <c r="D197" s="68" t="s">
        <v>32</v>
      </c>
      <c r="E197" s="69">
        <v>2020</v>
      </c>
      <c r="F197" s="69">
        <v>8</v>
      </c>
      <c r="G197" s="69">
        <v>207.1</v>
      </c>
      <c r="H197" s="69">
        <v>8489</v>
      </c>
      <c r="I197" s="67"/>
      <c r="J197" s="67"/>
      <c r="K197" s="67"/>
      <c r="L197" s="67"/>
      <c r="M197" s="67"/>
      <c r="N197" s="67"/>
      <c r="O197" s="67"/>
      <c r="P197" s="67"/>
      <c r="Q197" s="67"/>
      <c r="R197" s="67"/>
      <c r="S197" s="67"/>
      <c r="T197" s="67"/>
      <c r="U197" s="67"/>
      <c r="V197" s="67"/>
      <c r="W197" s="67"/>
      <c r="X197" s="67"/>
      <c r="Y197" s="67"/>
      <c r="Z197" s="67"/>
    </row>
    <row r="198" spans="1:26" ht="12.5">
      <c r="A198" s="68" t="s">
        <v>287</v>
      </c>
      <c r="B198" s="68" t="s">
        <v>429</v>
      </c>
      <c r="C198" s="68" t="s">
        <v>406</v>
      </c>
      <c r="D198" s="68" t="s">
        <v>28</v>
      </c>
      <c r="E198" s="69">
        <v>2020</v>
      </c>
      <c r="F198" s="69">
        <v>13</v>
      </c>
      <c r="G198" s="69">
        <v>538.79999999999995</v>
      </c>
      <c r="H198" s="69">
        <v>10316</v>
      </c>
      <c r="I198" s="67"/>
      <c r="J198" s="67"/>
      <c r="K198" s="67"/>
      <c r="L198" s="67"/>
      <c r="M198" s="67"/>
      <c r="N198" s="67"/>
      <c r="O198" s="67"/>
      <c r="P198" s="67"/>
      <c r="Q198" s="67"/>
      <c r="R198" s="67"/>
      <c r="S198" s="67"/>
      <c r="T198" s="67"/>
      <c r="U198" s="67"/>
      <c r="V198" s="67"/>
      <c r="W198" s="67"/>
      <c r="X198" s="67"/>
      <c r="Y198" s="67"/>
      <c r="Z198" s="67"/>
    </row>
    <row r="199" spans="1:26" ht="12.5">
      <c r="A199" s="68" t="s">
        <v>287</v>
      </c>
      <c r="B199" s="68" t="s">
        <v>429</v>
      </c>
      <c r="C199" s="68" t="s">
        <v>452</v>
      </c>
      <c r="D199" s="68" t="s">
        <v>28</v>
      </c>
      <c r="E199" s="69">
        <v>2020</v>
      </c>
      <c r="F199" s="69">
        <v>47</v>
      </c>
      <c r="G199" s="69">
        <v>677.3</v>
      </c>
      <c r="H199" s="69">
        <v>10501</v>
      </c>
      <c r="I199" s="67"/>
      <c r="J199" s="67"/>
      <c r="K199" s="67"/>
      <c r="L199" s="67"/>
      <c r="M199" s="67"/>
      <c r="N199" s="67"/>
      <c r="O199" s="67"/>
      <c r="P199" s="67"/>
      <c r="Q199" s="67"/>
      <c r="R199" s="67"/>
      <c r="S199" s="67"/>
      <c r="T199" s="67"/>
      <c r="U199" s="67"/>
      <c r="V199" s="67"/>
      <c r="W199" s="67"/>
      <c r="X199" s="67"/>
      <c r="Y199" s="67"/>
      <c r="Z199" s="67"/>
    </row>
    <row r="200" spans="1:26" ht="12.5">
      <c r="A200" s="68" t="s">
        <v>287</v>
      </c>
      <c r="B200" s="68" t="s">
        <v>429</v>
      </c>
      <c r="C200" s="68" t="s">
        <v>454</v>
      </c>
      <c r="D200" s="68" t="s">
        <v>32</v>
      </c>
      <c r="E200" s="69">
        <v>2020</v>
      </c>
      <c r="F200" s="69">
        <v>10</v>
      </c>
      <c r="G200" s="69">
        <v>145.6</v>
      </c>
      <c r="H200" s="69">
        <v>3062</v>
      </c>
      <c r="I200" s="67"/>
      <c r="J200" s="67"/>
      <c r="K200" s="67"/>
      <c r="L200" s="67"/>
      <c r="M200" s="67"/>
      <c r="N200" s="67"/>
      <c r="O200" s="67"/>
      <c r="P200" s="67"/>
      <c r="Q200" s="67"/>
      <c r="R200" s="67"/>
      <c r="S200" s="67"/>
      <c r="T200" s="67"/>
      <c r="U200" s="67"/>
      <c r="V200" s="67"/>
      <c r="W200" s="67"/>
      <c r="X200" s="67"/>
      <c r="Y200" s="67"/>
      <c r="Z200" s="67"/>
    </row>
    <row r="201" spans="1:26" ht="12.5">
      <c r="A201" s="68" t="s">
        <v>287</v>
      </c>
      <c r="B201" s="68" t="s">
        <v>429</v>
      </c>
      <c r="C201" s="68" t="s">
        <v>456</v>
      </c>
      <c r="D201" s="68" t="s">
        <v>20</v>
      </c>
      <c r="E201" s="69">
        <v>2020</v>
      </c>
      <c r="F201" s="69">
        <v>1</v>
      </c>
      <c r="G201" s="69">
        <v>23.9</v>
      </c>
      <c r="H201" s="69">
        <v>30021</v>
      </c>
      <c r="I201" s="67"/>
      <c r="J201" s="67"/>
      <c r="K201" s="67"/>
      <c r="L201" s="67"/>
      <c r="M201" s="67"/>
      <c r="N201" s="67"/>
      <c r="O201" s="67"/>
      <c r="P201" s="67"/>
      <c r="Q201" s="67"/>
      <c r="R201" s="67"/>
      <c r="S201" s="67"/>
      <c r="T201" s="67"/>
      <c r="U201" s="67"/>
      <c r="V201" s="67"/>
      <c r="W201" s="67"/>
      <c r="X201" s="67"/>
      <c r="Y201" s="67"/>
      <c r="Z201" s="67"/>
    </row>
    <row r="202" spans="1:26" ht="12.5">
      <c r="A202" s="68" t="s">
        <v>287</v>
      </c>
      <c r="B202" s="68" t="s">
        <v>429</v>
      </c>
      <c r="C202" s="68" t="s">
        <v>458</v>
      </c>
      <c r="D202" s="68" t="s">
        <v>32</v>
      </c>
      <c r="E202" s="69">
        <v>2020</v>
      </c>
      <c r="F202" s="69">
        <v>24</v>
      </c>
      <c r="G202" s="69">
        <v>239.8</v>
      </c>
      <c r="H202" s="69">
        <v>5044</v>
      </c>
      <c r="I202" s="67"/>
      <c r="J202" s="67"/>
      <c r="K202" s="67"/>
      <c r="L202" s="67"/>
      <c r="M202" s="67"/>
      <c r="N202" s="67"/>
      <c r="O202" s="67"/>
      <c r="P202" s="67"/>
      <c r="Q202" s="67"/>
      <c r="R202" s="67"/>
      <c r="S202" s="67"/>
      <c r="T202" s="67"/>
      <c r="U202" s="67"/>
      <c r="V202" s="67"/>
      <c r="W202" s="67"/>
      <c r="X202" s="67"/>
      <c r="Y202" s="67"/>
      <c r="Z202" s="67"/>
    </row>
    <row r="203" spans="1:26" ht="12.5">
      <c r="A203" s="68" t="s">
        <v>287</v>
      </c>
      <c r="B203" s="68" t="s">
        <v>429</v>
      </c>
      <c r="C203" s="68" t="s">
        <v>460</v>
      </c>
      <c r="D203" s="68" t="s">
        <v>28</v>
      </c>
      <c r="E203" s="69">
        <v>2020</v>
      </c>
      <c r="F203" s="69">
        <v>11</v>
      </c>
      <c r="G203" s="69">
        <v>293.3</v>
      </c>
      <c r="H203" s="69">
        <v>3371</v>
      </c>
      <c r="I203" s="67"/>
      <c r="J203" s="67"/>
      <c r="K203" s="67"/>
      <c r="L203" s="67"/>
      <c r="M203" s="67"/>
      <c r="N203" s="67"/>
      <c r="O203" s="67"/>
      <c r="P203" s="67"/>
      <c r="Q203" s="67"/>
      <c r="R203" s="67"/>
      <c r="S203" s="67"/>
      <c r="T203" s="67"/>
      <c r="U203" s="67"/>
      <c r="V203" s="67"/>
      <c r="W203" s="67"/>
      <c r="X203" s="67"/>
      <c r="Y203" s="67"/>
      <c r="Z203" s="67"/>
    </row>
    <row r="204" spans="1:26" ht="12.5">
      <c r="A204" s="68" t="s">
        <v>287</v>
      </c>
      <c r="B204" s="68" t="s">
        <v>429</v>
      </c>
      <c r="C204" s="68" t="s">
        <v>462</v>
      </c>
      <c r="D204" s="68" t="s">
        <v>28</v>
      </c>
      <c r="E204" s="69">
        <v>2020</v>
      </c>
      <c r="F204" s="69">
        <v>8</v>
      </c>
      <c r="G204" s="69">
        <v>258.8</v>
      </c>
      <c r="H204" s="69">
        <v>2534</v>
      </c>
      <c r="I204" s="67"/>
      <c r="J204" s="67"/>
      <c r="K204" s="67"/>
      <c r="L204" s="67"/>
      <c r="M204" s="67"/>
      <c r="N204" s="67"/>
      <c r="O204" s="67"/>
      <c r="P204" s="67"/>
      <c r="Q204" s="67"/>
      <c r="R204" s="67"/>
      <c r="S204" s="67"/>
      <c r="T204" s="67"/>
      <c r="U204" s="67"/>
      <c r="V204" s="67"/>
      <c r="W204" s="67"/>
      <c r="X204" s="67"/>
      <c r="Y204" s="67"/>
      <c r="Z204" s="67"/>
    </row>
    <row r="205" spans="1:26" ht="12.5">
      <c r="A205" s="68" t="s">
        <v>464</v>
      </c>
      <c r="B205" s="68" t="s">
        <v>465</v>
      </c>
      <c r="C205" s="68" t="s">
        <v>466</v>
      </c>
      <c r="D205" s="68" t="s">
        <v>20</v>
      </c>
      <c r="E205" s="69">
        <v>2020</v>
      </c>
      <c r="F205" s="69">
        <v>19</v>
      </c>
      <c r="G205" s="69">
        <v>439.8</v>
      </c>
      <c r="H205" s="69">
        <v>80377</v>
      </c>
      <c r="I205" s="67"/>
      <c r="J205" s="67"/>
      <c r="K205" s="67"/>
      <c r="L205" s="67"/>
      <c r="M205" s="67"/>
      <c r="N205" s="67"/>
      <c r="O205" s="67"/>
      <c r="P205" s="67"/>
      <c r="Q205" s="67"/>
      <c r="R205" s="67"/>
      <c r="S205" s="67"/>
      <c r="T205" s="67"/>
      <c r="U205" s="67"/>
      <c r="V205" s="67"/>
      <c r="W205" s="67"/>
      <c r="X205" s="67"/>
      <c r="Y205" s="67"/>
      <c r="Z205" s="67"/>
    </row>
    <row r="206" spans="1:26" ht="12.5">
      <c r="A206" s="68" t="s">
        <v>464</v>
      </c>
      <c r="B206" s="68" t="s">
        <v>465</v>
      </c>
      <c r="C206" s="68" t="s">
        <v>468</v>
      </c>
      <c r="D206" s="68" t="s">
        <v>28</v>
      </c>
      <c r="E206" s="69">
        <v>2020</v>
      </c>
      <c r="F206" s="69">
        <v>6</v>
      </c>
      <c r="G206" s="69">
        <v>115.5</v>
      </c>
      <c r="H206" s="69">
        <v>2418</v>
      </c>
      <c r="I206" s="67"/>
      <c r="J206" s="67"/>
      <c r="K206" s="67"/>
      <c r="L206" s="67"/>
      <c r="M206" s="67"/>
      <c r="N206" s="67"/>
      <c r="O206" s="67"/>
      <c r="P206" s="67"/>
      <c r="Q206" s="67"/>
      <c r="R206" s="67"/>
      <c r="S206" s="67"/>
      <c r="T206" s="67"/>
      <c r="U206" s="67"/>
      <c r="V206" s="67"/>
      <c r="W206" s="67"/>
      <c r="X206" s="67"/>
      <c r="Y206" s="67"/>
      <c r="Z206" s="67"/>
    </row>
    <row r="207" spans="1:26" ht="12.5">
      <c r="A207" s="68" t="s">
        <v>464</v>
      </c>
      <c r="B207" s="68" t="s">
        <v>465</v>
      </c>
      <c r="C207" s="68" t="s">
        <v>470</v>
      </c>
      <c r="D207" s="68" t="s">
        <v>20</v>
      </c>
      <c r="E207" s="69">
        <v>2020</v>
      </c>
      <c r="F207" s="69">
        <v>19</v>
      </c>
      <c r="G207" s="69">
        <v>297.7</v>
      </c>
      <c r="H207" s="69">
        <v>29167</v>
      </c>
      <c r="I207" s="67"/>
      <c r="J207" s="67"/>
      <c r="K207" s="67"/>
      <c r="L207" s="67"/>
      <c r="M207" s="67"/>
      <c r="N207" s="67"/>
      <c r="O207" s="67"/>
      <c r="P207" s="67"/>
      <c r="Q207" s="67"/>
      <c r="R207" s="67"/>
      <c r="S207" s="67"/>
      <c r="T207" s="67"/>
      <c r="U207" s="67"/>
      <c r="V207" s="67"/>
      <c r="W207" s="67"/>
      <c r="X207" s="67"/>
      <c r="Y207" s="67"/>
      <c r="Z207" s="67"/>
    </row>
    <row r="208" spans="1:26" ht="12.5">
      <c r="A208" s="68" t="s">
        <v>464</v>
      </c>
      <c r="B208" s="68" t="s">
        <v>465</v>
      </c>
      <c r="C208" s="68" t="s">
        <v>473</v>
      </c>
      <c r="D208" s="68" t="s">
        <v>20</v>
      </c>
      <c r="E208" s="69">
        <v>2020</v>
      </c>
      <c r="F208" s="69">
        <v>37</v>
      </c>
      <c r="G208" s="69">
        <v>567.1</v>
      </c>
      <c r="H208" s="69">
        <v>19753</v>
      </c>
      <c r="I208" s="67"/>
      <c r="J208" s="67"/>
      <c r="K208" s="67"/>
      <c r="L208" s="67"/>
      <c r="M208" s="67"/>
      <c r="N208" s="67"/>
      <c r="O208" s="67"/>
      <c r="P208" s="67"/>
      <c r="Q208" s="67"/>
      <c r="R208" s="67"/>
      <c r="S208" s="67"/>
      <c r="T208" s="67"/>
      <c r="U208" s="67"/>
      <c r="V208" s="67"/>
      <c r="W208" s="67"/>
      <c r="X208" s="67"/>
      <c r="Y208" s="67"/>
      <c r="Z208" s="67"/>
    </row>
    <row r="209" spans="1:26" ht="12.5">
      <c r="A209" s="68" t="s">
        <v>464</v>
      </c>
      <c r="B209" s="68" t="s">
        <v>465</v>
      </c>
      <c r="C209" s="68" t="s">
        <v>475</v>
      </c>
      <c r="D209" s="68" t="s">
        <v>20</v>
      </c>
      <c r="E209" s="69">
        <v>2020</v>
      </c>
      <c r="F209" s="69">
        <v>7</v>
      </c>
      <c r="G209" s="69">
        <v>195.4</v>
      </c>
      <c r="H209" s="69">
        <v>13244</v>
      </c>
      <c r="I209" s="67"/>
      <c r="J209" s="67"/>
      <c r="K209" s="67"/>
      <c r="L209" s="67"/>
      <c r="M209" s="67"/>
      <c r="N209" s="67"/>
      <c r="O209" s="67"/>
      <c r="P209" s="67"/>
      <c r="Q209" s="67"/>
      <c r="R209" s="67"/>
      <c r="S209" s="67"/>
      <c r="T209" s="67"/>
      <c r="U209" s="67"/>
      <c r="V209" s="67"/>
      <c r="W209" s="67"/>
      <c r="X209" s="67"/>
      <c r="Y209" s="67"/>
      <c r="Z209" s="67"/>
    </row>
    <row r="210" spans="1:26" ht="12.5">
      <c r="A210" s="68" t="s">
        <v>464</v>
      </c>
      <c r="B210" s="68" t="s">
        <v>465</v>
      </c>
      <c r="C210" s="68" t="s">
        <v>477</v>
      </c>
      <c r="D210" s="68" t="s">
        <v>20</v>
      </c>
      <c r="E210" s="69">
        <v>2020</v>
      </c>
      <c r="F210" s="69">
        <v>19</v>
      </c>
      <c r="G210" s="69">
        <v>67.5</v>
      </c>
      <c r="H210" s="69">
        <v>66369</v>
      </c>
      <c r="I210" s="67"/>
      <c r="J210" s="67"/>
      <c r="K210" s="67"/>
      <c r="L210" s="67"/>
      <c r="M210" s="67"/>
      <c r="N210" s="67"/>
      <c r="O210" s="67"/>
      <c r="P210" s="67"/>
      <c r="Q210" s="67"/>
      <c r="R210" s="67"/>
      <c r="S210" s="67"/>
      <c r="T210" s="67"/>
      <c r="U210" s="67"/>
      <c r="V210" s="67"/>
      <c r="W210" s="67"/>
      <c r="X210" s="67"/>
      <c r="Y210" s="67"/>
      <c r="Z210" s="67"/>
    </row>
    <row r="211" spans="1:26" ht="12.5">
      <c r="A211" s="68" t="s">
        <v>464</v>
      </c>
      <c r="B211" s="68" t="s">
        <v>465</v>
      </c>
      <c r="C211" s="68" t="s">
        <v>480</v>
      </c>
      <c r="D211" s="68" t="s">
        <v>20</v>
      </c>
      <c r="E211" s="69">
        <v>2020</v>
      </c>
      <c r="F211" s="69">
        <v>4</v>
      </c>
      <c r="G211" s="69">
        <v>65.3</v>
      </c>
      <c r="H211" s="69">
        <v>13200</v>
      </c>
      <c r="I211" s="67"/>
      <c r="J211" s="67"/>
      <c r="K211" s="67"/>
      <c r="L211" s="67"/>
      <c r="M211" s="67"/>
      <c r="N211" s="67"/>
      <c r="O211" s="67"/>
      <c r="P211" s="67"/>
      <c r="Q211" s="67"/>
      <c r="R211" s="67"/>
      <c r="S211" s="67"/>
      <c r="T211" s="67"/>
      <c r="U211" s="67"/>
      <c r="V211" s="67"/>
      <c r="W211" s="67"/>
      <c r="X211" s="67"/>
      <c r="Y211" s="67"/>
      <c r="Z211" s="67"/>
    </row>
    <row r="212" spans="1:26" ht="12.5">
      <c r="A212" s="68" t="s">
        <v>464</v>
      </c>
      <c r="B212" s="68" t="s">
        <v>483</v>
      </c>
      <c r="C212" s="68" t="s">
        <v>484</v>
      </c>
      <c r="D212" s="68" t="s">
        <v>32</v>
      </c>
      <c r="E212" s="69">
        <v>2020</v>
      </c>
      <c r="F212" s="69">
        <v>29</v>
      </c>
      <c r="G212" s="69">
        <v>907.9</v>
      </c>
      <c r="H212" s="69">
        <v>18710</v>
      </c>
      <c r="I212" s="67"/>
      <c r="J212" s="67"/>
      <c r="K212" s="67"/>
      <c r="L212" s="67"/>
      <c r="M212" s="67"/>
      <c r="N212" s="67"/>
      <c r="O212" s="67"/>
      <c r="P212" s="67"/>
      <c r="Q212" s="67"/>
      <c r="R212" s="67"/>
      <c r="S212" s="67"/>
      <c r="T212" s="67"/>
      <c r="U212" s="67"/>
      <c r="V212" s="67"/>
      <c r="W212" s="67"/>
      <c r="X212" s="67"/>
      <c r="Y212" s="67"/>
      <c r="Z212" s="67"/>
    </row>
    <row r="213" spans="1:26" ht="12.5">
      <c r="A213" s="68" t="s">
        <v>464</v>
      </c>
      <c r="B213" s="68" t="s">
        <v>483</v>
      </c>
      <c r="C213" s="68" t="s">
        <v>487</v>
      </c>
      <c r="D213" s="68" t="s">
        <v>20</v>
      </c>
      <c r="E213" s="69">
        <v>2020</v>
      </c>
      <c r="F213" s="69">
        <v>23</v>
      </c>
      <c r="G213" s="69">
        <v>538.4</v>
      </c>
      <c r="H213" s="69">
        <v>36134</v>
      </c>
      <c r="I213" s="67"/>
      <c r="J213" s="67"/>
      <c r="K213" s="67"/>
      <c r="L213" s="67"/>
      <c r="M213" s="67"/>
      <c r="N213" s="67"/>
      <c r="O213" s="67"/>
      <c r="P213" s="67"/>
      <c r="Q213" s="67"/>
      <c r="R213" s="67"/>
      <c r="S213" s="67"/>
      <c r="T213" s="67"/>
      <c r="U213" s="67"/>
      <c r="V213" s="67"/>
      <c r="W213" s="67"/>
      <c r="X213" s="67"/>
      <c r="Y213" s="67"/>
      <c r="Z213" s="67"/>
    </row>
    <row r="214" spans="1:26" ht="12.5">
      <c r="A214" s="68" t="s">
        <v>464</v>
      </c>
      <c r="B214" s="68" t="s">
        <v>483</v>
      </c>
      <c r="C214" s="68" t="s">
        <v>489</v>
      </c>
      <c r="D214" s="68" t="s">
        <v>20</v>
      </c>
      <c r="E214" s="69">
        <v>2020</v>
      </c>
      <c r="F214" s="69">
        <v>15</v>
      </c>
      <c r="G214" s="69">
        <v>596.5</v>
      </c>
      <c r="H214" s="69">
        <v>25980</v>
      </c>
      <c r="I214" s="67"/>
      <c r="J214" s="67"/>
      <c r="K214" s="67"/>
      <c r="L214" s="67"/>
      <c r="M214" s="67"/>
      <c r="N214" s="67"/>
      <c r="O214" s="67"/>
      <c r="P214" s="67"/>
      <c r="Q214" s="67"/>
      <c r="R214" s="67"/>
      <c r="S214" s="67"/>
      <c r="T214" s="67"/>
      <c r="U214" s="67"/>
      <c r="V214" s="67"/>
      <c r="W214" s="67"/>
      <c r="X214" s="67"/>
      <c r="Y214" s="67"/>
      <c r="Z214" s="67"/>
    </row>
    <row r="215" spans="1:26" ht="12.5">
      <c r="A215" s="68" t="s">
        <v>464</v>
      </c>
      <c r="B215" s="68" t="s">
        <v>483</v>
      </c>
      <c r="C215" s="68" t="s">
        <v>491</v>
      </c>
      <c r="D215" s="68" t="s">
        <v>28</v>
      </c>
      <c r="E215" s="69">
        <v>2020</v>
      </c>
      <c r="F215" s="69">
        <v>24</v>
      </c>
      <c r="G215" s="69">
        <v>423.2</v>
      </c>
      <c r="H215" s="69">
        <v>6948</v>
      </c>
      <c r="I215" s="67"/>
      <c r="J215" s="67"/>
      <c r="K215" s="67"/>
      <c r="L215" s="67"/>
      <c r="M215" s="67"/>
      <c r="N215" s="67"/>
      <c r="O215" s="67"/>
      <c r="P215" s="67"/>
      <c r="Q215" s="67"/>
      <c r="R215" s="67"/>
      <c r="S215" s="67"/>
      <c r="T215" s="67"/>
      <c r="U215" s="67"/>
      <c r="V215" s="67"/>
      <c r="W215" s="67"/>
      <c r="X215" s="67"/>
      <c r="Y215" s="67"/>
      <c r="Z215" s="67"/>
    </row>
    <row r="216" spans="1:26" ht="12.5">
      <c r="A216" s="68" t="s">
        <v>464</v>
      </c>
      <c r="B216" s="68" t="s">
        <v>483</v>
      </c>
      <c r="C216" s="68" t="s">
        <v>494</v>
      </c>
      <c r="D216" s="68" t="s">
        <v>32</v>
      </c>
      <c r="E216" s="69">
        <v>2020</v>
      </c>
      <c r="F216" s="69">
        <v>15</v>
      </c>
      <c r="G216" s="69">
        <v>415.6</v>
      </c>
      <c r="H216" s="69">
        <v>11845</v>
      </c>
      <c r="I216" s="67"/>
      <c r="J216" s="67"/>
      <c r="K216" s="67"/>
      <c r="L216" s="67"/>
      <c r="M216" s="67"/>
      <c r="N216" s="67"/>
      <c r="O216" s="67"/>
      <c r="P216" s="67"/>
      <c r="Q216" s="67"/>
      <c r="R216" s="67"/>
      <c r="S216" s="67"/>
      <c r="T216" s="67"/>
      <c r="U216" s="67"/>
      <c r="V216" s="67"/>
      <c r="W216" s="67"/>
      <c r="X216" s="67"/>
      <c r="Y216" s="67"/>
      <c r="Z216" s="67"/>
    </row>
    <row r="217" spans="1:26" ht="12.5">
      <c r="A217" s="68" t="s">
        <v>464</v>
      </c>
      <c r="B217" s="68" t="s">
        <v>483</v>
      </c>
      <c r="C217" s="68" t="s">
        <v>497</v>
      </c>
      <c r="D217" s="68" t="s">
        <v>32</v>
      </c>
      <c r="E217" s="69">
        <v>2020</v>
      </c>
      <c r="F217" s="69">
        <v>11</v>
      </c>
      <c r="G217" s="69">
        <v>341.8</v>
      </c>
      <c r="H217" s="69">
        <v>19174</v>
      </c>
      <c r="I217" s="67"/>
      <c r="J217" s="67"/>
      <c r="K217" s="67"/>
      <c r="L217" s="67"/>
      <c r="M217" s="67"/>
      <c r="N217" s="67"/>
      <c r="O217" s="67"/>
      <c r="P217" s="67"/>
      <c r="Q217" s="67"/>
      <c r="R217" s="67"/>
      <c r="S217" s="67"/>
      <c r="T217" s="67"/>
      <c r="U217" s="67"/>
      <c r="V217" s="67"/>
      <c r="W217" s="67"/>
      <c r="X217" s="67"/>
      <c r="Y217" s="67"/>
      <c r="Z217" s="67"/>
    </row>
    <row r="218" spans="1:26" ht="12.5">
      <c r="A218" s="68" t="s">
        <v>464</v>
      </c>
      <c r="B218" s="68" t="s">
        <v>483</v>
      </c>
      <c r="C218" s="68" t="s">
        <v>499</v>
      </c>
      <c r="D218" s="68" t="s">
        <v>28</v>
      </c>
      <c r="E218" s="69">
        <v>2020</v>
      </c>
      <c r="F218" s="69">
        <v>14</v>
      </c>
      <c r="G218" s="69">
        <v>571.79999999999995</v>
      </c>
      <c r="H218" s="69">
        <v>10800</v>
      </c>
      <c r="I218" s="67"/>
      <c r="J218" s="67"/>
      <c r="K218" s="67"/>
      <c r="L218" s="67"/>
      <c r="M218" s="67"/>
      <c r="N218" s="67"/>
      <c r="O218" s="67"/>
      <c r="P218" s="67"/>
      <c r="Q218" s="67"/>
      <c r="R218" s="67"/>
      <c r="S218" s="67"/>
      <c r="T218" s="67"/>
      <c r="U218" s="67"/>
      <c r="V218" s="67"/>
      <c r="W218" s="67"/>
      <c r="X218" s="67"/>
      <c r="Y218" s="67"/>
      <c r="Z218" s="67"/>
    </row>
    <row r="219" spans="1:26" ht="12.5">
      <c r="A219" s="68" t="s">
        <v>464</v>
      </c>
      <c r="B219" s="68" t="s">
        <v>483</v>
      </c>
      <c r="C219" s="68" t="s">
        <v>502</v>
      </c>
      <c r="D219" s="68" t="s">
        <v>28</v>
      </c>
      <c r="E219" s="69">
        <v>2020</v>
      </c>
      <c r="F219" s="69">
        <v>27</v>
      </c>
      <c r="G219" s="69">
        <v>662.2</v>
      </c>
      <c r="H219" s="69">
        <v>12206</v>
      </c>
      <c r="I219" s="67"/>
      <c r="J219" s="67"/>
      <c r="K219" s="67"/>
      <c r="L219" s="67"/>
      <c r="M219" s="67"/>
      <c r="N219" s="67"/>
      <c r="O219" s="67"/>
      <c r="P219" s="67"/>
      <c r="Q219" s="67"/>
      <c r="R219" s="67"/>
      <c r="S219" s="67"/>
      <c r="T219" s="67"/>
      <c r="U219" s="67"/>
      <c r="V219" s="67"/>
      <c r="W219" s="67"/>
      <c r="X219" s="67"/>
      <c r="Y219" s="67"/>
      <c r="Z219" s="67"/>
    </row>
    <row r="220" spans="1:26" ht="12.5">
      <c r="A220" s="68" t="s">
        <v>464</v>
      </c>
      <c r="B220" s="68" t="s">
        <v>504</v>
      </c>
      <c r="C220" s="68" t="s">
        <v>505</v>
      </c>
      <c r="D220" s="68" t="s">
        <v>28</v>
      </c>
      <c r="E220" s="69">
        <v>2020</v>
      </c>
      <c r="F220" s="69">
        <v>25</v>
      </c>
      <c r="G220" s="69">
        <v>523.29999999999995</v>
      </c>
      <c r="H220" s="69">
        <v>8897</v>
      </c>
      <c r="I220" s="67"/>
      <c r="J220" s="67"/>
      <c r="K220" s="67"/>
      <c r="L220" s="67"/>
      <c r="M220" s="67"/>
      <c r="N220" s="67"/>
      <c r="O220" s="67"/>
      <c r="P220" s="67"/>
      <c r="Q220" s="67"/>
      <c r="R220" s="67"/>
      <c r="S220" s="67"/>
      <c r="T220" s="67"/>
      <c r="U220" s="67"/>
      <c r="V220" s="67"/>
      <c r="W220" s="67"/>
      <c r="X220" s="67"/>
      <c r="Y220" s="67"/>
      <c r="Z220" s="67"/>
    </row>
    <row r="221" spans="1:26" ht="12.5">
      <c r="A221" s="68" t="s">
        <v>464</v>
      </c>
      <c r="B221" s="68" t="s">
        <v>504</v>
      </c>
      <c r="C221" s="68" t="s">
        <v>507</v>
      </c>
      <c r="D221" s="68" t="s">
        <v>28</v>
      </c>
      <c r="E221" s="69">
        <v>2020</v>
      </c>
      <c r="F221" s="69">
        <v>5</v>
      </c>
      <c r="G221" s="69">
        <v>159.6</v>
      </c>
      <c r="H221" s="69">
        <v>2230</v>
      </c>
      <c r="I221" s="67"/>
      <c r="J221" s="67"/>
      <c r="K221" s="67"/>
      <c r="L221" s="67"/>
      <c r="M221" s="67"/>
      <c r="N221" s="67"/>
      <c r="O221" s="67"/>
      <c r="P221" s="67"/>
      <c r="Q221" s="67"/>
      <c r="R221" s="67"/>
      <c r="S221" s="67"/>
      <c r="T221" s="67"/>
      <c r="U221" s="67"/>
      <c r="V221" s="67"/>
      <c r="W221" s="67"/>
      <c r="X221" s="67"/>
      <c r="Y221" s="67"/>
      <c r="Z221" s="67"/>
    </row>
    <row r="222" spans="1:26" ht="12.5">
      <c r="A222" s="68" t="s">
        <v>464</v>
      </c>
      <c r="B222" s="68" t="s">
        <v>504</v>
      </c>
      <c r="C222" s="68" t="s">
        <v>509</v>
      </c>
      <c r="D222" s="68" t="s">
        <v>20</v>
      </c>
      <c r="E222" s="69">
        <v>2020</v>
      </c>
      <c r="F222" s="69">
        <v>20</v>
      </c>
      <c r="G222" s="69">
        <v>289.3</v>
      </c>
      <c r="H222" s="69">
        <v>66823</v>
      </c>
      <c r="I222" s="67"/>
      <c r="J222" s="67"/>
      <c r="K222" s="67"/>
      <c r="L222" s="67"/>
      <c r="M222" s="67"/>
      <c r="N222" s="67"/>
      <c r="O222" s="67"/>
      <c r="P222" s="67"/>
      <c r="Q222" s="67"/>
      <c r="R222" s="67"/>
      <c r="S222" s="67"/>
      <c r="T222" s="67"/>
      <c r="U222" s="67"/>
      <c r="V222" s="67"/>
      <c r="W222" s="67"/>
      <c r="X222" s="67"/>
      <c r="Y222" s="67"/>
      <c r="Z222" s="67"/>
    </row>
    <row r="223" spans="1:26" ht="12.5">
      <c r="A223" s="68" t="s">
        <v>464</v>
      </c>
      <c r="B223" s="68" t="s">
        <v>504</v>
      </c>
      <c r="C223" s="68" t="s">
        <v>512</v>
      </c>
      <c r="D223" s="68" t="s">
        <v>20</v>
      </c>
      <c r="E223" s="69">
        <v>2020</v>
      </c>
      <c r="F223" s="69">
        <v>24</v>
      </c>
      <c r="G223" s="69">
        <v>467.4</v>
      </c>
      <c r="H223" s="69">
        <v>73979</v>
      </c>
      <c r="I223" s="67"/>
      <c r="J223" s="67"/>
      <c r="K223" s="67"/>
      <c r="L223" s="67"/>
      <c r="M223" s="67"/>
      <c r="N223" s="67"/>
      <c r="O223" s="67"/>
      <c r="P223" s="67"/>
      <c r="Q223" s="67"/>
      <c r="R223" s="67"/>
      <c r="S223" s="67"/>
      <c r="T223" s="67"/>
      <c r="U223" s="67"/>
      <c r="V223" s="67"/>
      <c r="W223" s="67"/>
      <c r="X223" s="67"/>
      <c r="Y223" s="67"/>
      <c r="Z223" s="67"/>
    </row>
    <row r="224" spans="1:26" ht="12.5">
      <c r="A224" s="68" t="s">
        <v>464</v>
      </c>
      <c r="B224" s="68" t="s">
        <v>504</v>
      </c>
      <c r="C224" s="68" t="s">
        <v>515</v>
      </c>
      <c r="D224" s="68" t="s">
        <v>20</v>
      </c>
      <c r="E224" s="69">
        <v>2020</v>
      </c>
      <c r="F224" s="69">
        <v>15</v>
      </c>
      <c r="G224" s="69">
        <v>412.7</v>
      </c>
      <c r="H224" s="69">
        <v>183946</v>
      </c>
      <c r="I224" s="67"/>
      <c r="J224" s="67"/>
      <c r="K224" s="67"/>
      <c r="L224" s="67"/>
      <c r="M224" s="67"/>
      <c r="N224" s="67"/>
      <c r="O224" s="67"/>
      <c r="P224" s="67"/>
      <c r="Q224" s="67"/>
      <c r="R224" s="67"/>
      <c r="S224" s="67"/>
      <c r="T224" s="67"/>
      <c r="U224" s="67"/>
      <c r="V224" s="67"/>
      <c r="W224" s="67"/>
      <c r="X224" s="67"/>
      <c r="Y224" s="67"/>
      <c r="Z224" s="67"/>
    </row>
    <row r="225" spans="1:26" ht="12.5">
      <c r="A225" s="68" t="s">
        <v>464</v>
      </c>
      <c r="B225" s="68" t="s">
        <v>504</v>
      </c>
      <c r="C225" s="68" t="s">
        <v>518</v>
      </c>
      <c r="D225" s="68" t="s">
        <v>20</v>
      </c>
      <c r="E225" s="69">
        <v>2020</v>
      </c>
      <c r="F225" s="69">
        <v>40</v>
      </c>
      <c r="G225" s="69">
        <v>1205.4000000000001</v>
      </c>
      <c r="H225" s="69">
        <v>41066</v>
      </c>
      <c r="I225" s="67"/>
      <c r="J225" s="67"/>
      <c r="K225" s="67"/>
      <c r="L225" s="67"/>
      <c r="M225" s="67"/>
      <c r="N225" s="67"/>
      <c r="O225" s="67"/>
      <c r="P225" s="67"/>
      <c r="Q225" s="67"/>
      <c r="R225" s="67"/>
      <c r="S225" s="67"/>
      <c r="T225" s="67"/>
      <c r="U225" s="67"/>
      <c r="V225" s="67"/>
      <c r="W225" s="67"/>
      <c r="X225" s="67"/>
      <c r="Y225" s="67"/>
      <c r="Z225" s="67"/>
    </row>
    <row r="226" spans="1:26" ht="12.5">
      <c r="A226" s="68" t="s">
        <v>464</v>
      </c>
      <c r="B226" s="68" t="s">
        <v>504</v>
      </c>
      <c r="C226" s="68" t="s">
        <v>297</v>
      </c>
      <c r="D226" s="68" t="s">
        <v>20</v>
      </c>
      <c r="E226" s="69">
        <v>2020</v>
      </c>
      <c r="F226" s="69">
        <v>15</v>
      </c>
      <c r="G226" s="69">
        <v>334.3</v>
      </c>
      <c r="H226" s="69">
        <v>20943</v>
      </c>
      <c r="I226" s="67"/>
      <c r="J226" s="67"/>
      <c r="K226" s="67"/>
      <c r="L226" s="67"/>
      <c r="M226" s="67"/>
      <c r="N226" s="67"/>
      <c r="O226" s="67"/>
      <c r="P226" s="67"/>
      <c r="Q226" s="67"/>
      <c r="R226" s="67"/>
      <c r="S226" s="67"/>
      <c r="T226" s="67"/>
      <c r="U226" s="67"/>
      <c r="V226" s="67"/>
      <c r="W226" s="67"/>
      <c r="X226" s="67"/>
      <c r="Y226" s="67"/>
      <c r="Z226" s="67"/>
    </row>
    <row r="227" spans="1:26" ht="12.5">
      <c r="A227" s="68" t="s">
        <v>464</v>
      </c>
      <c r="B227" s="68" t="s">
        <v>504</v>
      </c>
      <c r="C227" s="68" t="s">
        <v>521</v>
      </c>
      <c r="D227" s="68" t="s">
        <v>32</v>
      </c>
      <c r="E227" s="69">
        <v>2020</v>
      </c>
      <c r="F227" s="69">
        <v>20</v>
      </c>
      <c r="G227" s="69">
        <v>280</v>
      </c>
      <c r="H227" s="69">
        <v>10723</v>
      </c>
      <c r="I227" s="67"/>
      <c r="J227" s="67"/>
      <c r="K227" s="67"/>
      <c r="L227" s="67"/>
      <c r="M227" s="67"/>
      <c r="N227" s="67"/>
      <c r="O227" s="67"/>
      <c r="P227" s="67"/>
      <c r="Q227" s="67"/>
      <c r="R227" s="67"/>
      <c r="S227" s="67"/>
      <c r="T227" s="67"/>
      <c r="U227" s="67"/>
      <c r="V227" s="67"/>
      <c r="W227" s="67"/>
      <c r="X227" s="67"/>
      <c r="Y227" s="67"/>
      <c r="Z227" s="67"/>
    </row>
    <row r="228" spans="1:26" ht="12.5">
      <c r="A228" s="68" t="s">
        <v>464</v>
      </c>
      <c r="B228" s="68" t="s">
        <v>504</v>
      </c>
      <c r="C228" s="68" t="s">
        <v>523</v>
      </c>
      <c r="D228" s="68" t="s">
        <v>32</v>
      </c>
      <c r="E228" s="69">
        <v>2020</v>
      </c>
      <c r="F228" s="69">
        <v>42</v>
      </c>
      <c r="G228" s="69">
        <v>732.8</v>
      </c>
      <c r="H228" s="69">
        <v>12320</v>
      </c>
      <c r="I228" s="67"/>
      <c r="J228" s="67"/>
      <c r="K228" s="67"/>
      <c r="L228" s="67"/>
      <c r="M228" s="67"/>
      <c r="N228" s="67"/>
      <c r="O228" s="67"/>
      <c r="P228" s="67"/>
      <c r="Q228" s="67"/>
      <c r="R228" s="67"/>
      <c r="S228" s="67"/>
      <c r="T228" s="67"/>
      <c r="U228" s="67"/>
      <c r="V228" s="67"/>
      <c r="W228" s="67"/>
      <c r="X228" s="67"/>
      <c r="Y228" s="67"/>
      <c r="Z228" s="67"/>
    </row>
    <row r="229" spans="1:26" ht="12.5">
      <c r="A229" s="68" t="s">
        <v>464</v>
      </c>
      <c r="B229" s="68" t="s">
        <v>504</v>
      </c>
      <c r="C229" s="68" t="s">
        <v>525</v>
      </c>
      <c r="D229" s="68" t="s">
        <v>20</v>
      </c>
      <c r="E229" s="69">
        <v>2020</v>
      </c>
      <c r="F229" s="69">
        <v>13</v>
      </c>
      <c r="G229" s="69">
        <v>375.7</v>
      </c>
      <c r="H229" s="69">
        <v>8903</v>
      </c>
      <c r="I229" s="67"/>
      <c r="J229" s="67"/>
      <c r="K229" s="67"/>
      <c r="L229" s="67"/>
      <c r="M229" s="67"/>
      <c r="N229" s="67"/>
      <c r="O229" s="67"/>
      <c r="P229" s="67"/>
      <c r="Q229" s="67"/>
      <c r="R229" s="67"/>
      <c r="S229" s="67"/>
      <c r="T229" s="67"/>
      <c r="U229" s="67"/>
      <c r="V229" s="67"/>
      <c r="W229" s="67"/>
      <c r="X229" s="67"/>
      <c r="Y229" s="67"/>
      <c r="Z229" s="67"/>
    </row>
    <row r="230" spans="1:26" ht="12.5">
      <c r="A230" s="68" t="s">
        <v>464</v>
      </c>
      <c r="B230" s="68" t="s">
        <v>504</v>
      </c>
      <c r="C230" s="68" t="s">
        <v>460</v>
      </c>
      <c r="D230" s="68" t="s">
        <v>20</v>
      </c>
      <c r="E230" s="69">
        <v>2020</v>
      </c>
      <c r="F230" s="69">
        <v>5</v>
      </c>
      <c r="G230" s="69">
        <v>119</v>
      </c>
      <c r="H230" s="69">
        <v>115026</v>
      </c>
      <c r="I230" s="67"/>
      <c r="J230" s="67"/>
      <c r="K230" s="67"/>
      <c r="L230" s="67"/>
      <c r="M230" s="67"/>
      <c r="N230" s="67"/>
      <c r="O230" s="67"/>
      <c r="P230" s="67"/>
      <c r="Q230" s="67"/>
      <c r="R230" s="67"/>
      <c r="S230" s="67"/>
      <c r="T230" s="67"/>
      <c r="U230" s="67"/>
      <c r="V230" s="67"/>
      <c r="W230" s="67"/>
      <c r="X230" s="67"/>
      <c r="Y230" s="67"/>
      <c r="Z230" s="67"/>
    </row>
    <row r="231" spans="1:26" ht="12.5">
      <c r="A231" s="68" t="s">
        <v>464</v>
      </c>
      <c r="B231" s="68" t="s">
        <v>504</v>
      </c>
      <c r="C231" s="68" t="s">
        <v>392</v>
      </c>
      <c r="D231" s="68" t="s">
        <v>32</v>
      </c>
      <c r="E231" s="69">
        <v>2020</v>
      </c>
      <c r="F231" s="69">
        <v>11</v>
      </c>
      <c r="G231" s="69">
        <v>294.60000000000002</v>
      </c>
      <c r="H231" s="69">
        <v>8703</v>
      </c>
      <c r="I231" s="67"/>
      <c r="J231" s="67"/>
      <c r="K231" s="67"/>
      <c r="L231" s="67"/>
      <c r="M231" s="67"/>
      <c r="N231" s="67"/>
      <c r="O231" s="67"/>
      <c r="P231" s="67"/>
      <c r="Q231" s="67"/>
      <c r="R231" s="67"/>
      <c r="S231" s="67"/>
      <c r="T231" s="67"/>
      <c r="U231" s="67"/>
      <c r="V231" s="67"/>
      <c r="W231" s="67"/>
      <c r="X231" s="67"/>
      <c r="Y231" s="67"/>
      <c r="Z231" s="67"/>
    </row>
    <row r="232" spans="1:26" ht="12.5">
      <c r="A232" s="68" t="s">
        <v>464</v>
      </c>
      <c r="B232" s="68" t="s">
        <v>531</v>
      </c>
      <c r="C232" s="68" t="s">
        <v>532</v>
      </c>
      <c r="D232" s="68" t="s">
        <v>28</v>
      </c>
      <c r="E232" s="69">
        <v>2020</v>
      </c>
      <c r="F232" s="69">
        <v>16</v>
      </c>
      <c r="G232" s="69">
        <v>440.1</v>
      </c>
      <c r="H232" s="69">
        <v>9894</v>
      </c>
      <c r="I232" s="67"/>
      <c r="J232" s="67"/>
      <c r="K232" s="67"/>
      <c r="L232" s="67"/>
      <c r="M232" s="67"/>
      <c r="N232" s="67"/>
      <c r="O232" s="67"/>
      <c r="P232" s="67"/>
      <c r="Q232" s="67"/>
      <c r="R232" s="67"/>
      <c r="S232" s="67"/>
      <c r="T232" s="67"/>
      <c r="U232" s="67"/>
      <c r="V232" s="67"/>
      <c r="W232" s="67"/>
      <c r="X232" s="67"/>
      <c r="Y232" s="67"/>
      <c r="Z232" s="67"/>
    </row>
    <row r="233" spans="1:26" ht="12.5">
      <c r="A233" s="68" t="s">
        <v>464</v>
      </c>
      <c r="B233" s="68" t="s">
        <v>531</v>
      </c>
      <c r="C233" s="68" t="s">
        <v>535</v>
      </c>
      <c r="D233" s="68" t="s">
        <v>32</v>
      </c>
      <c r="E233" s="69">
        <v>2020</v>
      </c>
      <c r="F233" s="69">
        <v>17</v>
      </c>
      <c r="G233" s="69">
        <v>637.79999999999995</v>
      </c>
      <c r="H233" s="69">
        <v>21307</v>
      </c>
      <c r="I233" s="67"/>
      <c r="J233" s="67"/>
      <c r="K233" s="67"/>
      <c r="L233" s="67"/>
      <c r="M233" s="67"/>
      <c r="N233" s="67"/>
      <c r="O233" s="67"/>
      <c r="P233" s="67"/>
      <c r="Q233" s="67"/>
      <c r="R233" s="67"/>
      <c r="S233" s="67"/>
      <c r="T233" s="67"/>
      <c r="U233" s="67"/>
      <c r="V233" s="67"/>
      <c r="W233" s="67"/>
      <c r="X233" s="67"/>
      <c r="Y233" s="67"/>
      <c r="Z233" s="67"/>
    </row>
    <row r="234" spans="1:26" ht="12.5">
      <c r="A234" s="68" t="s">
        <v>464</v>
      </c>
      <c r="B234" s="68" t="s">
        <v>531</v>
      </c>
      <c r="C234" s="68" t="s">
        <v>538</v>
      </c>
      <c r="D234" s="68" t="s">
        <v>20</v>
      </c>
      <c r="E234" s="69">
        <v>2020</v>
      </c>
      <c r="F234" s="69">
        <v>11</v>
      </c>
      <c r="G234" s="69">
        <v>375.3</v>
      </c>
      <c r="H234" s="69">
        <v>441489</v>
      </c>
      <c r="I234" s="67"/>
      <c r="J234" s="67"/>
      <c r="K234" s="67"/>
      <c r="L234" s="67"/>
      <c r="M234" s="67"/>
      <c r="N234" s="67"/>
      <c r="O234" s="67"/>
      <c r="P234" s="67"/>
      <c r="Q234" s="67"/>
      <c r="R234" s="67"/>
      <c r="S234" s="67"/>
      <c r="T234" s="67"/>
      <c r="U234" s="67"/>
      <c r="V234" s="67"/>
      <c r="W234" s="67"/>
      <c r="X234" s="67"/>
      <c r="Y234" s="67"/>
      <c r="Z234" s="67"/>
    </row>
    <row r="235" spans="1:26" ht="12.5">
      <c r="A235" s="68" t="s">
        <v>464</v>
      </c>
      <c r="B235" s="68" t="s">
        <v>531</v>
      </c>
      <c r="C235" s="68" t="s">
        <v>541</v>
      </c>
      <c r="D235" s="68" t="s">
        <v>32</v>
      </c>
      <c r="E235" s="69">
        <v>2020</v>
      </c>
      <c r="F235" s="69">
        <v>27</v>
      </c>
      <c r="G235" s="69">
        <v>784.7</v>
      </c>
      <c r="H235" s="69">
        <v>16999</v>
      </c>
      <c r="I235" s="67"/>
      <c r="J235" s="67"/>
      <c r="K235" s="67"/>
      <c r="L235" s="67"/>
      <c r="M235" s="67"/>
      <c r="N235" s="67"/>
      <c r="O235" s="67"/>
      <c r="P235" s="67"/>
      <c r="Q235" s="67"/>
      <c r="R235" s="67"/>
      <c r="S235" s="67"/>
      <c r="T235" s="67"/>
      <c r="U235" s="67"/>
      <c r="V235" s="67"/>
      <c r="W235" s="67"/>
      <c r="X235" s="67"/>
      <c r="Y235" s="67"/>
      <c r="Z235" s="67"/>
    </row>
    <row r="236" spans="1:26" ht="12.5">
      <c r="A236" s="68" t="s">
        <v>464</v>
      </c>
      <c r="B236" s="68" t="s">
        <v>531</v>
      </c>
      <c r="C236" s="68" t="s">
        <v>544</v>
      </c>
      <c r="D236" s="68" t="s">
        <v>32</v>
      </c>
      <c r="E236" s="69">
        <v>2020</v>
      </c>
      <c r="F236" s="69">
        <v>18</v>
      </c>
      <c r="G236" s="69">
        <v>396.3</v>
      </c>
      <c r="H236" s="69">
        <v>20736</v>
      </c>
      <c r="I236" s="67"/>
      <c r="J236" s="67"/>
      <c r="K236" s="67"/>
      <c r="L236" s="67"/>
      <c r="M236" s="67"/>
      <c r="N236" s="67"/>
      <c r="O236" s="67"/>
      <c r="P236" s="67"/>
      <c r="Q236" s="67"/>
      <c r="R236" s="67"/>
      <c r="S236" s="67"/>
      <c r="T236" s="67"/>
      <c r="U236" s="67"/>
      <c r="V236" s="67"/>
      <c r="W236" s="67"/>
      <c r="X236" s="67"/>
      <c r="Y236" s="67"/>
      <c r="Z236" s="67"/>
    </row>
    <row r="237" spans="1:26" ht="12.5">
      <c r="A237" s="68" t="s">
        <v>464</v>
      </c>
      <c r="B237" s="68" t="s">
        <v>547</v>
      </c>
      <c r="C237" s="68" t="s">
        <v>548</v>
      </c>
      <c r="D237" s="68" t="s">
        <v>20</v>
      </c>
      <c r="E237" s="69">
        <v>2020</v>
      </c>
      <c r="F237" s="69">
        <v>2</v>
      </c>
      <c r="G237" s="69">
        <v>30.2</v>
      </c>
      <c r="H237" s="69">
        <v>32579</v>
      </c>
      <c r="I237" s="67"/>
      <c r="J237" s="67"/>
      <c r="K237" s="67"/>
      <c r="L237" s="67"/>
      <c r="M237" s="67"/>
      <c r="N237" s="67"/>
      <c r="O237" s="67"/>
      <c r="P237" s="67"/>
      <c r="Q237" s="67"/>
      <c r="R237" s="67"/>
      <c r="S237" s="67"/>
      <c r="T237" s="67"/>
      <c r="U237" s="67"/>
      <c r="V237" s="67"/>
      <c r="W237" s="67"/>
      <c r="X237" s="67"/>
      <c r="Y237" s="67"/>
      <c r="Z237" s="67"/>
    </row>
    <row r="238" spans="1:26" ht="12.5">
      <c r="A238" s="68" t="s">
        <v>464</v>
      </c>
      <c r="B238" s="68" t="s">
        <v>547</v>
      </c>
      <c r="C238" s="68" t="s">
        <v>551</v>
      </c>
      <c r="D238" s="68" t="s">
        <v>20</v>
      </c>
      <c r="E238" s="69">
        <v>2020</v>
      </c>
      <c r="F238" s="69">
        <v>7</v>
      </c>
      <c r="G238" s="69">
        <v>68.7</v>
      </c>
      <c r="H238" s="69">
        <v>15738</v>
      </c>
      <c r="I238" s="67"/>
      <c r="J238" s="67"/>
      <c r="K238" s="67"/>
      <c r="L238" s="67"/>
      <c r="M238" s="67"/>
      <c r="N238" s="67"/>
      <c r="O238" s="67"/>
      <c r="P238" s="67"/>
      <c r="Q238" s="67"/>
      <c r="R238" s="67"/>
      <c r="S238" s="67"/>
      <c r="T238" s="67"/>
      <c r="U238" s="67"/>
      <c r="V238" s="67"/>
      <c r="W238" s="67"/>
      <c r="X238" s="67"/>
      <c r="Y238" s="67"/>
      <c r="Z238" s="67"/>
    </row>
    <row r="239" spans="1:26" ht="12.5">
      <c r="A239" s="68" t="s">
        <v>464</v>
      </c>
      <c r="B239" s="68" t="s">
        <v>547</v>
      </c>
      <c r="C239" s="68" t="s">
        <v>553</v>
      </c>
      <c r="D239" s="68" t="s">
        <v>32</v>
      </c>
      <c r="E239" s="69">
        <v>2020</v>
      </c>
      <c r="F239" s="69">
        <v>32</v>
      </c>
      <c r="G239" s="69">
        <v>340.3</v>
      </c>
      <c r="H239" s="69">
        <v>9518</v>
      </c>
      <c r="I239" s="67"/>
      <c r="J239" s="67"/>
      <c r="K239" s="67"/>
      <c r="L239" s="67"/>
      <c r="M239" s="67"/>
      <c r="N239" s="67"/>
      <c r="O239" s="67"/>
      <c r="P239" s="67"/>
      <c r="Q239" s="67"/>
      <c r="R239" s="67"/>
      <c r="S239" s="67"/>
      <c r="T239" s="67"/>
      <c r="U239" s="67"/>
      <c r="V239" s="67"/>
      <c r="W239" s="67"/>
      <c r="X239" s="67"/>
      <c r="Y239" s="67"/>
      <c r="Z239" s="67"/>
    </row>
    <row r="240" spans="1:26" ht="12.5">
      <c r="A240" s="68" t="s">
        <v>464</v>
      </c>
      <c r="B240" s="68" t="s">
        <v>547</v>
      </c>
      <c r="C240" s="68" t="s">
        <v>556</v>
      </c>
      <c r="D240" s="68" t="s">
        <v>20</v>
      </c>
      <c r="E240" s="69">
        <v>2020</v>
      </c>
      <c r="F240" s="69">
        <v>16</v>
      </c>
      <c r="G240" s="69">
        <v>265.5</v>
      </c>
      <c r="H240" s="69">
        <v>43827</v>
      </c>
      <c r="I240" s="67"/>
      <c r="J240" s="67"/>
      <c r="K240" s="67"/>
      <c r="L240" s="67"/>
      <c r="M240" s="67"/>
      <c r="N240" s="67"/>
      <c r="O240" s="67"/>
      <c r="P240" s="67"/>
      <c r="Q240" s="67"/>
      <c r="R240" s="67"/>
      <c r="S240" s="67"/>
      <c r="T240" s="67"/>
      <c r="U240" s="67"/>
      <c r="V240" s="67"/>
      <c r="W240" s="67"/>
      <c r="X240" s="67"/>
      <c r="Y240" s="67"/>
      <c r="Z240" s="67"/>
    </row>
    <row r="241" spans="1:26" ht="12.5">
      <c r="A241" s="68" t="s">
        <v>464</v>
      </c>
      <c r="B241" s="68" t="s">
        <v>547</v>
      </c>
      <c r="C241" s="68" t="s">
        <v>365</v>
      </c>
      <c r="D241" s="68" t="s">
        <v>28</v>
      </c>
      <c r="E241" s="69">
        <v>2020</v>
      </c>
      <c r="F241" s="69">
        <v>22</v>
      </c>
      <c r="G241" s="69">
        <v>276.5</v>
      </c>
      <c r="H241" s="69">
        <v>4011</v>
      </c>
      <c r="I241" s="67"/>
      <c r="J241" s="67"/>
      <c r="K241" s="67"/>
      <c r="L241" s="67"/>
      <c r="M241" s="67"/>
      <c r="N241" s="67"/>
      <c r="O241" s="67"/>
      <c r="P241" s="67"/>
      <c r="Q241" s="67"/>
      <c r="R241" s="67"/>
      <c r="S241" s="67"/>
      <c r="T241" s="67"/>
      <c r="U241" s="67"/>
      <c r="V241" s="67"/>
      <c r="W241" s="67"/>
      <c r="X241" s="67"/>
      <c r="Y241" s="67"/>
      <c r="Z241" s="67"/>
    </row>
    <row r="242" spans="1:26" ht="12.5">
      <c r="A242" s="68" t="s">
        <v>464</v>
      </c>
      <c r="B242" s="68" t="s">
        <v>547</v>
      </c>
      <c r="C242" s="68" t="s">
        <v>559</v>
      </c>
      <c r="D242" s="68" t="s">
        <v>20</v>
      </c>
      <c r="E242" s="69">
        <v>2020</v>
      </c>
      <c r="F242" s="69">
        <v>28</v>
      </c>
      <c r="G242" s="69">
        <v>351.6</v>
      </c>
      <c r="H242" s="69">
        <v>38776</v>
      </c>
      <c r="I242" s="67"/>
      <c r="J242" s="67"/>
      <c r="K242" s="67"/>
      <c r="L242" s="67"/>
      <c r="M242" s="67"/>
      <c r="N242" s="67"/>
      <c r="O242" s="67"/>
      <c r="P242" s="67"/>
      <c r="Q242" s="67"/>
      <c r="R242" s="67"/>
      <c r="S242" s="67"/>
      <c r="T242" s="67"/>
      <c r="U242" s="67"/>
      <c r="V242" s="67"/>
      <c r="W242" s="67"/>
      <c r="X242" s="67"/>
      <c r="Y242" s="67"/>
      <c r="Z242" s="67"/>
    </row>
    <row r="243" spans="1:26" ht="12.5">
      <c r="A243" s="68" t="s">
        <v>464</v>
      </c>
      <c r="B243" s="68" t="s">
        <v>547</v>
      </c>
      <c r="C243" s="68" t="s">
        <v>562</v>
      </c>
      <c r="D243" s="68" t="s">
        <v>20</v>
      </c>
      <c r="E243" s="69">
        <v>2020</v>
      </c>
      <c r="F243" s="69">
        <v>17</v>
      </c>
      <c r="G243" s="69">
        <v>485.3</v>
      </c>
      <c r="H243" s="69">
        <v>33643</v>
      </c>
      <c r="I243" s="67"/>
      <c r="J243" s="67"/>
      <c r="K243" s="67"/>
      <c r="L243" s="67"/>
      <c r="M243" s="67"/>
      <c r="N243" s="67"/>
      <c r="O243" s="67"/>
      <c r="P243" s="67"/>
      <c r="Q243" s="67"/>
      <c r="R243" s="67"/>
      <c r="S243" s="67"/>
      <c r="T243" s="67"/>
      <c r="U243" s="67"/>
      <c r="V243" s="67"/>
      <c r="W243" s="67"/>
      <c r="X243" s="67"/>
      <c r="Y243" s="67"/>
      <c r="Z243" s="67"/>
    </row>
    <row r="244" spans="1:26" ht="12.5">
      <c r="A244" s="68" t="s">
        <v>464</v>
      </c>
      <c r="B244" s="68" t="s">
        <v>547</v>
      </c>
      <c r="C244" s="68" t="s">
        <v>565</v>
      </c>
      <c r="D244" s="68" t="s">
        <v>20</v>
      </c>
      <c r="E244" s="69">
        <v>2020</v>
      </c>
      <c r="F244" s="69">
        <v>5</v>
      </c>
      <c r="G244" s="69">
        <v>66.7</v>
      </c>
      <c r="H244" s="69">
        <v>48894</v>
      </c>
      <c r="I244" s="67"/>
      <c r="J244" s="67"/>
      <c r="K244" s="67"/>
      <c r="L244" s="67"/>
      <c r="M244" s="67"/>
      <c r="N244" s="67"/>
      <c r="O244" s="67"/>
      <c r="P244" s="67"/>
      <c r="Q244" s="67"/>
      <c r="R244" s="67"/>
      <c r="S244" s="67"/>
      <c r="T244" s="67"/>
      <c r="U244" s="67"/>
      <c r="V244" s="67"/>
      <c r="W244" s="67"/>
      <c r="X244" s="67"/>
      <c r="Y244" s="67"/>
      <c r="Z244" s="67"/>
    </row>
    <row r="245" spans="1:26" ht="12.5">
      <c r="A245" s="68" t="s">
        <v>464</v>
      </c>
      <c r="B245" s="68" t="s">
        <v>547</v>
      </c>
      <c r="C245" s="68" t="s">
        <v>568</v>
      </c>
      <c r="D245" s="68" t="s">
        <v>20</v>
      </c>
      <c r="E245" s="69">
        <v>2020</v>
      </c>
      <c r="F245" s="69">
        <v>15</v>
      </c>
      <c r="G245" s="69">
        <v>157.19999999999999</v>
      </c>
      <c r="H245" s="69">
        <v>19380</v>
      </c>
      <c r="I245" s="67"/>
      <c r="J245" s="67"/>
      <c r="K245" s="67"/>
      <c r="L245" s="67"/>
      <c r="M245" s="67"/>
      <c r="N245" s="67"/>
      <c r="O245" s="67"/>
      <c r="P245" s="67"/>
      <c r="Q245" s="67"/>
      <c r="R245" s="67"/>
      <c r="S245" s="67"/>
      <c r="T245" s="67"/>
      <c r="U245" s="67"/>
      <c r="V245" s="67"/>
      <c r="W245" s="67"/>
      <c r="X245" s="67"/>
      <c r="Y245" s="67"/>
      <c r="Z245" s="67"/>
    </row>
    <row r="246" spans="1:26" ht="12.5">
      <c r="A246" s="68" t="s">
        <v>464</v>
      </c>
      <c r="B246" s="68" t="s">
        <v>547</v>
      </c>
      <c r="C246" s="68" t="s">
        <v>571</v>
      </c>
      <c r="D246" s="68" t="s">
        <v>32</v>
      </c>
      <c r="E246" s="69">
        <v>2020</v>
      </c>
      <c r="F246" s="69">
        <v>40</v>
      </c>
      <c r="G246" s="69">
        <v>726</v>
      </c>
      <c r="H246" s="69">
        <v>21399</v>
      </c>
      <c r="I246" s="67"/>
      <c r="J246" s="67"/>
      <c r="K246" s="67"/>
      <c r="L246" s="67"/>
      <c r="M246" s="67"/>
      <c r="N246" s="67"/>
      <c r="O246" s="67"/>
      <c r="P246" s="67"/>
      <c r="Q246" s="67"/>
      <c r="R246" s="67"/>
      <c r="S246" s="67"/>
      <c r="T246" s="67"/>
      <c r="U246" s="67"/>
      <c r="V246" s="67"/>
      <c r="W246" s="67"/>
      <c r="X246" s="67"/>
      <c r="Y246" s="67"/>
      <c r="Z246" s="67"/>
    </row>
    <row r="247" spans="1:26" ht="12.5">
      <c r="A247" s="68" t="s">
        <v>464</v>
      </c>
      <c r="B247" s="68" t="s">
        <v>547</v>
      </c>
      <c r="C247" s="68" t="s">
        <v>406</v>
      </c>
      <c r="D247" s="68" t="s">
        <v>20</v>
      </c>
      <c r="E247" s="69">
        <v>2020</v>
      </c>
      <c r="F247" s="69">
        <v>41</v>
      </c>
      <c r="G247" s="69">
        <v>515.5</v>
      </c>
      <c r="H247" s="69">
        <v>82388</v>
      </c>
      <c r="I247" s="67"/>
      <c r="J247" s="67"/>
      <c r="K247" s="67"/>
      <c r="L247" s="67"/>
      <c r="M247" s="67"/>
      <c r="N247" s="67"/>
      <c r="O247" s="67"/>
      <c r="P247" s="67"/>
      <c r="Q247" s="67"/>
      <c r="R247" s="67"/>
      <c r="S247" s="67"/>
      <c r="T247" s="67"/>
      <c r="U247" s="67"/>
      <c r="V247" s="67"/>
      <c r="W247" s="67"/>
      <c r="X247" s="67"/>
      <c r="Y247" s="67"/>
      <c r="Z247" s="67"/>
    </row>
    <row r="248" spans="1:26" ht="12.5">
      <c r="A248" s="68" t="s">
        <v>464</v>
      </c>
      <c r="B248" s="68" t="s">
        <v>547</v>
      </c>
      <c r="C248" s="68" t="s">
        <v>576</v>
      </c>
      <c r="D248" s="68" t="s">
        <v>20</v>
      </c>
      <c r="E248" s="69">
        <v>2020</v>
      </c>
      <c r="F248" s="69">
        <v>9</v>
      </c>
      <c r="G248" s="69">
        <v>150.19999999999999</v>
      </c>
      <c r="H248" s="69">
        <v>35403</v>
      </c>
      <c r="I248" s="67"/>
      <c r="J248" s="67"/>
      <c r="K248" s="67"/>
      <c r="L248" s="67"/>
      <c r="M248" s="67"/>
      <c r="N248" s="67"/>
      <c r="O248" s="67"/>
      <c r="P248" s="67"/>
      <c r="Q248" s="67"/>
      <c r="R248" s="67"/>
      <c r="S248" s="67"/>
      <c r="T248" s="67"/>
      <c r="U248" s="67"/>
      <c r="V248" s="67"/>
      <c r="W248" s="67"/>
      <c r="X248" s="67"/>
      <c r="Y248" s="67"/>
      <c r="Z248" s="67"/>
    </row>
    <row r="249" spans="1:26" ht="12.5">
      <c r="A249" s="68" t="s">
        <v>464</v>
      </c>
      <c r="B249" s="68" t="s">
        <v>547</v>
      </c>
      <c r="C249" s="68" t="s">
        <v>579</v>
      </c>
      <c r="D249" s="68" t="s">
        <v>32</v>
      </c>
      <c r="E249" s="69">
        <v>2020</v>
      </c>
      <c r="F249" s="69">
        <v>7</v>
      </c>
      <c r="G249" s="69">
        <v>216</v>
      </c>
      <c r="H249" s="69">
        <v>3910</v>
      </c>
      <c r="I249" s="67"/>
      <c r="J249" s="67"/>
      <c r="K249" s="67"/>
      <c r="L249" s="67"/>
      <c r="M249" s="67"/>
      <c r="N249" s="67"/>
      <c r="O249" s="67"/>
      <c r="P249" s="67"/>
      <c r="Q249" s="67"/>
      <c r="R249" s="67"/>
      <c r="S249" s="67"/>
      <c r="T249" s="67"/>
      <c r="U249" s="67"/>
      <c r="V249" s="67"/>
      <c r="W249" s="67"/>
      <c r="X249" s="67"/>
      <c r="Y249" s="67"/>
      <c r="Z249" s="67"/>
    </row>
    <row r="250" spans="1:26" ht="12.5">
      <c r="A250" s="68" t="s">
        <v>464</v>
      </c>
      <c r="B250" s="68" t="s">
        <v>547</v>
      </c>
      <c r="C250" s="68" t="s">
        <v>582</v>
      </c>
      <c r="D250" s="68" t="s">
        <v>28</v>
      </c>
      <c r="E250" s="69">
        <v>2020</v>
      </c>
      <c r="F250" s="69">
        <v>22</v>
      </c>
      <c r="G250" s="69">
        <v>354.4</v>
      </c>
      <c r="H250" s="69">
        <v>4021</v>
      </c>
      <c r="I250" s="67"/>
      <c r="J250" s="67"/>
      <c r="K250" s="67"/>
      <c r="L250" s="67"/>
      <c r="M250" s="67"/>
      <c r="N250" s="67"/>
      <c r="O250" s="67"/>
      <c r="P250" s="67"/>
      <c r="Q250" s="67"/>
      <c r="R250" s="67"/>
      <c r="S250" s="67"/>
      <c r="T250" s="67"/>
      <c r="U250" s="67"/>
      <c r="V250" s="67"/>
      <c r="W250" s="67"/>
      <c r="X250" s="67"/>
      <c r="Y250" s="67"/>
      <c r="Z250" s="67"/>
    </row>
    <row r="251" spans="1:26" ht="12.5">
      <c r="A251" s="68" t="s">
        <v>584</v>
      </c>
      <c r="B251" s="68" t="s">
        <v>585</v>
      </c>
      <c r="C251" s="68" t="s">
        <v>586</v>
      </c>
      <c r="D251" s="68" t="s">
        <v>20</v>
      </c>
      <c r="E251" s="69">
        <v>2020</v>
      </c>
      <c r="F251" s="69">
        <v>25</v>
      </c>
      <c r="G251" s="69">
        <v>615.4</v>
      </c>
      <c r="H251" s="69">
        <v>19923</v>
      </c>
      <c r="I251" s="67"/>
      <c r="J251" s="67"/>
      <c r="K251" s="67"/>
      <c r="L251" s="67"/>
      <c r="M251" s="67"/>
      <c r="N251" s="67"/>
      <c r="O251" s="67"/>
      <c r="P251" s="67"/>
      <c r="Q251" s="67"/>
      <c r="R251" s="67"/>
      <c r="S251" s="67"/>
      <c r="T251" s="67"/>
      <c r="U251" s="67"/>
      <c r="V251" s="67"/>
      <c r="W251" s="67"/>
      <c r="X251" s="67"/>
      <c r="Y251" s="67"/>
      <c r="Z251" s="67"/>
    </row>
    <row r="252" spans="1:26" ht="12.5">
      <c r="A252" s="68" t="s">
        <v>584</v>
      </c>
      <c r="B252" s="68" t="s">
        <v>585</v>
      </c>
      <c r="C252" s="68" t="s">
        <v>589</v>
      </c>
      <c r="D252" s="68" t="s">
        <v>20</v>
      </c>
      <c r="E252" s="69">
        <v>2020</v>
      </c>
      <c r="F252" s="69">
        <v>3</v>
      </c>
      <c r="G252" s="69">
        <v>82.4</v>
      </c>
      <c r="H252" s="69">
        <v>75236</v>
      </c>
      <c r="I252" s="67"/>
      <c r="J252" s="67"/>
      <c r="K252" s="67"/>
      <c r="L252" s="67"/>
      <c r="M252" s="67"/>
      <c r="N252" s="67"/>
      <c r="O252" s="67"/>
      <c r="P252" s="67"/>
      <c r="Q252" s="67"/>
      <c r="R252" s="67"/>
      <c r="S252" s="67"/>
      <c r="T252" s="67"/>
      <c r="U252" s="67"/>
      <c r="V252" s="67"/>
      <c r="W252" s="67"/>
      <c r="X252" s="67"/>
      <c r="Y252" s="67"/>
      <c r="Z252" s="67"/>
    </row>
    <row r="253" spans="1:26" ht="12.5">
      <c r="A253" s="68" t="s">
        <v>584</v>
      </c>
      <c r="B253" s="68" t="s">
        <v>585</v>
      </c>
      <c r="C253" s="68" t="s">
        <v>592</v>
      </c>
      <c r="D253" s="68" t="s">
        <v>28</v>
      </c>
      <c r="E253" s="69">
        <v>2020</v>
      </c>
      <c r="F253" s="69">
        <v>13</v>
      </c>
      <c r="G253" s="69">
        <v>270.89999999999998</v>
      </c>
      <c r="H253" s="69">
        <v>5101</v>
      </c>
      <c r="I253" s="67"/>
      <c r="J253" s="67"/>
      <c r="K253" s="67"/>
      <c r="L253" s="67"/>
      <c r="M253" s="67"/>
      <c r="N253" s="67"/>
      <c r="O253" s="67"/>
      <c r="P253" s="67"/>
      <c r="Q253" s="67"/>
      <c r="R253" s="67"/>
      <c r="S253" s="67"/>
      <c r="T253" s="67"/>
      <c r="U253" s="67"/>
      <c r="V253" s="67"/>
      <c r="W253" s="67"/>
      <c r="X253" s="67"/>
      <c r="Y253" s="67"/>
      <c r="Z253" s="67"/>
    </row>
    <row r="254" spans="1:26" ht="12.5">
      <c r="A254" s="68" t="s">
        <v>584</v>
      </c>
      <c r="B254" s="68" t="s">
        <v>585</v>
      </c>
      <c r="C254" s="68" t="s">
        <v>594</v>
      </c>
      <c r="D254" s="68" t="s">
        <v>32</v>
      </c>
      <c r="E254" s="69">
        <v>2020</v>
      </c>
      <c r="F254" s="69">
        <v>17</v>
      </c>
      <c r="G254" s="69">
        <v>216.6</v>
      </c>
      <c r="H254" s="69">
        <v>9657</v>
      </c>
      <c r="I254" s="67"/>
      <c r="J254" s="67"/>
      <c r="K254" s="67"/>
      <c r="L254" s="67"/>
      <c r="M254" s="67"/>
      <c r="N254" s="67"/>
      <c r="O254" s="67"/>
      <c r="P254" s="67"/>
      <c r="Q254" s="67"/>
      <c r="R254" s="67"/>
      <c r="S254" s="67"/>
      <c r="T254" s="67"/>
      <c r="U254" s="67"/>
      <c r="V254" s="67"/>
      <c r="W254" s="67"/>
      <c r="X254" s="67"/>
      <c r="Y254" s="67"/>
      <c r="Z254" s="67"/>
    </row>
    <row r="255" spans="1:26" ht="12.5">
      <c r="A255" s="68" t="s">
        <v>584</v>
      </c>
      <c r="B255" s="68" t="s">
        <v>585</v>
      </c>
      <c r="C255" s="68" t="s">
        <v>76</v>
      </c>
      <c r="D255" s="68" t="s">
        <v>28</v>
      </c>
      <c r="E255" s="69">
        <v>2020</v>
      </c>
      <c r="F255" s="69">
        <v>17</v>
      </c>
      <c r="G255" s="69">
        <v>337.6</v>
      </c>
      <c r="H255" s="69">
        <v>7585</v>
      </c>
      <c r="I255" s="67"/>
      <c r="J255" s="67"/>
      <c r="K255" s="67"/>
      <c r="L255" s="67"/>
      <c r="M255" s="67"/>
      <c r="N255" s="67"/>
      <c r="O255" s="67"/>
      <c r="P255" s="67"/>
      <c r="Q255" s="67"/>
      <c r="R255" s="67"/>
      <c r="S255" s="67"/>
      <c r="T255" s="67"/>
      <c r="U255" s="67"/>
      <c r="V255" s="67"/>
      <c r="W255" s="67"/>
      <c r="X255" s="67"/>
      <c r="Y255" s="67"/>
      <c r="Z255" s="67"/>
    </row>
    <row r="256" spans="1:26" ht="12.5">
      <c r="A256" s="68" t="s">
        <v>584</v>
      </c>
      <c r="B256" s="68" t="s">
        <v>585</v>
      </c>
      <c r="C256" s="68" t="s">
        <v>86</v>
      </c>
      <c r="D256" s="68" t="s">
        <v>28</v>
      </c>
      <c r="E256" s="69">
        <v>2020</v>
      </c>
      <c r="F256" s="69">
        <v>21</v>
      </c>
      <c r="G256" s="69">
        <v>252</v>
      </c>
      <c r="H256" s="69">
        <v>7047</v>
      </c>
      <c r="I256" s="67"/>
      <c r="J256" s="67"/>
      <c r="K256" s="67"/>
      <c r="L256" s="67"/>
      <c r="M256" s="67"/>
      <c r="N256" s="67"/>
      <c r="O256" s="67"/>
      <c r="P256" s="67"/>
      <c r="Q256" s="67"/>
      <c r="R256" s="67"/>
      <c r="S256" s="67"/>
      <c r="T256" s="67"/>
      <c r="U256" s="67"/>
      <c r="V256" s="67"/>
      <c r="W256" s="67"/>
      <c r="X256" s="67"/>
      <c r="Y256" s="67"/>
      <c r="Z256" s="67"/>
    </row>
    <row r="257" spans="1:26" ht="12.5">
      <c r="A257" s="68" t="s">
        <v>584</v>
      </c>
      <c r="B257" s="68" t="s">
        <v>585</v>
      </c>
      <c r="C257" s="68" t="s">
        <v>598</v>
      </c>
      <c r="D257" s="68" t="s">
        <v>32</v>
      </c>
      <c r="E257" s="69">
        <v>2020</v>
      </c>
      <c r="F257" s="69">
        <v>37</v>
      </c>
      <c r="G257" s="69">
        <v>731.4</v>
      </c>
      <c r="H257" s="69">
        <v>19850</v>
      </c>
      <c r="I257" s="67"/>
      <c r="J257" s="67"/>
      <c r="K257" s="67"/>
      <c r="L257" s="67"/>
      <c r="M257" s="67"/>
      <c r="N257" s="67"/>
      <c r="O257" s="67"/>
      <c r="P257" s="67"/>
      <c r="Q257" s="67"/>
      <c r="R257" s="67"/>
      <c r="S257" s="67"/>
      <c r="T257" s="67"/>
      <c r="U257" s="67"/>
      <c r="V257" s="67"/>
      <c r="W257" s="67"/>
      <c r="X257" s="67"/>
      <c r="Y257" s="67"/>
      <c r="Z257" s="67"/>
    </row>
    <row r="258" spans="1:26" ht="12.5">
      <c r="A258" s="68" t="s">
        <v>584</v>
      </c>
      <c r="B258" s="68" t="s">
        <v>585</v>
      </c>
      <c r="C258" s="68" t="s">
        <v>601</v>
      </c>
      <c r="D258" s="68" t="s">
        <v>28</v>
      </c>
      <c r="E258" s="69">
        <v>2020</v>
      </c>
      <c r="F258" s="69">
        <v>14</v>
      </c>
      <c r="G258" s="69">
        <v>217.7</v>
      </c>
      <c r="H258" s="69">
        <v>5100</v>
      </c>
      <c r="I258" s="67"/>
      <c r="J258" s="67"/>
      <c r="K258" s="67"/>
      <c r="L258" s="67"/>
      <c r="M258" s="67"/>
      <c r="N258" s="67"/>
      <c r="O258" s="67"/>
      <c r="P258" s="67"/>
      <c r="Q258" s="67"/>
      <c r="R258" s="67"/>
      <c r="S258" s="67"/>
      <c r="T258" s="67"/>
      <c r="U258" s="67"/>
      <c r="V258" s="67"/>
      <c r="W258" s="67"/>
      <c r="X258" s="67"/>
      <c r="Y258" s="67"/>
      <c r="Z258" s="67"/>
    </row>
    <row r="259" spans="1:26" ht="12.5">
      <c r="A259" s="68" t="s">
        <v>584</v>
      </c>
      <c r="B259" s="68" t="s">
        <v>585</v>
      </c>
      <c r="C259" s="68" t="s">
        <v>603</v>
      </c>
      <c r="D259" s="68" t="s">
        <v>32</v>
      </c>
      <c r="E259" s="69">
        <v>2020</v>
      </c>
      <c r="F259" s="69">
        <v>7</v>
      </c>
      <c r="G259" s="69">
        <v>157.80000000000001</v>
      </c>
      <c r="H259" s="69">
        <v>5476</v>
      </c>
      <c r="I259" s="67"/>
      <c r="J259" s="67"/>
      <c r="K259" s="67"/>
      <c r="L259" s="67"/>
      <c r="M259" s="67"/>
      <c r="N259" s="67"/>
      <c r="O259" s="67"/>
      <c r="P259" s="67"/>
      <c r="Q259" s="67"/>
      <c r="R259" s="67"/>
      <c r="S259" s="67"/>
      <c r="T259" s="67"/>
      <c r="U259" s="67"/>
      <c r="V259" s="67"/>
      <c r="W259" s="67"/>
      <c r="X259" s="67"/>
      <c r="Y259" s="67"/>
      <c r="Z259" s="67"/>
    </row>
    <row r="260" spans="1:26" ht="12.5">
      <c r="A260" s="68" t="s">
        <v>584</v>
      </c>
      <c r="B260" s="68" t="s">
        <v>585</v>
      </c>
      <c r="C260" s="68" t="s">
        <v>605</v>
      </c>
      <c r="D260" s="68" t="s">
        <v>28</v>
      </c>
      <c r="E260" s="69">
        <v>2020</v>
      </c>
      <c r="F260" s="69">
        <v>8</v>
      </c>
      <c r="G260" s="69">
        <v>132.19999999999999</v>
      </c>
      <c r="H260" s="69">
        <v>4189</v>
      </c>
      <c r="I260" s="67"/>
      <c r="J260" s="67"/>
      <c r="K260" s="67"/>
      <c r="L260" s="67"/>
      <c r="M260" s="67"/>
      <c r="N260" s="67"/>
      <c r="O260" s="67"/>
      <c r="P260" s="67"/>
      <c r="Q260" s="67"/>
      <c r="R260" s="67"/>
      <c r="S260" s="67"/>
      <c r="T260" s="67"/>
      <c r="U260" s="67"/>
      <c r="V260" s="67"/>
      <c r="W260" s="67"/>
      <c r="X260" s="67"/>
      <c r="Y260" s="67"/>
      <c r="Z260" s="67"/>
    </row>
    <row r="261" spans="1:26" ht="12.5">
      <c r="A261" s="68" t="s">
        <v>584</v>
      </c>
      <c r="B261" s="68" t="s">
        <v>607</v>
      </c>
      <c r="C261" s="68" t="s">
        <v>608</v>
      </c>
      <c r="D261" s="68" t="s">
        <v>28</v>
      </c>
      <c r="E261" s="69">
        <v>2020</v>
      </c>
      <c r="F261" s="69">
        <v>6</v>
      </c>
      <c r="G261" s="69">
        <v>138.19999999999999</v>
      </c>
      <c r="H261" s="69">
        <v>3831</v>
      </c>
      <c r="I261" s="67"/>
      <c r="J261" s="67"/>
      <c r="K261" s="67"/>
      <c r="L261" s="67"/>
      <c r="M261" s="67"/>
      <c r="N261" s="67"/>
      <c r="O261" s="67"/>
      <c r="P261" s="67"/>
      <c r="Q261" s="67"/>
      <c r="R261" s="67"/>
      <c r="S261" s="67"/>
      <c r="T261" s="67"/>
      <c r="U261" s="67"/>
      <c r="V261" s="67"/>
      <c r="W261" s="67"/>
      <c r="X261" s="67"/>
      <c r="Y261" s="67"/>
      <c r="Z261" s="67"/>
    </row>
    <row r="262" spans="1:26" ht="12.5">
      <c r="A262" s="68" t="s">
        <v>584</v>
      </c>
      <c r="B262" s="68" t="s">
        <v>607</v>
      </c>
      <c r="C262" s="68" t="s">
        <v>610</v>
      </c>
      <c r="D262" s="68" t="s">
        <v>28</v>
      </c>
      <c r="E262" s="69">
        <v>2020</v>
      </c>
      <c r="F262" s="69">
        <v>16</v>
      </c>
      <c r="G262" s="69">
        <v>229</v>
      </c>
      <c r="H262" s="69">
        <v>9060</v>
      </c>
      <c r="I262" s="67"/>
      <c r="J262" s="67"/>
      <c r="K262" s="67"/>
      <c r="L262" s="67"/>
      <c r="M262" s="67"/>
      <c r="N262" s="67"/>
      <c r="O262" s="67"/>
      <c r="P262" s="67"/>
      <c r="Q262" s="67"/>
      <c r="R262" s="67"/>
      <c r="S262" s="67"/>
      <c r="T262" s="67"/>
      <c r="U262" s="67"/>
      <c r="V262" s="67"/>
      <c r="W262" s="67"/>
      <c r="X262" s="67"/>
      <c r="Y262" s="67"/>
      <c r="Z262" s="67"/>
    </row>
    <row r="263" spans="1:26" ht="12.5">
      <c r="A263" s="68" t="s">
        <v>584</v>
      </c>
      <c r="B263" s="68" t="s">
        <v>607</v>
      </c>
      <c r="C263" s="68" t="s">
        <v>613</v>
      </c>
      <c r="D263" s="68" t="s">
        <v>32</v>
      </c>
      <c r="E263" s="69">
        <v>2020</v>
      </c>
      <c r="F263" s="69">
        <v>37</v>
      </c>
      <c r="G263" s="69">
        <v>626.9</v>
      </c>
      <c r="H263" s="69">
        <v>14272</v>
      </c>
      <c r="I263" s="67"/>
      <c r="J263" s="67"/>
      <c r="K263" s="67"/>
      <c r="L263" s="67"/>
      <c r="M263" s="67"/>
      <c r="N263" s="67"/>
      <c r="O263" s="67"/>
      <c r="P263" s="67"/>
      <c r="Q263" s="67"/>
      <c r="R263" s="67"/>
      <c r="S263" s="67"/>
      <c r="T263" s="67"/>
      <c r="U263" s="67"/>
      <c r="V263" s="67"/>
      <c r="W263" s="67"/>
      <c r="X263" s="67"/>
      <c r="Y263" s="67"/>
      <c r="Z263" s="67"/>
    </row>
    <row r="264" spans="1:26" ht="12.5">
      <c r="A264" s="68" t="s">
        <v>584</v>
      </c>
      <c r="B264" s="68" t="s">
        <v>607</v>
      </c>
      <c r="C264" s="68" t="s">
        <v>615</v>
      </c>
      <c r="D264" s="68" t="s">
        <v>28</v>
      </c>
      <c r="E264" s="69">
        <v>2020</v>
      </c>
      <c r="F264" s="69">
        <v>5</v>
      </c>
      <c r="G264" s="69">
        <v>96.9</v>
      </c>
      <c r="H264" s="69">
        <v>2348</v>
      </c>
      <c r="I264" s="67"/>
      <c r="J264" s="67"/>
      <c r="K264" s="67"/>
      <c r="L264" s="67"/>
      <c r="M264" s="67"/>
      <c r="N264" s="67"/>
      <c r="O264" s="67"/>
      <c r="P264" s="67"/>
      <c r="Q264" s="67"/>
      <c r="R264" s="67"/>
      <c r="S264" s="67"/>
      <c r="T264" s="67"/>
      <c r="U264" s="67"/>
      <c r="V264" s="67"/>
      <c r="W264" s="67"/>
      <c r="X264" s="67"/>
      <c r="Y264" s="67"/>
      <c r="Z264" s="67"/>
    </row>
    <row r="265" spans="1:26" ht="12.5">
      <c r="A265" s="68" t="s">
        <v>584</v>
      </c>
      <c r="B265" s="68" t="s">
        <v>607</v>
      </c>
      <c r="C265" s="68" t="s">
        <v>617</v>
      </c>
      <c r="D265" s="68" t="s">
        <v>28</v>
      </c>
      <c r="E265" s="69">
        <v>2020</v>
      </c>
      <c r="F265" s="69">
        <v>7</v>
      </c>
      <c r="G265" s="69">
        <v>146.9</v>
      </c>
      <c r="H265" s="69">
        <v>3129</v>
      </c>
      <c r="I265" s="67"/>
      <c r="J265" s="67"/>
      <c r="K265" s="67"/>
      <c r="L265" s="67"/>
      <c r="M265" s="67"/>
      <c r="N265" s="67"/>
      <c r="O265" s="67"/>
      <c r="P265" s="67"/>
      <c r="Q265" s="67"/>
      <c r="R265" s="67"/>
      <c r="S265" s="67"/>
      <c r="T265" s="67"/>
      <c r="U265" s="67"/>
      <c r="V265" s="67"/>
      <c r="W265" s="67"/>
      <c r="X265" s="67"/>
      <c r="Y265" s="67"/>
      <c r="Z265" s="67"/>
    </row>
    <row r="266" spans="1:26" ht="12.5">
      <c r="A266" s="68" t="s">
        <v>584</v>
      </c>
      <c r="B266" s="68" t="s">
        <v>607</v>
      </c>
      <c r="C266" s="68" t="s">
        <v>619</v>
      </c>
      <c r="D266" s="68" t="s">
        <v>28</v>
      </c>
      <c r="E266" s="69">
        <v>2020</v>
      </c>
      <c r="F266" s="69">
        <v>8</v>
      </c>
      <c r="G266" s="69">
        <v>160.80000000000001</v>
      </c>
      <c r="H266" s="69">
        <v>5459</v>
      </c>
      <c r="I266" s="67"/>
      <c r="J266" s="67"/>
      <c r="K266" s="67"/>
      <c r="L266" s="67"/>
      <c r="M266" s="67"/>
      <c r="N266" s="67"/>
      <c r="O266" s="67"/>
      <c r="P266" s="67"/>
      <c r="Q266" s="67"/>
      <c r="R266" s="67"/>
      <c r="S266" s="67"/>
      <c r="T266" s="67"/>
      <c r="U266" s="67"/>
      <c r="V266" s="67"/>
      <c r="W266" s="67"/>
      <c r="X266" s="67"/>
      <c r="Y266" s="67"/>
      <c r="Z266" s="67"/>
    </row>
    <row r="267" spans="1:26" ht="12.5">
      <c r="A267" s="68" t="s">
        <v>584</v>
      </c>
      <c r="B267" s="68" t="s">
        <v>607</v>
      </c>
      <c r="C267" s="68" t="s">
        <v>622</v>
      </c>
      <c r="D267" s="68" t="s">
        <v>28</v>
      </c>
      <c r="E267" s="69">
        <v>2020</v>
      </c>
      <c r="F267" s="69">
        <v>12</v>
      </c>
      <c r="G267" s="69">
        <v>222.7</v>
      </c>
      <c r="H267" s="69">
        <v>6459</v>
      </c>
      <c r="I267" s="67"/>
      <c r="J267" s="67"/>
      <c r="K267" s="67"/>
      <c r="L267" s="67"/>
      <c r="M267" s="67"/>
      <c r="N267" s="67"/>
      <c r="O267" s="67"/>
      <c r="P267" s="67"/>
      <c r="Q267" s="67"/>
      <c r="R267" s="67"/>
      <c r="S267" s="67"/>
      <c r="T267" s="67"/>
      <c r="U267" s="67"/>
      <c r="V267" s="67"/>
      <c r="W267" s="67"/>
      <c r="X267" s="67"/>
      <c r="Y267" s="67"/>
      <c r="Z267" s="67"/>
    </row>
    <row r="268" spans="1:26" ht="12.5">
      <c r="A268" s="68" t="s">
        <v>584</v>
      </c>
      <c r="B268" s="68" t="s">
        <v>607</v>
      </c>
      <c r="C268" s="68" t="s">
        <v>624</v>
      </c>
      <c r="D268" s="68" t="s">
        <v>28</v>
      </c>
      <c r="E268" s="69">
        <v>2020</v>
      </c>
      <c r="F268" s="69">
        <v>13</v>
      </c>
      <c r="G268" s="69">
        <v>184.8</v>
      </c>
      <c r="H268" s="69">
        <v>10888</v>
      </c>
      <c r="I268" s="67"/>
      <c r="J268" s="67"/>
      <c r="K268" s="67"/>
      <c r="L268" s="67"/>
      <c r="M268" s="67"/>
      <c r="N268" s="67"/>
      <c r="O268" s="67"/>
      <c r="P268" s="67"/>
      <c r="Q268" s="67"/>
      <c r="R268" s="67"/>
      <c r="S268" s="67"/>
      <c r="T268" s="67"/>
      <c r="U268" s="67"/>
      <c r="V268" s="67"/>
      <c r="W268" s="67"/>
      <c r="X268" s="67"/>
      <c r="Y268" s="67"/>
      <c r="Z268" s="67"/>
    </row>
    <row r="269" spans="1:26" ht="12.5">
      <c r="A269" s="68" t="s">
        <v>584</v>
      </c>
      <c r="B269" s="68" t="s">
        <v>607</v>
      </c>
      <c r="C269" s="68" t="s">
        <v>626</v>
      </c>
      <c r="D269" s="68" t="s">
        <v>32</v>
      </c>
      <c r="E269" s="69">
        <v>2020</v>
      </c>
      <c r="F269" s="69">
        <v>3</v>
      </c>
      <c r="G269" s="69">
        <v>37.5</v>
      </c>
      <c r="H269" s="69">
        <v>3640</v>
      </c>
      <c r="I269" s="67"/>
      <c r="J269" s="67"/>
      <c r="K269" s="67"/>
      <c r="L269" s="67"/>
      <c r="M269" s="67"/>
      <c r="N269" s="67"/>
      <c r="O269" s="67"/>
      <c r="P269" s="67"/>
      <c r="Q269" s="67"/>
      <c r="R269" s="67"/>
      <c r="S269" s="67"/>
      <c r="T269" s="67"/>
      <c r="U269" s="67"/>
      <c r="V269" s="67"/>
      <c r="W269" s="67"/>
      <c r="X269" s="67"/>
      <c r="Y269" s="67"/>
      <c r="Z269" s="67"/>
    </row>
    <row r="270" spans="1:26" ht="12.5">
      <c r="A270" s="68" t="s">
        <v>584</v>
      </c>
      <c r="B270" s="68" t="s">
        <v>607</v>
      </c>
      <c r="C270" s="68" t="s">
        <v>629</v>
      </c>
      <c r="D270" s="68" t="s">
        <v>20</v>
      </c>
      <c r="E270" s="69">
        <v>2020</v>
      </c>
      <c r="F270" s="69">
        <v>2</v>
      </c>
      <c r="G270" s="69">
        <v>91.5</v>
      </c>
      <c r="H270" s="69">
        <v>265126</v>
      </c>
      <c r="I270" s="67"/>
      <c r="J270" s="67"/>
      <c r="K270" s="67"/>
      <c r="L270" s="67"/>
      <c r="M270" s="67"/>
      <c r="N270" s="67"/>
      <c r="O270" s="67"/>
      <c r="P270" s="67"/>
      <c r="Q270" s="67"/>
      <c r="R270" s="67"/>
      <c r="S270" s="67"/>
      <c r="T270" s="67"/>
      <c r="U270" s="67"/>
      <c r="V270" s="67"/>
      <c r="W270" s="67"/>
      <c r="X270" s="67"/>
      <c r="Y270" s="67"/>
      <c r="Z270" s="67"/>
    </row>
    <row r="271" spans="1:26" ht="12.5">
      <c r="A271" s="68" t="s">
        <v>584</v>
      </c>
      <c r="B271" s="68" t="s">
        <v>607</v>
      </c>
      <c r="C271" s="68" t="s">
        <v>632</v>
      </c>
      <c r="D271" s="68" t="s">
        <v>28</v>
      </c>
      <c r="E271" s="69">
        <v>2020</v>
      </c>
      <c r="F271" s="69">
        <v>9</v>
      </c>
      <c r="G271" s="69">
        <v>159.5</v>
      </c>
      <c r="H271" s="69">
        <v>4050</v>
      </c>
      <c r="I271" s="67"/>
      <c r="J271" s="67"/>
      <c r="K271" s="67"/>
      <c r="L271" s="67"/>
      <c r="M271" s="67"/>
      <c r="N271" s="67"/>
      <c r="O271" s="67"/>
      <c r="P271" s="67"/>
      <c r="Q271" s="67"/>
      <c r="R271" s="67"/>
      <c r="S271" s="67"/>
      <c r="T271" s="67"/>
      <c r="U271" s="67"/>
      <c r="V271" s="67"/>
      <c r="W271" s="67"/>
      <c r="X271" s="67"/>
      <c r="Y271" s="67"/>
      <c r="Z271" s="67"/>
    </row>
    <row r="272" spans="1:26" ht="12.5">
      <c r="A272" s="68" t="s">
        <v>584</v>
      </c>
      <c r="B272" s="68" t="s">
        <v>607</v>
      </c>
      <c r="C272" s="68" t="s">
        <v>634</v>
      </c>
      <c r="D272" s="68" t="s">
        <v>32</v>
      </c>
      <c r="E272" s="69">
        <v>2020</v>
      </c>
      <c r="F272" s="69">
        <v>10</v>
      </c>
      <c r="G272" s="69">
        <v>240.3</v>
      </c>
      <c r="H272" s="69">
        <v>5465</v>
      </c>
      <c r="I272" s="67"/>
      <c r="J272" s="67"/>
      <c r="K272" s="67"/>
      <c r="L272" s="67"/>
      <c r="M272" s="67"/>
      <c r="N272" s="67"/>
      <c r="O272" s="67"/>
      <c r="P272" s="67"/>
      <c r="Q272" s="67"/>
      <c r="R272" s="67"/>
      <c r="S272" s="67"/>
      <c r="T272" s="67"/>
      <c r="U272" s="67"/>
      <c r="V272" s="67"/>
      <c r="W272" s="67"/>
      <c r="X272" s="67"/>
      <c r="Y272" s="67"/>
      <c r="Z272" s="67"/>
    </row>
    <row r="273" spans="1:26" ht="12.5">
      <c r="A273" s="68" t="s">
        <v>584</v>
      </c>
      <c r="B273" s="68" t="s">
        <v>607</v>
      </c>
      <c r="C273" s="68" t="s">
        <v>636</v>
      </c>
      <c r="D273" s="68" t="s">
        <v>20</v>
      </c>
      <c r="E273" s="69">
        <v>2020</v>
      </c>
      <c r="F273" s="69">
        <v>29</v>
      </c>
      <c r="G273" s="69">
        <v>426.7</v>
      </c>
      <c r="H273" s="69">
        <v>29737</v>
      </c>
      <c r="I273" s="67"/>
      <c r="J273" s="67"/>
      <c r="K273" s="67"/>
      <c r="L273" s="67"/>
      <c r="M273" s="67"/>
      <c r="N273" s="67"/>
      <c r="O273" s="67"/>
      <c r="P273" s="67"/>
      <c r="Q273" s="67"/>
      <c r="R273" s="67"/>
      <c r="S273" s="67"/>
      <c r="T273" s="67"/>
      <c r="U273" s="67"/>
      <c r="V273" s="67"/>
      <c r="W273" s="67"/>
      <c r="X273" s="67"/>
      <c r="Y273" s="67"/>
      <c r="Z273" s="67"/>
    </row>
    <row r="274" spans="1:26" ht="12.5">
      <c r="A274" s="68" t="s">
        <v>584</v>
      </c>
      <c r="B274" s="68" t="s">
        <v>607</v>
      </c>
      <c r="C274" s="68" t="s">
        <v>638</v>
      </c>
      <c r="D274" s="68" t="s">
        <v>28</v>
      </c>
      <c r="E274" s="69">
        <v>2020</v>
      </c>
      <c r="F274" s="69">
        <v>27</v>
      </c>
      <c r="G274" s="69">
        <v>325.2</v>
      </c>
      <c r="H274" s="69">
        <v>7924</v>
      </c>
      <c r="I274" s="67"/>
      <c r="J274" s="67"/>
      <c r="K274" s="67"/>
      <c r="L274" s="67"/>
      <c r="M274" s="67"/>
      <c r="N274" s="67"/>
      <c r="O274" s="67"/>
      <c r="P274" s="67"/>
      <c r="Q274" s="67"/>
      <c r="R274" s="67"/>
      <c r="S274" s="67"/>
      <c r="T274" s="67"/>
      <c r="U274" s="67"/>
      <c r="V274" s="67"/>
      <c r="W274" s="67"/>
      <c r="X274" s="67"/>
      <c r="Y274" s="67"/>
      <c r="Z274" s="67"/>
    </row>
    <row r="275" spans="1:26" ht="12.5">
      <c r="A275" s="68" t="s">
        <v>584</v>
      </c>
      <c r="B275" s="68" t="s">
        <v>607</v>
      </c>
      <c r="C275" s="68" t="s">
        <v>640</v>
      </c>
      <c r="D275" s="68" t="s">
        <v>32</v>
      </c>
      <c r="E275" s="69">
        <v>2020</v>
      </c>
      <c r="F275" s="69">
        <v>48</v>
      </c>
      <c r="G275" s="69">
        <v>756.7</v>
      </c>
      <c r="H275" s="69">
        <v>25675</v>
      </c>
      <c r="I275" s="67"/>
      <c r="J275" s="67"/>
      <c r="K275" s="67"/>
      <c r="L275" s="67"/>
      <c r="M275" s="67"/>
      <c r="N275" s="67"/>
      <c r="O275" s="67"/>
      <c r="P275" s="67"/>
      <c r="Q275" s="67"/>
      <c r="R275" s="67"/>
      <c r="S275" s="67"/>
      <c r="T275" s="67"/>
      <c r="U275" s="67"/>
      <c r="V275" s="67"/>
      <c r="W275" s="67"/>
      <c r="X275" s="67"/>
      <c r="Y275" s="67"/>
      <c r="Z275" s="67"/>
    </row>
    <row r="276" spans="1:26" ht="12.5">
      <c r="A276" s="68" t="s">
        <v>584</v>
      </c>
      <c r="B276" s="68" t="s">
        <v>607</v>
      </c>
      <c r="C276" s="68" t="s">
        <v>642</v>
      </c>
      <c r="D276" s="68" t="s">
        <v>32</v>
      </c>
      <c r="E276" s="69">
        <v>2020</v>
      </c>
      <c r="F276" s="69">
        <v>8</v>
      </c>
      <c r="G276" s="69">
        <v>164.4</v>
      </c>
      <c r="H276" s="69">
        <v>7068</v>
      </c>
      <c r="I276" s="67"/>
      <c r="J276" s="67"/>
      <c r="K276" s="67"/>
      <c r="L276" s="67"/>
      <c r="M276" s="67"/>
      <c r="N276" s="67"/>
      <c r="O276" s="67"/>
      <c r="P276" s="67"/>
      <c r="Q276" s="67"/>
      <c r="R276" s="67"/>
      <c r="S276" s="67"/>
      <c r="T276" s="67"/>
      <c r="U276" s="67"/>
      <c r="V276" s="67"/>
      <c r="W276" s="67"/>
      <c r="X276" s="67"/>
      <c r="Y276" s="67"/>
      <c r="Z276" s="67"/>
    </row>
    <row r="277" spans="1:26" ht="12.5">
      <c r="A277" s="68" t="s">
        <v>584</v>
      </c>
      <c r="B277" s="68" t="s">
        <v>607</v>
      </c>
      <c r="C277" s="68" t="s">
        <v>644</v>
      </c>
      <c r="D277" s="68" t="s">
        <v>32</v>
      </c>
      <c r="E277" s="69">
        <v>2020</v>
      </c>
      <c r="F277" s="69">
        <v>18</v>
      </c>
      <c r="G277" s="69">
        <v>210.3</v>
      </c>
      <c r="H277" s="69">
        <v>8289</v>
      </c>
      <c r="I277" s="67"/>
      <c r="J277" s="67"/>
      <c r="K277" s="67"/>
      <c r="L277" s="67"/>
      <c r="M277" s="67"/>
      <c r="N277" s="67"/>
      <c r="O277" s="67"/>
      <c r="P277" s="67"/>
      <c r="Q277" s="67"/>
      <c r="R277" s="67"/>
      <c r="S277" s="67"/>
      <c r="T277" s="67"/>
      <c r="U277" s="67"/>
      <c r="V277" s="67"/>
      <c r="W277" s="67"/>
      <c r="X277" s="67"/>
      <c r="Y277" s="67"/>
      <c r="Z277" s="67"/>
    </row>
    <row r="278" spans="1:26" ht="12.5">
      <c r="A278" s="68" t="s">
        <v>584</v>
      </c>
      <c r="B278" s="68" t="s">
        <v>607</v>
      </c>
      <c r="C278" s="68" t="s">
        <v>646</v>
      </c>
      <c r="D278" s="68" t="s">
        <v>32</v>
      </c>
      <c r="E278" s="69">
        <v>2020</v>
      </c>
      <c r="F278" s="69">
        <v>24</v>
      </c>
      <c r="G278" s="69">
        <v>423.3</v>
      </c>
      <c r="H278" s="69">
        <v>23720</v>
      </c>
      <c r="I278" s="67"/>
      <c r="J278" s="67"/>
      <c r="K278" s="67"/>
      <c r="L278" s="67"/>
      <c r="M278" s="67"/>
      <c r="N278" s="67"/>
      <c r="O278" s="67"/>
      <c r="P278" s="67"/>
      <c r="Q278" s="67"/>
      <c r="R278" s="67"/>
      <c r="S278" s="67"/>
      <c r="T278" s="67"/>
      <c r="U278" s="67"/>
      <c r="V278" s="67"/>
      <c r="W278" s="67"/>
      <c r="X278" s="67"/>
      <c r="Y278" s="67"/>
      <c r="Z278" s="67"/>
    </row>
    <row r="279" spans="1:26" ht="12.5">
      <c r="A279" s="68" t="s">
        <v>584</v>
      </c>
      <c r="B279" s="68" t="s">
        <v>607</v>
      </c>
      <c r="C279" s="68" t="s">
        <v>649</v>
      </c>
      <c r="D279" s="68" t="s">
        <v>28</v>
      </c>
      <c r="E279" s="69">
        <v>2020</v>
      </c>
      <c r="F279" s="69">
        <v>21</v>
      </c>
      <c r="G279" s="69">
        <v>302.3</v>
      </c>
      <c r="H279" s="69">
        <v>8250</v>
      </c>
      <c r="I279" s="67"/>
      <c r="J279" s="67"/>
      <c r="K279" s="67"/>
      <c r="L279" s="67"/>
      <c r="M279" s="67"/>
      <c r="N279" s="67"/>
      <c r="O279" s="67"/>
      <c r="P279" s="67"/>
      <c r="Q279" s="67"/>
      <c r="R279" s="67"/>
      <c r="S279" s="67"/>
      <c r="T279" s="67"/>
      <c r="U279" s="67"/>
      <c r="V279" s="67"/>
      <c r="W279" s="67"/>
      <c r="X279" s="67"/>
      <c r="Y279" s="67"/>
      <c r="Z279" s="67"/>
    </row>
    <row r="280" spans="1:26" ht="12.5">
      <c r="A280" s="68" t="s">
        <v>584</v>
      </c>
      <c r="B280" s="68" t="s">
        <v>607</v>
      </c>
      <c r="C280" s="68" t="s">
        <v>651</v>
      </c>
      <c r="D280" s="68" t="s">
        <v>28</v>
      </c>
      <c r="E280" s="69">
        <v>2020</v>
      </c>
      <c r="F280" s="69">
        <v>23</v>
      </c>
      <c r="G280" s="69">
        <v>499.5</v>
      </c>
      <c r="H280" s="69">
        <v>16362</v>
      </c>
      <c r="I280" s="67"/>
      <c r="J280" s="67"/>
      <c r="K280" s="67"/>
      <c r="L280" s="67"/>
      <c r="M280" s="67"/>
      <c r="N280" s="67"/>
      <c r="O280" s="67"/>
      <c r="P280" s="67"/>
      <c r="Q280" s="67"/>
      <c r="R280" s="67"/>
      <c r="S280" s="67"/>
      <c r="T280" s="67"/>
      <c r="U280" s="67"/>
      <c r="V280" s="67"/>
      <c r="W280" s="67"/>
      <c r="X280" s="67"/>
      <c r="Y280" s="67"/>
      <c r="Z280" s="67"/>
    </row>
    <row r="281" spans="1:26" ht="12.5">
      <c r="A281" s="68" t="s">
        <v>584</v>
      </c>
      <c r="B281" s="68" t="s">
        <v>607</v>
      </c>
      <c r="C281" s="68" t="s">
        <v>653</v>
      </c>
      <c r="D281" s="68" t="s">
        <v>28</v>
      </c>
      <c r="E281" s="69">
        <v>2020</v>
      </c>
      <c r="F281" s="69">
        <v>24</v>
      </c>
      <c r="G281" s="69">
        <v>258.8</v>
      </c>
      <c r="H281" s="69">
        <v>3420</v>
      </c>
      <c r="I281" s="67"/>
      <c r="J281" s="67"/>
      <c r="K281" s="67"/>
      <c r="L281" s="67"/>
      <c r="M281" s="67"/>
      <c r="N281" s="67"/>
      <c r="O281" s="67"/>
      <c r="P281" s="67"/>
      <c r="Q281" s="67"/>
      <c r="R281" s="67"/>
      <c r="S281" s="67"/>
      <c r="T281" s="67"/>
      <c r="U281" s="67"/>
      <c r="V281" s="67"/>
      <c r="W281" s="67"/>
      <c r="X281" s="67"/>
      <c r="Y281" s="67"/>
      <c r="Z281" s="67"/>
    </row>
    <row r="282" spans="1:26" ht="12.5">
      <c r="A282" s="68" t="s">
        <v>584</v>
      </c>
      <c r="B282" s="68" t="s">
        <v>607</v>
      </c>
      <c r="C282" s="68" t="s">
        <v>655</v>
      </c>
      <c r="D282" s="68" t="s">
        <v>32</v>
      </c>
      <c r="E282" s="69">
        <v>2020</v>
      </c>
      <c r="F282" s="69">
        <v>40</v>
      </c>
      <c r="G282" s="69">
        <v>528.29999999999995</v>
      </c>
      <c r="H282" s="69">
        <v>14033</v>
      </c>
      <c r="I282" s="67"/>
      <c r="J282" s="67"/>
      <c r="K282" s="67"/>
      <c r="L282" s="67"/>
      <c r="M282" s="67"/>
      <c r="N282" s="67"/>
      <c r="O282" s="67"/>
      <c r="P282" s="67"/>
      <c r="Q282" s="67"/>
      <c r="R282" s="67"/>
      <c r="S282" s="67"/>
      <c r="T282" s="67"/>
      <c r="U282" s="67"/>
      <c r="V282" s="67"/>
      <c r="W282" s="67"/>
      <c r="X282" s="67"/>
      <c r="Y282" s="67"/>
      <c r="Z282" s="67"/>
    </row>
    <row r="283" spans="1:26" ht="12.5">
      <c r="A283" s="68" t="s">
        <v>584</v>
      </c>
      <c r="B283" s="68" t="s">
        <v>607</v>
      </c>
      <c r="C283" s="68" t="s">
        <v>657</v>
      </c>
      <c r="D283" s="68" t="s">
        <v>20</v>
      </c>
      <c r="E283" s="69">
        <v>2020</v>
      </c>
      <c r="F283" s="69">
        <v>49</v>
      </c>
      <c r="G283" s="69">
        <v>855.1</v>
      </c>
      <c r="H283" s="69">
        <v>25518</v>
      </c>
      <c r="I283" s="67"/>
      <c r="J283" s="67"/>
      <c r="K283" s="67"/>
      <c r="L283" s="67"/>
      <c r="M283" s="67"/>
      <c r="N283" s="67"/>
      <c r="O283" s="67"/>
      <c r="P283" s="67"/>
      <c r="Q283" s="67"/>
      <c r="R283" s="67"/>
      <c r="S283" s="67"/>
      <c r="T283" s="67"/>
      <c r="U283" s="67"/>
      <c r="V283" s="67"/>
      <c r="W283" s="67"/>
      <c r="X283" s="67"/>
      <c r="Y283" s="67"/>
      <c r="Z283" s="67"/>
    </row>
    <row r="284" spans="1:26" ht="12.5">
      <c r="A284" s="68" t="s">
        <v>584</v>
      </c>
      <c r="B284" s="68" t="s">
        <v>607</v>
      </c>
      <c r="C284" s="68" t="s">
        <v>659</v>
      </c>
      <c r="D284" s="68" t="s">
        <v>32</v>
      </c>
      <c r="E284" s="69">
        <v>2020</v>
      </c>
      <c r="F284" s="69">
        <v>51</v>
      </c>
      <c r="G284" s="69">
        <v>718.6</v>
      </c>
      <c r="H284" s="69">
        <v>18724</v>
      </c>
      <c r="I284" s="67"/>
      <c r="J284" s="67"/>
      <c r="K284" s="67"/>
      <c r="L284" s="67"/>
      <c r="M284" s="67"/>
      <c r="N284" s="67"/>
      <c r="O284" s="67"/>
      <c r="P284" s="67"/>
      <c r="Q284" s="67"/>
      <c r="R284" s="67"/>
      <c r="S284" s="67"/>
      <c r="T284" s="67"/>
      <c r="U284" s="67"/>
      <c r="V284" s="67"/>
      <c r="W284" s="67"/>
      <c r="X284" s="67"/>
      <c r="Y284" s="67"/>
      <c r="Z284" s="67"/>
    </row>
    <row r="285" spans="1:26" ht="12.5">
      <c r="A285" s="68" t="s">
        <v>584</v>
      </c>
      <c r="B285" s="68" t="s">
        <v>607</v>
      </c>
      <c r="C285" s="68" t="s">
        <v>661</v>
      </c>
      <c r="D285" s="68" t="s">
        <v>28</v>
      </c>
      <c r="E285" s="69">
        <v>2020</v>
      </c>
      <c r="F285" s="69">
        <v>21</v>
      </c>
      <c r="G285" s="69">
        <v>286.10000000000002</v>
      </c>
      <c r="H285" s="69">
        <v>16840</v>
      </c>
      <c r="I285" s="67"/>
      <c r="J285" s="67"/>
      <c r="K285" s="67"/>
      <c r="L285" s="67"/>
      <c r="M285" s="67"/>
      <c r="N285" s="67"/>
      <c r="O285" s="67"/>
      <c r="P285" s="67"/>
      <c r="Q285" s="67"/>
      <c r="R285" s="67"/>
      <c r="S285" s="67"/>
      <c r="T285" s="67"/>
      <c r="U285" s="67"/>
      <c r="V285" s="67"/>
      <c r="W285" s="67"/>
      <c r="X285" s="67"/>
      <c r="Y285" s="67"/>
      <c r="Z285" s="67"/>
    </row>
    <row r="286" spans="1:26" ht="12.5">
      <c r="A286" s="68" t="s">
        <v>584</v>
      </c>
      <c r="B286" s="68" t="s">
        <v>607</v>
      </c>
      <c r="C286" s="68" t="s">
        <v>663</v>
      </c>
      <c r="D286" s="68" t="s">
        <v>28</v>
      </c>
      <c r="E286" s="69">
        <v>2020</v>
      </c>
      <c r="F286" s="69">
        <v>16</v>
      </c>
      <c r="G286" s="69">
        <v>261.5</v>
      </c>
      <c r="H286" s="69">
        <v>5034</v>
      </c>
      <c r="I286" s="67"/>
      <c r="J286" s="67"/>
      <c r="K286" s="67"/>
      <c r="L286" s="67"/>
      <c r="M286" s="67"/>
      <c r="N286" s="67"/>
      <c r="O286" s="67"/>
      <c r="P286" s="67"/>
      <c r="Q286" s="67"/>
      <c r="R286" s="67"/>
      <c r="S286" s="67"/>
      <c r="T286" s="67"/>
      <c r="U286" s="67"/>
      <c r="V286" s="67"/>
      <c r="W286" s="67"/>
      <c r="X286" s="67"/>
      <c r="Y286" s="67"/>
      <c r="Z286" s="67"/>
    </row>
    <row r="287" spans="1:26" ht="12.5">
      <c r="A287" s="68" t="s">
        <v>584</v>
      </c>
      <c r="B287" s="68" t="s">
        <v>607</v>
      </c>
      <c r="C287" s="68" t="s">
        <v>665</v>
      </c>
      <c r="D287" s="68" t="s">
        <v>28</v>
      </c>
      <c r="E287" s="69">
        <v>2020</v>
      </c>
      <c r="F287" s="69">
        <v>15</v>
      </c>
      <c r="G287" s="69">
        <v>295.8</v>
      </c>
      <c r="H287" s="69">
        <v>9647</v>
      </c>
      <c r="I287" s="67"/>
      <c r="J287" s="67"/>
      <c r="K287" s="67"/>
      <c r="L287" s="67"/>
      <c r="M287" s="67"/>
      <c r="N287" s="67"/>
      <c r="O287" s="67"/>
      <c r="P287" s="67"/>
      <c r="Q287" s="67"/>
      <c r="R287" s="67"/>
      <c r="S287" s="67"/>
      <c r="T287" s="67"/>
      <c r="U287" s="67"/>
      <c r="V287" s="67"/>
      <c r="W287" s="67"/>
      <c r="X287" s="67"/>
      <c r="Y287" s="67"/>
      <c r="Z287" s="67"/>
    </row>
    <row r="288" spans="1:26" ht="12.5">
      <c r="A288" s="68" t="s">
        <v>584</v>
      </c>
      <c r="B288" s="68" t="s">
        <v>607</v>
      </c>
      <c r="C288" s="68" t="s">
        <v>667</v>
      </c>
      <c r="D288" s="68" t="s">
        <v>28</v>
      </c>
      <c r="E288" s="69">
        <v>2020</v>
      </c>
      <c r="F288" s="69">
        <v>13</v>
      </c>
      <c r="G288" s="69">
        <v>207.1</v>
      </c>
      <c r="H288" s="69">
        <v>1814</v>
      </c>
      <c r="I288" s="67"/>
      <c r="J288" s="67"/>
      <c r="K288" s="67"/>
      <c r="L288" s="67"/>
      <c r="M288" s="67"/>
      <c r="N288" s="67"/>
      <c r="O288" s="67"/>
      <c r="P288" s="67"/>
      <c r="Q288" s="67"/>
      <c r="R288" s="67"/>
      <c r="S288" s="67"/>
      <c r="T288" s="67"/>
      <c r="U288" s="67"/>
      <c r="V288" s="67"/>
      <c r="W288" s="67"/>
      <c r="X288" s="67"/>
      <c r="Y288" s="67"/>
      <c r="Z288" s="67"/>
    </row>
    <row r="289" spans="1:26" ht="12.5">
      <c r="A289" s="68" t="s">
        <v>584</v>
      </c>
      <c r="B289" s="68" t="s">
        <v>607</v>
      </c>
      <c r="C289" s="68" t="s">
        <v>669</v>
      </c>
      <c r="D289" s="68" t="s">
        <v>32</v>
      </c>
      <c r="E289" s="69">
        <v>2020</v>
      </c>
      <c r="F289" s="69">
        <v>57</v>
      </c>
      <c r="G289" s="69">
        <v>595.5</v>
      </c>
      <c r="H289" s="69">
        <v>17885</v>
      </c>
      <c r="I289" s="67"/>
      <c r="J289" s="67"/>
      <c r="K289" s="67"/>
      <c r="L289" s="67"/>
      <c r="M289" s="67"/>
      <c r="N289" s="67"/>
      <c r="O289" s="67"/>
      <c r="P289" s="67"/>
      <c r="Q289" s="67"/>
      <c r="R289" s="67"/>
      <c r="S289" s="67"/>
      <c r="T289" s="67"/>
      <c r="U289" s="67"/>
      <c r="V289" s="67"/>
      <c r="W289" s="67"/>
      <c r="X289" s="67"/>
      <c r="Y289" s="67"/>
      <c r="Z289" s="67"/>
    </row>
    <row r="290" spans="1:26" ht="12.5">
      <c r="A290" s="68" t="s">
        <v>584</v>
      </c>
      <c r="B290" s="68" t="s">
        <v>607</v>
      </c>
      <c r="C290" s="68" t="s">
        <v>671</v>
      </c>
      <c r="D290" s="68" t="s">
        <v>32</v>
      </c>
      <c r="E290" s="69">
        <v>2020</v>
      </c>
      <c r="F290" s="69">
        <v>37</v>
      </c>
      <c r="G290" s="69">
        <v>537.4</v>
      </c>
      <c r="H290" s="69">
        <v>19842</v>
      </c>
      <c r="I290" s="67"/>
      <c r="J290" s="67"/>
      <c r="K290" s="67"/>
      <c r="L290" s="67"/>
      <c r="M290" s="67"/>
      <c r="N290" s="67"/>
      <c r="O290" s="67"/>
      <c r="P290" s="67"/>
      <c r="Q290" s="67"/>
      <c r="R290" s="67"/>
      <c r="S290" s="67"/>
      <c r="T290" s="67"/>
      <c r="U290" s="67"/>
      <c r="V290" s="67"/>
      <c r="W290" s="67"/>
      <c r="X290" s="67"/>
      <c r="Y290" s="67"/>
      <c r="Z290" s="67"/>
    </row>
    <row r="291" spans="1:26" ht="12.5">
      <c r="A291" s="68" t="s">
        <v>584</v>
      </c>
      <c r="B291" s="68" t="s">
        <v>607</v>
      </c>
      <c r="C291" s="68" t="s">
        <v>674</v>
      </c>
      <c r="D291" s="68" t="s">
        <v>20</v>
      </c>
      <c r="E291" s="69">
        <v>2020</v>
      </c>
      <c r="F291" s="69">
        <v>35</v>
      </c>
      <c r="G291" s="69">
        <v>520.6</v>
      </c>
      <c r="H291" s="69">
        <v>19802</v>
      </c>
      <c r="I291" s="67"/>
      <c r="J291" s="67"/>
      <c r="K291" s="67"/>
      <c r="L291" s="67"/>
      <c r="M291" s="67"/>
      <c r="N291" s="67"/>
      <c r="O291" s="67"/>
      <c r="P291" s="67"/>
      <c r="Q291" s="67"/>
      <c r="R291" s="67"/>
      <c r="S291" s="67"/>
      <c r="T291" s="67"/>
      <c r="U291" s="67"/>
      <c r="V291" s="67"/>
      <c r="W291" s="67"/>
      <c r="X291" s="67"/>
      <c r="Y291" s="67"/>
      <c r="Z291" s="67"/>
    </row>
    <row r="292" spans="1:26" ht="12.5">
      <c r="A292" s="68" t="s">
        <v>584</v>
      </c>
      <c r="B292" s="68" t="s">
        <v>676</v>
      </c>
      <c r="C292" s="68" t="s">
        <v>677</v>
      </c>
      <c r="D292" s="68" t="s">
        <v>32</v>
      </c>
      <c r="E292" s="69">
        <v>2020</v>
      </c>
      <c r="F292" s="69">
        <v>14</v>
      </c>
      <c r="G292" s="69">
        <v>245.3</v>
      </c>
      <c r="H292" s="69">
        <v>9081</v>
      </c>
      <c r="I292" s="67"/>
      <c r="J292" s="67"/>
      <c r="K292" s="67"/>
      <c r="L292" s="67"/>
      <c r="M292" s="67"/>
      <c r="N292" s="67"/>
      <c r="O292" s="67"/>
      <c r="P292" s="67"/>
      <c r="Q292" s="67"/>
      <c r="R292" s="67"/>
      <c r="S292" s="67"/>
      <c r="T292" s="67"/>
      <c r="U292" s="67"/>
      <c r="V292" s="67"/>
      <c r="W292" s="67"/>
      <c r="X292" s="67"/>
      <c r="Y292" s="67"/>
      <c r="Z292" s="67"/>
    </row>
    <row r="293" spans="1:26" ht="12.5">
      <c r="A293" s="68" t="s">
        <v>584</v>
      </c>
      <c r="B293" s="68" t="s">
        <v>676</v>
      </c>
      <c r="C293" s="68" t="s">
        <v>679</v>
      </c>
      <c r="D293" s="68" t="s">
        <v>28</v>
      </c>
      <c r="E293" s="69">
        <v>2020</v>
      </c>
      <c r="F293" s="69">
        <v>3</v>
      </c>
      <c r="G293" s="69">
        <v>106.7</v>
      </c>
      <c r="H293" s="69">
        <v>5780</v>
      </c>
      <c r="I293" s="67"/>
      <c r="J293" s="67"/>
      <c r="K293" s="67"/>
      <c r="L293" s="67"/>
      <c r="M293" s="67"/>
      <c r="N293" s="67"/>
      <c r="O293" s="67"/>
      <c r="P293" s="67"/>
      <c r="Q293" s="67"/>
      <c r="R293" s="67"/>
      <c r="S293" s="67"/>
      <c r="T293" s="67"/>
      <c r="U293" s="67"/>
      <c r="V293" s="67"/>
      <c r="W293" s="67"/>
      <c r="X293" s="67"/>
      <c r="Y293" s="67"/>
      <c r="Z293" s="67"/>
    </row>
    <row r="294" spans="1:26" ht="12.5">
      <c r="A294" s="68" t="s">
        <v>584</v>
      </c>
      <c r="B294" s="68" t="s">
        <v>676</v>
      </c>
      <c r="C294" s="68" t="s">
        <v>681</v>
      </c>
      <c r="D294" s="68" t="s">
        <v>28</v>
      </c>
      <c r="E294" s="69">
        <v>2020</v>
      </c>
      <c r="F294" s="69">
        <v>11</v>
      </c>
      <c r="G294" s="69">
        <v>184.4</v>
      </c>
      <c r="H294" s="69">
        <v>4790</v>
      </c>
      <c r="I294" s="67"/>
      <c r="J294" s="67"/>
      <c r="K294" s="67"/>
      <c r="L294" s="67"/>
      <c r="M294" s="67"/>
      <c r="N294" s="67"/>
      <c r="O294" s="67"/>
      <c r="P294" s="67"/>
      <c r="Q294" s="67"/>
      <c r="R294" s="67"/>
      <c r="S294" s="67"/>
      <c r="T294" s="67"/>
      <c r="U294" s="67"/>
      <c r="V294" s="67"/>
      <c r="W294" s="67"/>
      <c r="X294" s="67"/>
      <c r="Y294" s="67"/>
      <c r="Z294" s="67"/>
    </row>
    <row r="295" spans="1:26" ht="12.5">
      <c r="A295" s="68" t="s">
        <v>584</v>
      </c>
      <c r="B295" s="68" t="s">
        <v>676</v>
      </c>
      <c r="C295" s="68" t="s">
        <v>684</v>
      </c>
      <c r="D295" s="68" t="s">
        <v>28</v>
      </c>
      <c r="E295" s="69">
        <v>2020</v>
      </c>
      <c r="F295" s="69">
        <v>10</v>
      </c>
      <c r="G295" s="69">
        <v>133.9</v>
      </c>
      <c r="H295" s="69">
        <v>2797</v>
      </c>
      <c r="I295" s="67"/>
      <c r="J295" s="67"/>
      <c r="K295" s="67"/>
      <c r="L295" s="67"/>
      <c r="M295" s="67"/>
      <c r="N295" s="67"/>
      <c r="O295" s="67"/>
      <c r="P295" s="67"/>
      <c r="Q295" s="67"/>
      <c r="R295" s="67"/>
      <c r="S295" s="67"/>
      <c r="T295" s="67"/>
      <c r="U295" s="67"/>
      <c r="V295" s="67"/>
      <c r="W295" s="67"/>
      <c r="X295" s="67"/>
      <c r="Y295" s="67"/>
      <c r="Z295" s="67"/>
    </row>
    <row r="296" spans="1:26" ht="12.5">
      <c r="A296" s="68" t="s">
        <v>584</v>
      </c>
      <c r="B296" s="68" t="s">
        <v>676</v>
      </c>
      <c r="C296" s="68" t="s">
        <v>686</v>
      </c>
      <c r="D296" s="68" t="s">
        <v>20</v>
      </c>
      <c r="E296" s="69">
        <v>2020</v>
      </c>
      <c r="F296" s="69">
        <v>44</v>
      </c>
      <c r="G296" s="69">
        <v>806.3</v>
      </c>
      <c r="H296" s="69">
        <v>72582</v>
      </c>
      <c r="I296" s="67"/>
      <c r="J296" s="67"/>
      <c r="K296" s="67"/>
      <c r="L296" s="67"/>
      <c r="M296" s="67"/>
      <c r="N296" s="67"/>
      <c r="O296" s="67"/>
      <c r="P296" s="67"/>
      <c r="Q296" s="67"/>
      <c r="R296" s="67"/>
      <c r="S296" s="67"/>
      <c r="T296" s="67"/>
      <c r="U296" s="67"/>
      <c r="V296" s="67"/>
      <c r="W296" s="67"/>
      <c r="X296" s="67"/>
      <c r="Y296" s="67"/>
      <c r="Z296" s="67"/>
    </row>
    <row r="297" spans="1:26" ht="12.5">
      <c r="A297" s="68" t="s">
        <v>584</v>
      </c>
      <c r="B297" s="68" t="s">
        <v>676</v>
      </c>
      <c r="C297" s="68" t="s">
        <v>689</v>
      </c>
      <c r="D297" s="68" t="s">
        <v>32</v>
      </c>
      <c r="E297" s="69">
        <v>2020</v>
      </c>
      <c r="F297" s="69">
        <v>49</v>
      </c>
      <c r="G297" s="69">
        <v>998.9</v>
      </c>
      <c r="H297" s="69">
        <v>15400</v>
      </c>
      <c r="I297" s="67"/>
      <c r="J297" s="67"/>
      <c r="K297" s="67"/>
      <c r="L297" s="67"/>
      <c r="M297" s="67"/>
      <c r="N297" s="67"/>
      <c r="O297" s="67"/>
      <c r="P297" s="67"/>
      <c r="Q297" s="67"/>
      <c r="R297" s="67"/>
      <c r="S297" s="67"/>
      <c r="T297" s="67"/>
      <c r="U297" s="67"/>
      <c r="V297" s="67"/>
      <c r="W297" s="67"/>
      <c r="X297" s="67"/>
      <c r="Y297" s="67"/>
      <c r="Z297" s="67"/>
    </row>
    <row r="298" spans="1:26" ht="12.5">
      <c r="A298" s="68" t="s">
        <v>584</v>
      </c>
      <c r="B298" s="68" t="s">
        <v>676</v>
      </c>
      <c r="C298" s="68" t="s">
        <v>691</v>
      </c>
      <c r="D298" s="68" t="s">
        <v>20</v>
      </c>
      <c r="E298" s="69">
        <v>2020</v>
      </c>
      <c r="F298" s="69">
        <v>77</v>
      </c>
      <c r="G298" s="69">
        <v>1128.2</v>
      </c>
      <c r="H298" s="69">
        <v>37403</v>
      </c>
      <c r="I298" s="67"/>
      <c r="J298" s="67"/>
      <c r="K298" s="67"/>
      <c r="L298" s="67"/>
      <c r="M298" s="67"/>
      <c r="N298" s="67"/>
      <c r="O298" s="67"/>
      <c r="P298" s="67"/>
      <c r="Q298" s="67"/>
      <c r="R298" s="67"/>
      <c r="S298" s="67"/>
      <c r="T298" s="67"/>
      <c r="U298" s="67"/>
      <c r="V298" s="67"/>
      <c r="W298" s="67"/>
      <c r="X298" s="67"/>
      <c r="Y298" s="67"/>
      <c r="Z298" s="67"/>
    </row>
    <row r="299" spans="1:26" ht="12.5">
      <c r="A299" s="68" t="s">
        <v>584</v>
      </c>
      <c r="B299" s="68" t="s">
        <v>676</v>
      </c>
      <c r="C299" s="68" t="s">
        <v>694</v>
      </c>
      <c r="D299" s="68" t="s">
        <v>32</v>
      </c>
      <c r="E299" s="69">
        <v>2020</v>
      </c>
      <c r="F299" s="69">
        <v>65</v>
      </c>
      <c r="G299" s="69">
        <v>1275</v>
      </c>
      <c r="H299" s="69">
        <v>9382</v>
      </c>
      <c r="I299" s="67"/>
      <c r="J299" s="67"/>
      <c r="K299" s="67"/>
      <c r="L299" s="67"/>
      <c r="M299" s="67"/>
      <c r="N299" s="67"/>
      <c r="O299" s="67"/>
      <c r="P299" s="67"/>
      <c r="Q299" s="67"/>
      <c r="R299" s="67"/>
      <c r="S299" s="67"/>
      <c r="T299" s="67"/>
      <c r="U299" s="67"/>
      <c r="V299" s="67"/>
      <c r="W299" s="67"/>
      <c r="X299" s="67"/>
      <c r="Y299" s="67"/>
      <c r="Z299" s="67"/>
    </row>
    <row r="300" spans="1:26" ht="12.5">
      <c r="A300" s="68" t="s">
        <v>584</v>
      </c>
      <c r="B300" s="68" t="s">
        <v>676</v>
      </c>
      <c r="C300" s="68" t="s">
        <v>696</v>
      </c>
      <c r="D300" s="68" t="s">
        <v>20</v>
      </c>
      <c r="E300" s="69">
        <v>2020</v>
      </c>
      <c r="F300" s="69">
        <v>91</v>
      </c>
      <c r="G300" s="69">
        <v>1545.5</v>
      </c>
      <c r="H300" s="69">
        <v>36995</v>
      </c>
      <c r="I300" s="67"/>
      <c r="J300" s="67"/>
      <c r="K300" s="67"/>
      <c r="L300" s="67"/>
      <c r="M300" s="67"/>
      <c r="N300" s="67"/>
      <c r="O300" s="67"/>
      <c r="P300" s="67"/>
      <c r="Q300" s="67"/>
      <c r="R300" s="67"/>
      <c r="S300" s="67"/>
      <c r="T300" s="67"/>
      <c r="U300" s="67"/>
      <c r="V300" s="67"/>
      <c r="W300" s="67"/>
      <c r="X300" s="67"/>
      <c r="Y300" s="67"/>
      <c r="Z300" s="67"/>
    </row>
    <row r="301" spans="1:26" ht="12.5">
      <c r="A301" s="68" t="s">
        <v>584</v>
      </c>
      <c r="B301" s="68" t="s">
        <v>676</v>
      </c>
      <c r="C301" s="68" t="s">
        <v>698</v>
      </c>
      <c r="D301" s="68" t="s">
        <v>20</v>
      </c>
      <c r="E301" s="69">
        <v>2020</v>
      </c>
      <c r="F301" s="69">
        <v>57</v>
      </c>
      <c r="G301" s="69">
        <v>2144.1</v>
      </c>
      <c r="H301" s="69">
        <v>34587</v>
      </c>
      <c r="I301" s="67"/>
      <c r="J301" s="67"/>
      <c r="K301" s="67"/>
      <c r="L301" s="67"/>
      <c r="M301" s="67"/>
      <c r="N301" s="67"/>
      <c r="O301" s="67"/>
      <c r="P301" s="67"/>
      <c r="Q301" s="67"/>
      <c r="R301" s="67"/>
      <c r="S301" s="67"/>
      <c r="T301" s="67"/>
      <c r="U301" s="67"/>
      <c r="V301" s="67"/>
      <c r="W301" s="67"/>
      <c r="X301" s="67"/>
      <c r="Y301" s="67"/>
      <c r="Z301" s="67"/>
    </row>
    <row r="302" spans="1:26" ht="12.5">
      <c r="A302" s="68" t="s">
        <v>584</v>
      </c>
      <c r="B302" s="68" t="s">
        <v>676</v>
      </c>
      <c r="C302" s="68" t="s">
        <v>700</v>
      </c>
      <c r="D302" s="68" t="s">
        <v>28</v>
      </c>
      <c r="E302" s="69">
        <v>2020</v>
      </c>
      <c r="F302" s="69">
        <v>35</v>
      </c>
      <c r="G302" s="69">
        <v>1315.8</v>
      </c>
      <c r="H302" s="69">
        <v>11151</v>
      </c>
      <c r="I302" s="67"/>
      <c r="J302" s="67"/>
      <c r="K302" s="67"/>
      <c r="L302" s="67"/>
      <c r="M302" s="67"/>
      <c r="N302" s="67"/>
      <c r="O302" s="67"/>
      <c r="P302" s="67"/>
      <c r="Q302" s="67"/>
      <c r="R302" s="67"/>
      <c r="S302" s="67"/>
      <c r="T302" s="67"/>
      <c r="U302" s="67"/>
      <c r="V302" s="67"/>
      <c r="W302" s="67"/>
      <c r="X302" s="67"/>
      <c r="Y302" s="67"/>
      <c r="Z302" s="67"/>
    </row>
    <row r="303" spans="1:26" ht="12.5">
      <c r="A303" s="68" t="s">
        <v>584</v>
      </c>
      <c r="B303" s="68" t="s">
        <v>676</v>
      </c>
      <c r="C303" s="68" t="s">
        <v>702</v>
      </c>
      <c r="D303" s="68" t="s">
        <v>28</v>
      </c>
      <c r="E303" s="69">
        <v>2020</v>
      </c>
      <c r="F303" s="69">
        <v>46</v>
      </c>
      <c r="G303" s="69">
        <v>650.29999999999995</v>
      </c>
      <c r="H303" s="69">
        <v>9658</v>
      </c>
      <c r="I303" s="67"/>
      <c r="J303" s="67"/>
      <c r="K303" s="67"/>
      <c r="L303" s="67"/>
      <c r="M303" s="67"/>
      <c r="N303" s="67"/>
      <c r="O303" s="67"/>
      <c r="P303" s="67"/>
      <c r="Q303" s="67"/>
      <c r="R303" s="67"/>
      <c r="S303" s="67"/>
      <c r="T303" s="67"/>
      <c r="U303" s="67"/>
      <c r="V303" s="67"/>
      <c r="W303" s="67"/>
      <c r="X303" s="67"/>
      <c r="Y303" s="67"/>
      <c r="Z303" s="67"/>
    </row>
    <row r="304" spans="1:26" ht="12.5">
      <c r="A304" s="68" t="s">
        <v>584</v>
      </c>
      <c r="B304" s="68" t="s">
        <v>676</v>
      </c>
      <c r="C304" s="68" t="s">
        <v>704</v>
      </c>
      <c r="D304" s="68" t="s">
        <v>32</v>
      </c>
      <c r="E304" s="69">
        <v>2020</v>
      </c>
      <c r="F304" s="69">
        <v>27</v>
      </c>
      <c r="G304" s="69">
        <v>357.8</v>
      </c>
      <c r="H304" s="69">
        <v>5874</v>
      </c>
      <c r="I304" s="67"/>
      <c r="J304" s="67"/>
      <c r="K304" s="67"/>
      <c r="L304" s="67"/>
      <c r="M304" s="67"/>
      <c r="N304" s="67"/>
      <c r="O304" s="67"/>
      <c r="P304" s="67"/>
      <c r="Q304" s="67"/>
      <c r="R304" s="67"/>
      <c r="S304" s="67"/>
      <c r="T304" s="67"/>
      <c r="U304" s="67"/>
      <c r="V304" s="67"/>
      <c r="W304" s="67"/>
      <c r="X304" s="67"/>
      <c r="Y304" s="67"/>
      <c r="Z304" s="67"/>
    </row>
    <row r="305" spans="1:26" ht="12.5">
      <c r="A305" s="68" t="s">
        <v>584</v>
      </c>
      <c r="B305" s="68" t="s">
        <v>706</v>
      </c>
      <c r="C305" s="68" t="s">
        <v>707</v>
      </c>
      <c r="D305" s="68" t="s">
        <v>32</v>
      </c>
      <c r="E305" s="69">
        <v>2020</v>
      </c>
      <c r="F305" s="69">
        <v>72</v>
      </c>
      <c r="G305" s="69">
        <v>1478.1</v>
      </c>
      <c r="H305" s="69">
        <v>21579</v>
      </c>
      <c r="I305" s="67"/>
      <c r="J305" s="67"/>
      <c r="K305" s="67"/>
      <c r="L305" s="67"/>
      <c r="M305" s="67"/>
      <c r="N305" s="67"/>
      <c r="O305" s="67"/>
      <c r="P305" s="67"/>
      <c r="Q305" s="67"/>
      <c r="R305" s="67"/>
      <c r="S305" s="67"/>
      <c r="T305" s="67"/>
      <c r="U305" s="67"/>
      <c r="V305" s="67"/>
      <c r="W305" s="67"/>
      <c r="X305" s="67"/>
      <c r="Y305" s="67"/>
      <c r="Z305" s="67"/>
    </row>
    <row r="306" spans="1:26" ht="12.5">
      <c r="A306" s="68" t="s">
        <v>584</v>
      </c>
      <c r="B306" s="68" t="s">
        <v>706</v>
      </c>
      <c r="C306" s="68" t="s">
        <v>709</v>
      </c>
      <c r="D306" s="68" t="s">
        <v>20</v>
      </c>
      <c r="E306" s="69">
        <v>2020</v>
      </c>
      <c r="F306" s="69">
        <v>35</v>
      </c>
      <c r="G306" s="69">
        <v>602.4</v>
      </c>
      <c r="H306" s="69">
        <v>24328</v>
      </c>
      <c r="I306" s="67"/>
      <c r="J306" s="67"/>
      <c r="K306" s="67"/>
      <c r="L306" s="67"/>
      <c r="M306" s="67"/>
      <c r="N306" s="67"/>
      <c r="O306" s="67"/>
      <c r="P306" s="67"/>
      <c r="Q306" s="67"/>
      <c r="R306" s="67"/>
      <c r="S306" s="67"/>
      <c r="T306" s="67"/>
      <c r="U306" s="67"/>
      <c r="V306" s="67"/>
      <c r="W306" s="67"/>
      <c r="X306" s="67"/>
      <c r="Y306" s="67"/>
      <c r="Z306" s="67"/>
    </row>
    <row r="307" spans="1:26" ht="12.5">
      <c r="A307" s="68" t="s">
        <v>584</v>
      </c>
      <c r="B307" s="68" t="s">
        <v>706</v>
      </c>
      <c r="C307" s="68" t="s">
        <v>711</v>
      </c>
      <c r="D307" s="68" t="s">
        <v>28</v>
      </c>
      <c r="E307" s="69">
        <v>2020</v>
      </c>
      <c r="F307" s="69">
        <v>36</v>
      </c>
      <c r="G307" s="69">
        <v>491.3</v>
      </c>
      <c r="H307" s="69">
        <v>6731</v>
      </c>
      <c r="I307" s="67"/>
      <c r="J307" s="67"/>
      <c r="K307" s="67"/>
      <c r="L307" s="67"/>
      <c r="M307" s="67"/>
      <c r="N307" s="67"/>
      <c r="O307" s="67"/>
      <c r="P307" s="67"/>
      <c r="Q307" s="67"/>
      <c r="R307" s="67"/>
      <c r="S307" s="67"/>
      <c r="T307" s="67"/>
      <c r="U307" s="67"/>
      <c r="V307" s="67"/>
      <c r="W307" s="67"/>
      <c r="X307" s="67"/>
      <c r="Y307" s="67"/>
      <c r="Z307" s="67"/>
    </row>
    <row r="308" spans="1:26" ht="12.5">
      <c r="A308" s="68" t="s">
        <v>584</v>
      </c>
      <c r="B308" s="68" t="s">
        <v>706</v>
      </c>
      <c r="C308" s="68" t="s">
        <v>713</v>
      </c>
      <c r="D308" s="68" t="s">
        <v>28</v>
      </c>
      <c r="E308" s="69">
        <v>2020</v>
      </c>
      <c r="F308" s="69">
        <v>33</v>
      </c>
      <c r="G308" s="69">
        <v>445.5</v>
      </c>
      <c r="H308" s="69">
        <v>7876</v>
      </c>
      <c r="I308" s="67"/>
      <c r="J308" s="67"/>
      <c r="K308" s="67"/>
      <c r="L308" s="67"/>
      <c r="M308" s="67"/>
      <c r="N308" s="67"/>
      <c r="O308" s="67"/>
      <c r="P308" s="67"/>
      <c r="Q308" s="67"/>
      <c r="R308" s="67"/>
      <c r="S308" s="67"/>
      <c r="T308" s="67"/>
      <c r="U308" s="67"/>
      <c r="V308" s="67"/>
      <c r="W308" s="67"/>
      <c r="X308" s="67"/>
      <c r="Y308" s="67"/>
      <c r="Z308" s="67"/>
    </row>
    <row r="309" spans="1:26" ht="12.5">
      <c r="A309" s="68" t="s">
        <v>584</v>
      </c>
      <c r="B309" s="68" t="s">
        <v>706</v>
      </c>
      <c r="C309" s="68" t="s">
        <v>715</v>
      </c>
      <c r="D309" s="68" t="s">
        <v>32</v>
      </c>
      <c r="E309" s="69">
        <v>2020</v>
      </c>
      <c r="F309" s="69">
        <v>13</v>
      </c>
      <c r="G309" s="69">
        <v>479.9</v>
      </c>
      <c r="H309" s="69">
        <v>8214</v>
      </c>
      <c r="I309" s="67"/>
      <c r="J309" s="67"/>
      <c r="K309" s="67"/>
      <c r="L309" s="67"/>
      <c r="M309" s="67"/>
      <c r="N309" s="67"/>
      <c r="O309" s="67"/>
      <c r="P309" s="67"/>
      <c r="Q309" s="67"/>
      <c r="R309" s="67"/>
      <c r="S309" s="67"/>
      <c r="T309" s="67"/>
      <c r="U309" s="67"/>
      <c r="V309" s="67"/>
      <c r="W309" s="67"/>
      <c r="X309" s="67"/>
      <c r="Y309" s="67"/>
      <c r="Z309" s="67"/>
    </row>
    <row r="310" spans="1:26" ht="12.5">
      <c r="A310" s="68" t="s">
        <v>584</v>
      </c>
      <c r="B310" s="68" t="s">
        <v>706</v>
      </c>
      <c r="C310" s="68" t="s">
        <v>717</v>
      </c>
      <c r="D310" s="68" t="s">
        <v>32</v>
      </c>
      <c r="E310" s="69">
        <v>2020</v>
      </c>
      <c r="F310" s="69">
        <v>16</v>
      </c>
      <c r="G310" s="69">
        <v>225.3</v>
      </c>
      <c r="H310" s="69">
        <v>8877</v>
      </c>
      <c r="I310" s="67"/>
      <c r="J310" s="67"/>
      <c r="K310" s="67"/>
      <c r="L310" s="67"/>
      <c r="M310" s="67"/>
      <c r="N310" s="67"/>
      <c r="O310" s="67"/>
      <c r="P310" s="67"/>
      <c r="Q310" s="67"/>
      <c r="R310" s="67"/>
      <c r="S310" s="67"/>
      <c r="T310" s="67"/>
      <c r="U310" s="67"/>
      <c r="V310" s="67"/>
      <c r="W310" s="67"/>
      <c r="X310" s="67"/>
      <c r="Y310" s="67"/>
      <c r="Z310" s="67"/>
    </row>
    <row r="311" spans="1:26" ht="12.5">
      <c r="A311" s="68" t="s">
        <v>584</v>
      </c>
      <c r="B311" s="68" t="s">
        <v>706</v>
      </c>
      <c r="C311" s="68" t="s">
        <v>719</v>
      </c>
      <c r="D311" s="68" t="s">
        <v>28</v>
      </c>
      <c r="E311" s="69">
        <v>2020</v>
      </c>
      <c r="F311" s="69">
        <v>12</v>
      </c>
      <c r="G311" s="69">
        <v>173</v>
      </c>
      <c r="H311" s="69">
        <v>3747</v>
      </c>
      <c r="I311" s="67"/>
      <c r="J311" s="67"/>
      <c r="K311" s="67"/>
      <c r="L311" s="67"/>
      <c r="M311" s="67"/>
      <c r="N311" s="67"/>
      <c r="O311" s="67"/>
      <c r="P311" s="67"/>
      <c r="Q311" s="67"/>
      <c r="R311" s="67"/>
      <c r="S311" s="67"/>
      <c r="T311" s="67"/>
      <c r="U311" s="67"/>
      <c r="V311" s="67"/>
      <c r="W311" s="67"/>
      <c r="X311" s="67"/>
      <c r="Y311" s="67"/>
      <c r="Z311" s="67"/>
    </row>
    <row r="312" spans="1:26" ht="12.5">
      <c r="A312" s="68" t="s">
        <v>584</v>
      </c>
      <c r="B312" s="68" t="s">
        <v>706</v>
      </c>
      <c r="C312" s="68" t="s">
        <v>721</v>
      </c>
      <c r="D312" s="68" t="s">
        <v>20</v>
      </c>
      <c r="E312" s="69">
        <v>2020</v>
      </c>
      <c r="F312" s="69">
        <v>15</v>
      </c>
      <c r="G312" s="69">
        <v>249</v>
      </c>
      <c r="H312" s="69">
        <v>61603</v>
      </c>
      <c r="I312" s="67"/>
      <c r="J312" s="67"/>
      <c r="K312" s="67"/>
      <c r="L312" s="67"/>
      <c r="M312" s="67"/>
      <c r="N312" s="67"/>
      <c r="O312" s="67"/>
      <c r="P312" s="67"/>
      <c r="Q312" s="67"/>
      <c r="R312" s="67"/>
      <c r="S312" s="67"/>
      <c r="T312" s="67"/>
      <c r="U312" s="67"/>
      <c r="V312" s="67"/>
      <c r="W312" s="67"/>
      <c r="X312" s="67"/>
      <c r="Y312" s="67"/>
      <c r="Z312" s="67"/>
    </row>
    <row r="313" spans="1:26" ht="12.5">
      <c r="A313" s="68" t="s">
        <v>584</v>
      </c>
      <c r="B313" s="68" t="s">
        <v>706</v>
      </c>
      <c r="C313" s="68" t="s">
        <v>724</v>
      </c>
      <c r="D313" s="68" t="s">
        <v>28</v>
      </c>
      <c r="E313" s="69">
        <v>2020</v>
      </c>
      <c r="F313" s="69">
        <v>11</v>
      </c>
      <c r="G313" s="69">
        <v>192.7</v>
      </c>
      <c r="H313" s="69">
        <v>3867</v>
      </c>
      <c r="I313" s="67"/>
      <c r="J313" s="67"/>
      <c r="K313" s="67"/>
      <c r="L313" s="67"/>
      <c r="M313" s="67"/>
      <c r="N313" s="67"/>
      <c r="O313" s="67"/>
      <c r="P313" s="67"/>
      <c r="Q313" s="67"/>
      <c r="R313" s="67"/>
      <c r="S313" s="67"/>
      <c r="T313" s="67"/>
      <c r="U313" s="67"/>
      <c r="V313" s="67"/>
      <c r="W313" s="67"/>
      <c r="X313" s="67"/>
      <c r="Y313" s="67"/>
      <c r="Z313" s="67"/>
    </row>
    <row r="314" spans="1:26" ht="12.5">
      <c r="A314" s="68" t="s">
        <v>584</v>
      </c>
      <c r="B314" s="68" t="s">
        <v>706</v>
      </c>
      <c r="C314" s="68" t="s">
        <v>726</v>
      </c>
      <c r="D314" s="68" t="s">
        <v>28</v>
      </c>
      <c r="E314" s="69">
        <v>2020</v>
      </c>
      <c r="F314" s="69">
        <v>9</v>
      </c>
      <c r="G314" s="69">
        <v>206.8</v>
      </c>
      <c r="H314" s="69">
        <v>4969</v>
      </c>
      <c r="I314" s="67"/>
      <c r="J314" s="67"/>
      <c r="K314" s="67"/>
      <c r="L314" s="67"/>
      <c r="M314" s="67"/>
      <c r="N314" s="67"/>
      <c r="O314" s="67"/>
      <c r="P314" s="67"/>
      <c r="Q314" s="67"/>
      <c r="R314" s="67"/>
      <c r="S314" s="67"/>
      <c r="T314" s="67"/>
      <c r="U314" s="67"/>
      <c r="V314" s="67"/>
      <c r="W314" s="67"/>
      <c r="X314" s="67"/>
      <c r="Y314" s="67"/>
      <c r="Z314" s="67"/>
    </row>
    <row r="315" spans="1:26" ht="12.5">
      <c r="A315" s="68" t="s">
        <v>584</v>
      </c>
      <c r="B315" s="68" t="s">
        <v>706</v>
      </c>
      <c r="C315" s="68" t="s">
        <v>728</v>
      </c>
      <c r="D315" s="68" t="s">
        <v>28</v>
      </c>
      <c r="E315" s="69">
        <v>2020</v>
      </c>
      <c r="F315" s="69">
        <v>27</v>
      </c>
      <c r="G315" s="69">
        <v>437.1</v>
      </c>
      <c r="H315" s="69">
        <v>6879</v>
      </c>
      <c r="I315" s="67"/>
      <c r="J315" s="67"/>
      <c r="K315" s="67"/>
      <c r="L315" s="67"/>
      <c r="M315" s="67"/>
      <c r="N315" s="67"/>
      <c r="O315" s="67"/>
      <c r="P315" s="67"/>
      <c r="Q315" s="67"/>
      <c r="R315" s="67"/>
      <c r="S315" s="67"/>
      <c r="T315" s="67"/>
      <c r="U315" s="67"/>
      <c r="V315" s="67"/>
      <c r="W315" s="67"/>
      <c r="X315" s="67"/>
      <c r="Y315" s="67"/>
      <c r="Z315" s="67"/>
    </row>
    <row r="316" spans="1:26" ht="12.5">
      <c r="A316" s="68" t="s">
        <v>584</v>
      </c>
      <c r="B316" s="68" t="s">
        <v>706</v>
      </c>
      <c r="C316" s="68" t="s">
        <v>730</v>
      </c>
      <c r="D316" s="68" t="s">
        <v>28</v>
      </c>
      <c r="E316" s="69">
        <v>2020</v>
      </c>
      <c r="F316" s="69">
        <v>14</v>
      </c>
      <c r="G316" s="69">
        <v>256.2</v>
      </c>
      <c r="H316" s="69">
        <v>7905</v>
      </c>
      <c r="I316" s="67"/>
      <c r="J316" s="67"/>
      <c r="K316" s="67"/>
      <c r="L316" s="67"/>
      <c r="M316" s="67"/>
      <c r="N316" s="67"/>
      <c r="O316" s="67"/>
      <c r="P316" s="67"/>
      <c r="Q316" s="67"/>
      <c r="R316" s="67"/>
      <c r="S316" s="67"/>
      <c r="T316" s="67"/>
      <c r="U316" s="67"/>
      <c r="V316" s="67"/>
      <c r="W316" s="67"/>
      <c r="X316" s="67"/>
      <c r="Y316" s="67"/>
      <c r="Z316" s="67"/>
    </row>
    <row r="317" spans="1:26" ht="12.5">
      <c r="A317" s="68" t="s">
        <v>733</v>
      </c>
      <c r="B317" s="68" t="s">
        <v>734</v>
      </c>
      <c r="C317" s="68" t="s">
        <v>735</v>
      </c>
      <c r="D317" s="68" t="s">
        <v>32</v>
      </c>
      <c r="E317" s="69">
        <v>2020</v>
      </c>
      <c r="F317" s="69">
        <v>9</v>
      </c>
      <c r="G317" s="69">
        <v>117</v>
      </c>
      <c r="H317" s="69">
        <v>12077</v>
      </c>
      <c r="I317" s="67"/>
      <c r="J317" s="67"/>
      <c r="K317" s="67"/>
      <c r="L317" s="67"/>
      <c r="M317" s="67"/>
      <c r="N317" s="67"/>
      <c r="O317" s="67"/>
      <c r="P317" s="67"/>
      <c r="Q317" s="67"/>
      <c r="R317" s="67"/>
      <c r="S317" s="67"/>
      <c r="T317" s="67"/>
      <c r="U317" s="67"/>
      <c r="V317" s="67"/>
      <c r="W317" s="67"/>
      <c r="X317" s="67"/>
      <c r="Y317" s="67"/>
      <c r="Z317" s="67"/>
    </row>
    <row r="318" spans="1:26" ht="12.5">
      <c r="A318" s="68" t="s">
        <v>733</v>
      </c>
      <c r="B318" s="68" t="s">
        <v>734</v>
      </c>
      <c r="C318" s="68" t="s">
        <v>738</v>
      </c>
      <c r="D318" s="68" t="s">
        <v>20</v>
      </c>
      <c r="E318" s="69">
        <v>2020</v>
      </c>
      <c r="F318" s="69">
        <v>18</v>
      </c>
      <c r="G318" s="69">
        <v>255.6</v>
      </c>
      <c r="H318" s="69">
        <v>44128</v>
      </c>
      <c r="I318" s="67"/>
      <c r="J318" s="67"/>
      <c r="K318" s="67"/>
      <c r="L318" s="67"/>
      <c r="M318" s="67"/>
      <c r="N318" s="67"/>
      <c r="O318" s="67"/>
      <c r="P318" s="67"/>
      <c r="Q318" s="67"/>
      <c r="R318" s="67"/>
      <c r="S318" s="67"/>
      <c r="T318" s="67"/>
      <c r="U318" s="67"/>
      <c r="V318" s="67"/>
      <c r="W318" s="67"/>
      <c r="X318" s="67"/>
      <c r="Y318" s="67"/>
      <c r="Z318" s="67"/>
    </row>
    <row r="319" spans="1:26" ht="12.5">
      <c r="A319" s="68" t="s">
        <v>733</v>
      </c>
      <c r="B319" s="68" t="s">
        <v>734</v>
      </c>
      <c r="C319" s="68" t="s">
        <v>741</v>
      </c>
      <c r="D319" s="68" t="s">
        <v>28</v>
      </c>
      <c r="E319" s="69">
        <v>2020</v>
      </c>
      <c r="F319" s="69">
        <v>5</v>
      </c>
      <c r="G319" s="69">
        <v>126.5</v>
      </c>
      <c r="H319" s="69">
        <v>6185</v>
      </c>
      <c r="I319" s="67"/>
      <c r="J319" s="67"/>
      <c r="K319" s="67"/>
      <c r="L319" s="67"/>
      <c r="M319" s="67"/>
      <c r="N319" s="67"/>
      <c r="O319" s="67"/>
      <c r="P319" s="67"/>
      <c r="Q319" s="67"/>
      <c r="R319" s="67"/>
      <c r="S319" s="67"/>
      <c r="T319" s="67"/>
      <c r="U319" s="67"/>
      <c r="V319" s="67"/>
      <c r="W319" s="67"/>
      <c r="X319" s="67"/>
      <c r="Y319" s="67"/>
      <c r="Z319" s="67"/>
    </row>
    <row r="320" spans="1:26" ht="12.5">
      <c r="A320" s="68" t="s">
        <v>733</v>
      </c>
      <c r="B320" s="68" t="s">
        <v>734</v>
      </c>
      <c r="C320" s="68" t="s">
        <v>744</v>
      </c>
      <c r="D320" s="68" t="s">
        <v>28</v>
      </c>
      <c r="E320" s="69">
        <v>2020</v>
      </c>
      <c r="F320" s="69">
        <v>7</v>
      </c>
      <c r="G320" s="69">
        <v>97.4</v>
      </c>
      <c r="H320" s="69">
        <v>7585</v>
      </c>
      <c r="I320" s="67"/>
      <c r="J320" s="67"/>
      <c r="K320" s="67"/>
      <c r="L320" s="67"/>
      <c r="M320" s="67"/>
      <c r="N320" s="67"/>
      <c r="O320" s="67"/>
      <c r="P320" s="67"/>
      <c r="Q320" s="67"/>
      <c r="R320" s="67"/>
      <c r="S320" s="67"/>
      <c r="T320" s="67"/>
      <c r="U320" s="67"/>
      <c r="V320" s="67"/>
      <c r="W320" s="67"/>
      <c r="X320" s="67"/>
      <c r="Y320" s="67"/>
      <c r="Z320" s="67"/>
    </row>
    <row r="321" spans="1:26" ht="12.5">
      <c r="A321" s="68" t="s">
        <v>733</v>
      </c>
      <c r="B321" s="68" t="s">
        <v>734</v>
      </c>
      <c r="C321" s="68" t="s">
        <v>747</v>
      </c>
      <c r="D321" s="68" t="s">
        <v>32</v>
      </c>
      <c r="E321" s="69">
        <v>2020</v>
      </c>
      <c r="F321" s="69">
        <v>11</v>
      </c>
      <c r="G321" s="69">
        <v>137.4</v>
      </c>
      <c r="H321" s="69">
        <v>14775</v>
      </c>
      <c r="I321" s="67"/>
      <c r="J321" s="67"/>
      <c r="K321" s="67"/>
      <c r="L321" s="67"/>
      <c r="M321" s="67"/>
      <c r="N321" s="67"/>
      <c r="O321" s="67"/>
      <c r="P321" s="67"/>
      <c r="Q321" s="67"/>
      <c r="R321" s="67"/>
      <c r="S321" s="67"/>
      <c r="T321" s="67"/>
      <c r="U321" s="67"/>
      <c r="V321" s="67"/>
      <c r="W321" s="67"/>
      <c r="X321" s="67"/>
      <c r="Y321" s="67"/>
      <c r="Z321" s="67"/>
    </row>
    <row r="322" spans="1:26" ht="12.5">
      <c r="A322" s="68" t="s">
        <v>733</v>
      </c>
      <c r="B322" s="68" t="s">
        <v>734</v>
      </c>
      <c r="C322" s="68" t="s">
        <v>750</v>
      </c>
      <c r="D322" s="68" t="s">
        <v>20</v>
      </c>
      <c r="E322" s="69">
        <v>2020</v>
      </c>
      <c r="F322" s="69">
        <v>14</v>
      </c>
      <c r="G322" s="69">
        <v>248.7</v>
      </c>
      <c r="H322" s="69">
        <v>63371</v>
      </c>
      <c r="I322" s="67"/>
      <c r="J322" s="67"/>
      <c r="K322" s="67"/>
      <c r="L322" s="67"/>
      <c r="M322" s="67"/>
      <c r="N322" s="67"/>
      <c r="O322" s="67"/>
      <c r="P322" s="67"/>
      <c r="Q322" s="67"/>
      <c r="R322" s="67"/>
      <c r="S322" s="67"/>
      <c r="T322" s="67"/>
      <c r="U322" s="67"/>
      <c r="V322" s="67"/>
      <c r="W322" s="67"/>
      <c r="X322" s="67"/>
      <c r="Y322" s="67"/>
      <c r="Z322" s="67"/>
    </row>
    <row r="323" spans="1:26" ht="12.5">
      <c r="A323" s="68" t="s">
        <v>733</v>
      </c>
      <c r="B323" s="68" t="s">
        <v>734</v>
      </c>
      <c r="C323" s="68" t="s">
        <v>338</v>
      </c>
      <c r="D323" s="68" t="s">
        <v>28</v>
      </c>
      <c r="E323" s="69">
        <v>2020</v>
      </c>
      <c r="F323" s="69">
        <v>8</v>
      </c>
      <c r="G323" s="69">
        <v>71.599999999999994</v>
      </c>
      <c r="H323" s="69">
        <v>9412</v>
      </c>
      <c r="I323" s="67"/>
      <c r="J323" s="67"/>
      <c r="K323" s="67"/>
      <c r="L323" s="67"/>
      <c r="M323" s="67"/>
      <c r="N323" s="67"/>
      <c r="O323" s="67"/>
      <c r="P323" s="67"/>
      <c r="Q323" s="67"/>
      <c r="R323" s="67"/>
      <c r="S323" s="67"/>
      <c r="T323" s="67"/>
      <c r="U323" s="67"/>
      <c r="V323" s="67"/>
      <c r="W323" s="67"/>
      <c r="X323" s="67"/>
      <c r="Y323" s="67"/>
      <c r="Z323" s="67"/>
    </row>
    <row r="324" spans="1:26" ht="12.5">
      <c r="A324" s="68" t="s">
        <v>733</v>
      </c>
      <c r="B324" s="68" t="s">
        <v>734</v>
      </c>
      <c r="C324" s="68" t="s">
        <v>754</v>
      </c>
      <c r="D324" s="68" t="s">
        <v>32</v>
      </c>
      <c r="E324" s="69">
        <v>2020</v>
      </c>
      <c r="F324" s="69">
        <v>9</v>
      </c>
      <c r="G324" s="69">
        <v>116.3</v>
      </c>
      <c r="H324" s="69">
        <v>22839</v>
      </c>
      <c r="I324" s="67"/>
      <c r="J324" s="67"/>
      <c r="K324" s="67"/>
      <c r="L324" s="67"/>
      <c r="M324" s="67"/>
      <c r="N324" s="67"/>
      <c r="O324" s="67"/>
      <c r="P324" s="67"/>
      <c r="Q324" s="67"/>
      <c r="R324" s="67"/>
      <c r="S324" s="67"/>
      <c r="T324" s="67"/>
      <c r="U324" s="67"/>
      <c r="V324" s="67"/>
      <c r="W324" s="67"/>
      <c r="X324" s="67"/>
      <c r="Y324" s="67"/>
      <c r="Z324" s="67"/>
    </row>
    <row r="325" spans="1:26" ht="12.5">
      <c r="A325" s="68" t="s">
        <v>733</v>
      </c>
      <c r="B325" s="68" t="s">
        <v>734</v>
      </c>
      <c r="C325" s="68" t="s">
        <v>757</v>
      </c>
      <c r="D325" s="68" t="s">
        <v>28</v>
      </c>
      <c r="E325" s="69">
        <v>2020</v>
      </c>
      <c r="F325" s="69">
        <v>8</v>
      </c>
      <c r="G325" s="69">
        <v>97.1</v>
      </c>
      <c r="H325" s="69">
        <v>7711</v>
      </c>
      <c r="I325" s="67"/>
      <c r="J325" s="67"/>
      <c r="K325" s="67"/>
      <c r="L325" s="67"/>
      <c r="M325" s="67"/>
      <c r="N325" s="67"/>
      <c r="O325" s="67"/>
      <c r="P325" s="67"/>
      <c r="Q325" s="67"/>
      <c r="R325" s="67"/>
      <c r="S325" s="67"/>
      <c r="T325" s="67"/>
      <c r="U325" s="67"/>
      <c r="V325" s="67"/>
      <c r="W325" s="67"/>
      <c r="X325" s="67"/>
      <c r="Y325" s="67"/>
      <c r="Z325" s="67"/>
    </row>
    <row r="326" spans="1:26" ht="12.5">
      <c r="A326" s="68" t="s">
        <v>733</v>
      </c>
      <c r="B326" s="68" t="s">
        <v>734</v>
      </c>
      <c r="C326" s="68" t="s">
        <v>759</v>
      </c>
      <c r="D326" s="68" t="s">
        <v>28</v>
      </c>
      <c r="E326" s="69">
        <v>2020</v>
      </c>
      <c r="F326" s="69">
        <v>16</v>
      </c>
      <c r="G326" s="69">
        <v>192.6</v>
      </c>
      <c r="H326" s="69">
        <v>19636</v>
      </c>
      <c r="I326" s="67"/>
      <c r="J326" s="67"/>
      <c r="K326" s="67"/>
      <c r="L326" s="67"/>
      <c r="M326" s="67"/>
      <c r="N326" s="67"/>
      <c r="O326" s="67"/>
      <c r="P326" s="67"/>
      <c r="Q326" s="67"/>
      <c r="R326" s="67"/>
      <c r="S326" s="67"/>
      <c r="T326" s="67"/>
      <c r="U326" s="67"/>
      <c r="V326" s="67"/>
      <c r="W326" s="67"/>
      <c r="X326" s="67"/>
      <c r="Y326" s="67"/>
      <c r="Z326" s="67"/>
    </row>
    <row r="327" spans="1:26" ht="12.5">
      <c r="A327" s="68" t="s">
        <v>733</v>
      </c>
      <c r="B327" s="68" t="s">
        <v>762</v>
      </c>
      <c r="C327" s="68" t="s">
        <v>763</v>
      </c>
      <c r="D327" s="68" t="s">
        <v>28</v>
      </c>
      <c r="E327" s="69">
        <v>2020</v>
      </c>
      <c r="F327" s="69">
        <v>13</v>
      </c>
      <c r="G327" s="69">
        <v>95.2</v>
      </c>
      <c r="H327" s="69">
        <v>9282</v>
      </c>
      <c r="I327" s="67"/>
      <c r="J327" s="67"/>
      <c r="K327" s="67"/>
      <c r="L327" s="67"/>
      <c r="M327" s="67"/>
      <c r="N327" s="67"/>
      <c r="O327" s="67"/>
      <c r="P327" s="67"/>
      <c r="Q327" s="67"/>
      <c r="R327" s="67"/>
      <c r="S327" s="67"/>
      <c r="T327" s="67"/>
      <c r="U327" s="67"/>
      <c r="V327" s="67"/>
      <c r="W327" s="67"/>
      <c r="X327" s="67"/>
      <c r="Y327" s="67"/>
      <c r="Z327" s="67"/>
    </row>
    <row r="328" spans="1:26" ht="12.5">
      <c r="A328" s="68" t="s">
        <v>733</v>
      </c>
      <c r="B328" s="68" t="s">
        <v>762</v>
      </c>
      <c r="C328" s="68" t="s">
        <v>766</v>
      </c>
      <c r="D328" s="68" t="s">
        <v>28</v>
      </c>
      <c r="E328" s="69">
        <v>2020</v>
      </c>
      <c r="F328" s="69">
        <v>17</v>
      </c>
      <c r="G328" s="69">
        <v>178.5</v>
      </c>
      <c r="H328" s="69">
        <v>21689</v>
      </c>
      <c r="I328" s="67"/>
      <c r="J328" s="67"/>
      <c r="K328" s="67"/>
      <c r="L328" s="67"/>
      <c r="M328" s="67"/>
      <c r="N328" s="67"/>
      <c r="O328" s="67"/>
      <c r="P328" s="67"/>
      <c r="Q328" s="67"/>
      <c r="R328" s="67"/>
      <c r="S328" s="67"/>
      <c r="T328" s="67"/>
      <c r="U328" s="67"/>
      <c r="V328" s="67"/>
      <c r="W328" s="67"/>
      <c r="X328" s="67"/>
      <c r="Y328" s="67"/>
      <c r="Z328" s="67"/>
    </row>
    <row r="329" spans="1:26" ht="12.5">
      <c r="A329" s="68" t="s">
        <v>733</v>
      </c>
      <c r="B329" s="68" t="s">
        <v>762</v>
      </c>
      <c r="C329" s="68" t="s">
        <v>769</v>
      </c>
      <c r="D329" s="68" t="s">
        <v>28</v>
      </c>
      <c r="E329" s="69">
        <v>2020</v>
      </c>
      <c r="F329" s="69">
        <v>12</v>
      </c>
      <c r="G329" s="69">
        <v>82.3</v>
      </c>
      <c r="H329" s="69">
        <v>7251</v>
      </c>
      <c r="I329" s="67"/>
      <c r="J329" s="67"/>
      <c r="K329" s="67"/>
      <c r="L329" s="67"/>
      <c r="M329" s="67"/>
      <c r="N329" s="67"/>
      <c r="O329" s="67"/>
      <c r="P329" s="67"/>
      <c r="Q329" s="67"/>
      <c r="R329" s="67"/>
      <c r="S329" s="67"/>
      <c r="T329" s="67"/>
      <c r="U329" s="67"/>
      <c r="V329" s="67"/>
      <c r="W329" s="67"/>
      <c r="X329" s="67"/>
      <c r="Y329" s="67"/>
      <c r="Z329" s="67"/>
    </row>
    <row r="330" spans="1:26" ht="12.5">
      <c r="A330" s="68" t="s">
        <v>733</v>
      </c>
      <c r="B330" s="68" t="s">
        <v>762</v>
      </c>
      <c r="C330" s="68" t="s">
        <v>772</v>
      </c>
      <c r="D330" s="68" t="s">
        <v>32</v>
      </c>
      <c r="E330" s="69">
        <v>2020</v>
      </c>
      <c r="F330" s="69">
        <v>4</v>
      </c>
      <c r="G330" s="69">
        <v>181.7</v>
      </c>
      <c r="H330" s="69">
        <v>8885</v>
      </c>
      <c r="I330" s="67"/>
      <c r="J330" s="67"/>
      <c r="K330" s="67"/>
      <c r="L330" s="67"/>
      <c r="M330" s="67"/>
      <c r="N330" s="67"/>
      <c r="O330" s="67"/>
      <c r="P330" s="67"/>
      <c r="Q330" s="67"/>
      <c r="R330" s="67"/>
      <c r="S330" s="67"/>
      <c r="T330" s="67"/>
      <c r="U330" s="67"/>
      <c r="V330" s="67"/>
      <c r="W330" s="67"/>
      <c r="X330" s="67"/>
      <c r="Y330" s="67"/>
      <c r="Z330" s="67"/>
    </row>
    <row r="331" spans="1:26" ht="12.5">
      <c r="A331" s="68" t="s">
        <v>733</v>
      </c>
      <c r="B331" s="68" t="s">
        <v>762</v>
      </c>
      <c r="C331" s="68" t="s">
        <v>775</v>
      </c>
      <c r="D331" s="68" t="s">
        <v>28</v>
      </c>
      <c r="E331" s="69">
        <v>2020</v>
      </c>
      <c r="F331" s="69">
        <v>3</v>
      </c>
      <c r="G331" s="69">
        <v>77.2</v>
      </c>
      <c r="H331" s="69">
        <v>9306</v>
      </c>
      <c r="I331" s="67"/>
      <c r="J331" s="67"/>
      <c r="K331" s="67"/>
      <c r="L331" s="67"/>
      <c r="M331" s="67"/>
      <c r="N331" s="67"/>
      <c r="O331" s="67"/>
      <c r="P331" s="67"/>
      <c r="Q331" s="67"/>
      <c r="R331" s="67"/>
      <c r="S331" s="67"/>
      <c r="T331" s="67"/>
      <c r="U331" s="67"/>
      <c r="V331" s="67"/>
      <c r="W331" s="67"/>
      <c r="X331" s="67"/>
      <c r="Y331" s="67"/>
      <c r="Z331" s="67"/>
    </row>
    <row r="332" spans="1:26" ht="12.5">
      <c r="A332" s="68" t="s">
        <v>733</v>
      </c>
      <c r="B332" s="68" t="s">
        <v>762</v>
      </c>
      <c r="C332" s="68" t="s">
        <v>777</v>
      </c>
      <c r="D332" s="68" t="s">
        <v>32</v>
      </c>
      <c r="E332" s="69">
        <v>2020</v>
      </c>
      <c r="F332" s="69">
        <v>11</v>
      </c>
      <c r="G332" s="69">
        <v>204.8</v>
      </c>
      <c r="H332" s="69">
        <v>4699</v>
      </c>
      <c r="I332" s="67"/>
      <c r="J332" s="67"/>
      <c r="K332" s="67"/>
      <c r="L332" s="67"/>
      <c r="M332" s="67"/>
      <c r="N332" s="67"/>
      <c r="O332" s="67"/>
      <c r="P332" s="67"/>
      <c r="Q332" s="67"/>
      <c r="R332" s="67"/>
      <c r="S332" s="67"/>
      <c r="T332" s="67"/>
      <c r="U332" s="67"/>
      <c r="V332" s="67"/>
      <c r="W332" s="67"/>
      <c r="X332" s="67"/>
      <c r="Y332" s="67"/>
      <c r="Z332" s="67"/>
    </row>
    <row r="333" spans="1:26" ht="12.5">
      <c r="A333" s="68" t="s">
        <v>733</v>
      </c>
      <c r="B333" s="68" t="s">
        <v>762</v>
      </c>
      <c r="C333" s="68" t="s">
        <v>780</v>
      </c>
      <c r="D333" s="68" t="s">
        <v>32</v>
      </c>
      <c r="E333" s="69">
        <v>2020</v>
      </c>
      <c r="F333" s="69">
        <v>12</v>
      </c>
      <c r="G333" s="69">
        <v>137.80000000000001</v>
      </c>
      <c r="H333" s="69">
        <v>9617</v>
      </c>
      <c r="I333" s="67"/>
      <c r="J333" s="67"/>
      <c r="K333" s="67"/>
      <c r="L333" s="67"/>
      <c r="M333" s="67"/>
      <c r="N333" s="67"/>
      <c r="O333" s="67"/>
      <c r="P333" s="67"/>
      <c r="Q333" s="67"/>
      <c r="R333" s="67"/>
      <c r="S333" s="67"/>
      <c r="T333" s="67"/>
      <c r="U333" s="67"/>
      <c r="V333" s="67"/>
      <c r="W333" s="67"/>
      <c r="X333" s="67"/>
      <c r="Y333" s="67"/>
      <c r="Z333" s="67"/>
    </row>
    <row r="334" spans="1:26" ht="12.5">
      <c r="A334" s="68" t="s">
        <v>733</v>
      </c>
      <c r="B334" s="68" t="s">
        <v>762</v>
      </c>
      <c r="C334" s="68" t="s">
        <v>783</v>
      </c>
      <c r="D334" s="68" t="s">
        <v>20</v>
      </c>
      <c r="E334" s="69">
        <v>2020</v>
      </c>
      <c r="F334" s="69">
        <v>18</v>
      </c>
      <c r="G334" s="69">
        <v>266.89999999999998</v>
      </c>
      <c r="H334" s="69">
        <v>110483</v>
      </c>
      <c r="I334" s="67"/>
      <c r="J334" s="67"/>
      <c r="K334" s="67"/>
      <c r="L334" s="67"/>
      <c r="M334" s="67"/>
      <c r="N334" s="67"/>
      <c r="O334" s="67"/>
      <c r="P334" s="67"/>
      <c r="Q334" s="67"/>
      <c r="R334" s="67"/>
      <c r="S334" s="67"/>
      <c r="T334" s="67"/>
      <c r="U334" s="67"/>
      <c r="V334" s="67"/>
      <c r="W334" s="67"/>
      <c r="X334" s="67"/>
      <c r="Y334" s="67"/>
      <c r="Z334" s="67"/>
    </row>
    <row r="335" spans="1:26" ht="12.5">
      <c r="A335" s="68" t="s">
        <v>733</v>
      </c>
      <c r="B335" s="68" t="s">
        <v>762</v>
      </c>
      <c r="C335" s="68" t="s">
        <v>786</v>
      </c>
      <c r="D335" s="68" t="s">
        <v>28</v>
      </c>
      <c r="E335" s="69">
        <v>2020</v>
      </c>
      <c r="F335" s="69">
        <v>4</v>
      </c>
      <c r="G335" s="69">
        <v>127</v>
      </c>
      <c r="H335" s="69">
        <v>5279</v>
      </c>
      <c r="I335" s="67"/>
      <c r="J335" s="67"/>
      <c r="K335" s="67"/>
      <c r="L335" s="67"/>
      <c r="M335" s="67"/>
      <c r="N335" s="67"/>
      <c r="O335" s="67"/>
      <c r="P335" s="67"/>
      <c r="Q335" s="67"/>
      <c r="R335" s="67"/>
      <c r="S335" s="67"/>
      <c r="T335" s="67"/>
      <c r="U335" s="67"/>
      <c r="V335" s="67"/>
      <c r="W335" s="67"/>
      <c r="X335" s="67"/>
      <c r="Y335" s="67"/>
      <c r="Z335" s="67"/>
    </row>
    <row r="336" spans="1:26" ht="12.5">
      <c r="A336" s="68" t="s">
        <v>733</v>
      </c>
      <c r="B336" s="68" t="s">
        <v>762</v>
      </c>
      <c r="C336" s="68" t="s">
        <v>789</v>
      </c>
      <c r="D336" s="68" t="s">
        <v>28</v>
      </c>
      <c r="E336" s="69">
        <v>2020</v>
      </c>
      <c r="F336" s="69">
        <v>11</v>
      </c>
      <c r="G336" s="69">
        <v>156.5</v>
      </c>
      <c r="H336" s="69">
        <v>9917</v>
      </c>
      <c r="I336" s="67"/>
      <c r="J336" s="67"/>
      <c r="K336" s="67"/>
      <c r="L336" s="67"/>
      <c r="M336" s="67"/>
      <c r="N336" s="67"/>
      <c r="O336" s="67"/>
      <c r="P336" s="67"/>
      <c r="Q336" s="67"/>
      <c r="R336" s="67"/>
      <c r="S336" s="67"/>
      <c r="T336" s="67"/>
      <c r="U336" s="67"/>
      <c r="V336" s="67"/>
      <c r="W336" s="67"/>
      <c r="X336" s="67"/>
      <c r="Y336" s="67"/>
      <c r="Z336" s="67"/>
    </row>
    <row r="337" spans="1:26" ht="12.5">
      <c r="A337" s="68" t="s">
        <v>733</v>
      </c>
      <c r="B337" s="68" t="s">
        <v>762</v>
      </c>
      <c r="C337" s="68" t="s">
        <v>792</v>
      </c>
      <c r="D337" s="68" t="s">
        <v>28</v>
      </c>
      <c r="E337" s="69">
        <v>2020</v>
      </c>
      <c r="F337" s="69">
        <v>13</v>
      </c>
      <c r="G337" s="69">
        <v>232.1</v>
      </c>
      <c r="H337" s="69">
        <v>13792</v>
      </c>
      <c r="I337" s="67"/>
      <c r="J337" s="67"/>
      <c r="K337" s="67"/>
      <c r="L337" s="67"/>
      <c r="M337" s="67"/>
      <c r="N337" s="67"/>
      <c r="O337" s="67"/>
      <c r="P337" s="67"/>
      <c r="Q337" s="67"/>
      <c r="R337" s="67"/>
      <c r="S337" s="67"/>
      <c r="T337" s="67"/>
      <c r="U337" s="67"/>
      <c r="V337" s="67"/>
      <c r="W337" s="67"/>
      <c r="X337" s="67"/>
      <c r="Y337" s="67"/>
      <c r="Z337" s="67"/>
    </row>
    <row r="338" spans="1:26" ht="12.5">
      <c r="A338" s="68" t="s">
        <v>733</v>
      </c>
      <c r="B338" s="68" t="s">
        <v>762</v>
      </c>
      <c r="C338" s="68" t="s">
        <v>794</v>
      </c>
      <c r="D338" s="68" t="s">
        <v>20</v>
      </c>
      <c r="E338" s="69">
        <v>2020</v>
      </c>
      <c r="F338" s="69">
        <v>10</v>
      </c>
      <c r="G338" s="69">
        <v>147.19999999999999</v>
      </c>
      <c r="H338" s="69">
        <v>27577</v>
      </c>
      <c r="I338" s="67"/>
      <c r="J338" s="67"/>
      <c r="K338" s="67"/>
      <c r="L338" s="67"/>
      <c r="M338" s="67"/>
      <c r="N338" s="67"/>
      <c r="O338" s="67"/>
      <c r="P338" s="67"/>
      <c r="Q338" s="67"/>
      <c r="R338" s="67"/>
      <c r="S338" s="67"/>
      <c r="T338" s="67"/>
      <c r="U338" s="67"/>
      <c r="V338" s="67"/>
      <c r="W338" s="67"/>
      <c r="X338" s="67"/>
      <c r="Y338" s="67"/>
      <c r="Z338" s="67"/>
    </row>
    <row r="339" spans="1:26" ht="12.5">
      <c r="A339" s="68" t="s">
        <v>733</v>
      </c>
      <c r="B339" s="68" t="s">
        <v>762</v>
      </c>
      <c r="C339" s="68" t="s">
        <v>797</v>
      </c>
      <c r="D339" s="68" t="s">
        <v>32</v>
      </c>
      <c r="E339" s="69">
        <v>2020</v>
      </c>
      <c r="F339" s="69">
        <v>14</v>
      </c>
      <c r="G339" s="69">
        <v>169.3</v>
      </c>
      <c r="H339" s="69">
        <v>14839</v>
      </c>
      <c r="I339" s="67"/>
      <c r="J339" s="67"/>
      <c r="K339" s="67"/>
      <c r="L339" s="67"/>
      <c r="M339" s="67"/>
      <c r="N339" s="67"/>
      <c r="O339" s="67"/>
      <c r="P339" s="67"/>
      <c r="Q339" s="67"/>
      <c r="R339" s="67"/>
      <c r="S339" s="67"/>
      <c r="T339" s="67"/>
      <c r="U339" s="67"/>
      <c r="V339" s="67"/>
      <c r="W339" s="67"/>
      <c r="X339" s="67"/>
      <c r="Y339" s="67"/>
      <c r="Z339" s="67"/>
    </row>
    <row r="340" spans="1:26" ht="12.5">
      <c r="A340" s="68" t="s">
        <v>733</v>
      </c>
      <c r="B340" s="68" t="s">
        <v>800</v>
      </c>
      <c r="C340" s="68" t="s">
        <v>801</v>
      </c>
      <c r="D340" s="68" t="s">
        <v>28</v>
      </c>
      <c r="E340" s="69">
        <v>2020</v>
      </c>
      <c r="F340" s="69">
        <v>6</v>
      </c>
      <c r="G340" s="69">
        <v>488</v>
      </c>
      <c r="H340" s="69">
        <v>10558</v>
      </c>
      <c r="I340" s="67"/>
      <c r="J340" s="67"/>
      <c r="K340" s="67"/>
      <c r="L340" s="67"/>
      <c r="M340" s="67"/>
      <c r="N340" s="67"/>
      <c r="O340" s="67"/>
      <c r="P340" s="67"/>
      <c r="Q340" s="67"/>
      <c r="R340" s="67"/>
      <c r="S340" s="67"/>
      <c r="T340" s="67"/>
      <c r="U340" s="67"/>
      <c r="V340" s="67"/>
      <c r="W340" s="67"/>
      <c r="X340" s="67"/>
      <c r="Y340" s="67"/>
      <c r="Z340" s="67"/>
    </row>
    <row r="341" spans="1:26" ht="12.5">
      <c r="A341" s="68" t="s">
        <v>733</v>
      </c>
      <c r="B341" s="68" t="s">
        <v>800</v>
      </c>
      <c r="C341" s="68" t="s">
        <v>804</v>
      </c>
      <c r="D341" s="68" t="s">
        <v>32</v>
      </c>
      <c r="E341" s="69">
        <v>2020</v>
      </c>
      <c r="F341" s="69">
        <v>9</v>
      </c>
      <c r="G341" s="69">
        <v>574.6</v>
      </c>
      <c r="H341" s="69">
        <v>29526</v>
      </c>
      <c r="I341" s="67"/>
      <c r="J341" s="67"/>
      <c r="K341" s="67"/>
      <c r="L341" s="67"/>
      <c r="M341" s="67"/>
      <c r="N341" s="67"/>
      <c r="O341" s="67"/>
      <c r="P341" s="67"/>
      <c r="Q341" s="67"/>
      <c r="R341" s="67"/>
      <c r="S341" s="67"/>
      <c r="T341" s="67"/>
      <c r="U341" s="67"/>
      <c r="V341" s="67"/>
      <c r="W341" s="67"/>
      <c r="X341" s="67"/>
      <c r="Y341" s="67"/>
      <c r="Z341" s="67"/>
    </row>
    <row r="342" spans="1:26" ht="12.5">
      <c r="A342" s="68" t="s">
        <v>733</v>
      </c>
      <c r="B342" s="68" t="s">
        <v>800</v>
      </c>
      <c r="C342" s="68" t="s">
        <v>807</v>
      </c>
      <c r="D342" s="68" t="s">
        <v>20</v>
      </c>
      <c r="E342" s="69">
        <v>2020</v>
      </c>
      <c r="F342" s="69">
        <v>4</v>
      </c>
      <c r="G342" s="69">
        <v>252.5</v>
      </c>
      <c r="H342" s="69">
        <v>23601</v>
      </c>
      <c r="I342" s="67"/>
      <c r="J342" s="67"/>
      <c r="K342" s="67"/>
      <c r="L342" s="67"/>
      <c r="M342" s="67"/>
      <c r="N342" s="67"/>
      <c r="O342" s="67"/>
      <c r="P342" s="67"/>
      <c r="Q342" s="67"/>
      <c r="R342" s="67"/>
      <c r="S342" s="67"/>
      <c r="T342" s="67"/>
      <c r="U342" s="67"/>
      <c r="V342" s="67"/>
      <c r="W342" s="67"/>
      <c r="X342" s="67"/>
      <c r="Y342" s="67"/>
      <c r="Z342" s="67"/>
    </row>
    <row r="343" spans="1:26" ht="12.5">
      <c r="A343" s="68" t="s">
        <v>733</v>
      </c>
      <c r="B343" s="68" t="s">
        <v>800</v>
      </c>
      <c r="C343" s="68" t="s">
        <v>810</v>
      </c>
      <c r="D343" s="68" t="s">
        <v>32</v>
      </c>
      <c r="E343" s="69">
        <v>2020</v>
      </c>
      <c r="F343" s="69">
        <v>7</v>
      </c>
      <c r="G343" s="69">
        <v>528.6</v>
      </c>
      <c r="H343" s="69">
        <v>18712</v>
      </c>
      <c r="I343" s="67"/>
      <c r="J343" s="67"/>
      <c r="K343" s="67"/>
      <c r="L343" s="67"/>
      <c r="M343" s="67"/>
      <c r="N343" s="67"/>
      <c r="O343" s="67"/>
      <c r="P343" s="67"/>
      <c r="Q343" s="67"/>
      <c r="R343" s="67"/>
      <c r="S343" s="67"/>
      <c r="T343" s="67"/>
      <c r="U343" s="67"/>
      <c r="V343" s="67"/>
      <c r="W343" s="67"/>
      <c r="X343" s="67"/>
      <c r="Y343" s="67"/>
      <c r="Z343" s="67"/>
    </row>
    <row r="344" spans="1:26" ht="12.5">
      <c r="A344" s="68" t="s">
        <v>733</v>
      </c>
      <c r="B344" s="68" t="s">
        <v>813</v>
      </c>
      <c r="C344" s="68" t="s">
        <v>814</v>
      </c>
      <c r="D344" s="68" t="s">
        <v>28</v>
      </c>
      <c r="E344" s="69">
        <v>2020</v>
      </c>
      <c r="F344" s="69">
        <v>5</v>
      </c>
      <c r="G344" s="69">
        <v>30.6</v>
      </c>
      <c r="H344" s="69">
        <v>6538</v>
      </c>
      <c r="I344" s="67"/>
      <c r="J344" s="67"/>
      <c r="K344" s="67"/>
      <c r="L344" s="67"/>
      <c r="M344" s="67"/>
      <c r="N344" s="67"/>
      <c r="O344" s="67"/>
      <c r="P344" s="67"/>
      <c r="Q344" s="67"/>
      <c r="R344" s="67"/>
      <c r="S344" s="67"/>
      <c r="T344" s="67"/>
      <c r="U344" s="67"/>
      <c r="V344" s="67"/>
      <c r="W344" s="67"/>
      <c r="X344" s="67"/>
      <c r="Y344" s="67"/>
      <c r="Z344" s="67"/>
    </row>
    <row r="345" spans="1:26" ht="12.5">
      <c r="A345" s="68" t="s">
        <v>733</v>
      </c>
      <c r="B345" s="68" t="s">
        <v>813</v>
      </c>
      <c r="C345" s="68" t="s">
        <v>817</v>
      </c>
      <c r="D345" s="68" t="s">
        <v>32</v>
      </c>
      <c r="E345" s="69">
        <v>2020</v>
      </c>
      <c r="F345" s="69">
        <v>9</v>
      </c>
      <c r="G345" s="69">
        <v>142.69999999999999</v>
      </c>
      <c r="H345" s="69">
        <v>25813</v>
      </c>
      <c r="I345" s="67"/>
      <c r="J345" s="67"/>
      <c r="K345" s="67"/>
      <c r="L345" s="67"/>
      <c r="M345" s="67"/>
      <c r="N345" s="67"/>
      <c r="O345" s="67"/>
      <c r="P345" s="67"/>
      <c r="Q345" s="67"/>
      <c r="R345" s="67"/>
      <c r="S345" s="67"/>
      <c r="T345" s="67"/>
      <c r="U345" s="67"/>
      <c r="V345" s="67"/>
      <c r="W345" s="67"/>
      <c r="X345" s="67"/>
      <c r="Y345" s="67"/>
      <c r="Z345" s="67"/>
    </row>
    <row r="346" spans="1:26" ht="12.5">
      <c r="A346" s="68" t="s">
        <v>733</v>
      </c>
      <c r="B346" s="68" t="s">
        <v>813</v>
      </c>
      <c r="C346" s="68" t="s">
        <v>820</v>
      </c>
      <c r="D346" s="68" t="s">
        <v>28</v>
      </c>
      <c r="E346" s="69">
        <v>2020</v>
      </c>
      <c r="F346" s="69">
        <v>6</v>
      </c>
      <c r="G346" s="69">
        <v>74.2</v>
      </c>
      <c r="H346" s="69">
        <v>12428</v>
      </c>
      <c r="I346" s="67"/>
      <c r="J346" s="67"/>
      <c r="K346" s="67"/>
      <c r="L346" s="67"/>
      <c r="M346" s="67"/>
      <c r="N346" s="67"/>
      <c r="O346" s="67"/>
      <c r="P346" s="67"/>
      <c r="Q346" s="67"/>
      <c r="R346" s="67"/>
      <c r="S346" s="67"/>
      <c r="T346" s="67"/>
      <c r="U346" s="67"/>
      <c r="V346" s="67"/>
      <c r="W346" s="67"/>
      <c r="X346" s="67"/>
      <c r="Y346" s="67"/>
      <c r="Z346" s="67"/>
    </row>
    <row r="347" spans="1:26" ht="12.5">
      <c r="A347" s="68" t="s">
        <v>733</v>
      </c>
      <c r="B347" s="68" t="s">
        <v>813</v>
      </c>
      <c r="C347" s="68" t="s">
        <v>220</v>
      </c>
      <c r="D347" s="68" t="s">
        <v>32</v>
      </c>
      <c r="E347" s="69">
        <v>2020</v>
      </c>
      <c r="F347" s="69">
        <v>5</v>
      </c>
      <c r="G347" s="69">
        <v>196.3</v>
      </c>
      <c r="H347" s="69">
        <v>20371</v>
      </c>
      <c r="I347" s="67"/>
      <c r="J347" s="67"/>
      <c r="K347" s="67"/>
      <c r="L347" s="67"/>
      <c r="M347" s="67"/>
      <c r="N347" s="67"/>
      <c r="O347" s="67"/>
      <c r="P347" s="67"/>
      <c r="Q347" s="67"/>
      <c r="R347" s="67"/>
      <c r="S347" s="67"/>
      <c r="T347" s="67"/>
      <c r="U347" s="67"/>
      <c r="V347" s="67"/>
      <c r="W347" s="67"/>
      <c r="X347" s="67"/>
      <c r="Y347" s="67"/>
      <c r="Z347" s="67"/>
    </row>
    <row r="348" spans="1:26" ht="12.5">
      <c r="A348" s="68" t="s">
        <v>733</v>
      </c>
      <c r="B348" s="68" t="s">
        <v>813</v>
      </c>
      <c r="C348" s="68" t="s">
        <v>824</v>
      </c>
      <c r="D348" s="68" t="s">
        <v>28</v>
      </c>
      <c r="E348" s="69">
        <v>2020</v>
      </c>
      <c r="F348" s="69">
        <v>12</v>
      </c>
      <c r="G348" s="69">
        <v>333.9</v>
      </c>
      <c r="H348" s="69">
        <v>30550</v>
      </c>
      <c r="I348" s="67"/>
      <c r="J348" s="67"/>
      <c r="K348" s="67"/>
      <c r="L348" s="67"/>
      <c r="M348" s="67"/>
      <c r="N348" s="67"/>
      <c r="O348" s="67"/>
      <c r="P348" s="67"/>
      <c r="Q348" s="67"/>
      <c r="R348" s="67"/>
      <c r="S348" s="67"/>
      <c r="T348" s="67"/>
      <c r="U348" s="67"/>
      <c r="V348" s="67"/>
      <c r="W348" s="67"/>
      <c r="X348" s="67"/>
      <c r="Y348" s="67"/>
      <c r="Z348" s="67"/>
    </row>
    <row r="349" spans="1:26" ht="12.5">
      <c r="A349" s="68" t="s">
        <v>733</v>
      </c>
      <c r="B349" s="68" t="s">
        <v>813</v>
      </c>
      <c r="C349" s="68" t="s">
        <v>827</v>
      </c>
      <c r="D349" s="68" t="s">
        <v>32</v>
      </c>
      <c r="E349" s="69">
        <v>2020</v>
      </c>
      <c r="F349" s="69">
        <v>9</v>
      </c>
      <c r="G349" s="69">
        <v>164.4</v>
      </c>
      <c r="H349" s="69">
        <v>35139</v>
      </c>
      <c r="I349" s="67"/>
      <c r="J349" s="67"/>
      <c r="K349" s="67"/>
      <c r="L349" s="67"/>
      <c r="M349" s="67"/>
      <c r="N349" s="67"/>
      <c r="O349" s="67"/>
      <c r="P349" s="67"/>
      <c r="Q349" s="67"/>
      <c r="R349" s="67"/>
      <c r="S349" s="67"/>
      <c r="T349" s="67"/>
      <c r="U349" s="67"/>
      <c r="V349" s="67"/>
      <c r="W349" s="67"/>
      <c r="X349" s="67"/>
      <c r="Y349" s="67"/>
      <c r="Z349" s="67"/>
    </row>
    <row r="350" spans="1:26" ht="12.5">
      <c r="A350" s="68" t="s">
        <v>733</v>
      </c>
      <c r="B350" s="68" t="s">
        <v>813</v>
      </c>
      <c r="C350" s="68" t="s">
        <v>830</v>
      </c>
      <c r="D350" s="68" t="s">
        <v>32</v>
      </c>
      <c r="E350" s="69">
        <v>2020</v>
      </c>
      <c r="F350" s="69">
        <v>3</v>
      </c>
      <c r="G350" s="69">
        <v>47</v>
      </c>
      <c r="H350" s="69">
        <v>16675</v>
      </c>
      <c r="I350" s="67"/>
      <c r="J350" s="67"/>
      <c r="K350" s="67"/>
      <c r="L350" s="67"/>
      <c r="M350" s="67"/>
      <c r="N350" s="67"/>
      <c r="O350" s="67"/>
      <c r="P350" s="67"/>
      <c r="Q350" s="67"/>
      <c r="R350" s="67"/>
      <c r="S350" s="67"/>
      <c r="T350" s="67"/>
      <c r="U350" s="67"/>
      <c r="V350" s="67"/>
      <c r="W350" s="67"/>
      <c r="X350" s="67"/>
      <c r="Y350" s="67"/>
      <c r="Z350" s="67"/>
    </row>
    <row r="351" spans="1:26" ht="12.5">
      <c r="A351" s="68" t="s">
        <v>733</v>
      </c>
      <c r="B351" s="68" t="s">
        <v>813</v>
      </c>
      <c r="C351" s="68" t="s">
        <v>833</v>
      </c>
      <c r="D351" s="68" t="s">
        <v>20</v>
      </c>
      <c r="E351" s="69">
        <v>2020</v>
      </c>
      <c r="F351" s="69">
        <v>5</v>
      </c>
      <c r="G351" s="69">
        <v>97.8</v>
      </c>
      <c r="H351" s="69">
        <v>19463</v>
      </c>
      <c r="I351" s="67"/>
      <c r="J351" s="67"/>
      <c r="K351" s="67"/>
      <c r="L351" s="67"/>
      <c r="M351" s="67"/>
      <c r="N351" s="67"/>
      <c r="O351" s="67"/>
      <c r="P351" s="67"/>
      <c r="Q351" s="67"/>
      <c r="R351" s="67"/>
      <c r="S351" s="67"/>
      <c r="T351" s="67"/>
      <c r="U351" s="67"/>
      <c r="V351" s="67"/>
      <c r="W351" s="67"/>
      <c r="X351" s="67"/>
      <c r="Y351" s="67"/>
      <c r="Z351" s="67"/>
    </row>
    <row r="352" spans="1:26" ht="12.5">
      <c r="A352" s="68" t="s">
        <v>733</v>
      </c>
      <c r="B352" s="68" t="s">
        <v>813</v>
      </c>
      <c r="C352" s="68" t="s">
        <v>835</v>
      </c>
      <c r="D352" s="68" t="s">
        <v>28</v>
      </c>
      <c r="E352" s="69">
        <v>2020</v>
      </c>
      <c r="F352" s="69">
        <v>6</v>
      </c>
      <c r="G352" s="69">
        <v>145.19999999999999</v>
      </c>
      <c r="H352" s="69">
        <v>10646</v>
      </c>
      <c r="I352" s="67"/>
      <c r="J352" s="67"/>
      <c r="K352" s="67"/>
      <c r="L352" s="67"/>
      <c r="M352" s="67"/>
      <c r="N352" s="67"/>
      <c r="O352" s="67"/>
      <c r="P352" s="67"/>
      <c r="Q352" s="67"/>
      <c r="R352" s="67"/>
      <c r="S352" s="67"/>
      <c r="T352" s="67"/>
      <c r="U352" s="67"/>
      <c r="V352" s="67"/>
      <c r="W352" s="67"/>
      <c r="X352" s="67"/>
      <c r="Y352" s="67"/>
      <c r="Z352" s="67"/>
    </row>
    <row r="353" spans="1:26" ht="12.5">
      <c r="A353" s="68" t="s">
        <v>733</v>
      </c>
      <c r="B353" s="68" t="s">
        <v>813</v>
      </c>
      <c r="C353" s="68" t="s">
        <v>838</v>
      </c>
      <c r="D353" s="68" t="s">
        <v>32</v>
      </c>
      <c r="E353" s="69">
        <v>2020</v>
      </c>
      <c r="F353" s="69">
        <v>4</v>
      </c>
      <c r="G353" s="69">
        <v>641.79999999999995</v>
      </c>
      <c r="H353" s="69">
        <v>6909</v>
      </c>
      <c r="I353" s="67"/>
      <c r="J353" s="67"/>
      <c r="K353" s="67"/>
      <c r="L353" s="67"/>
      <c r="M353" s="67"/>
      <c r="N353" s="67"/>
      <c r="O353" s="67"/>
      <c r="P353" s="67"/>
      <c r="Q353" s="67"/>
      <c r="R353" s="67"/>
      <c r="S353" s="67"/>
      <c r="T353" s="67"/>
      <c r="U353" s="67"/>
      <c r="V353" s="67"/>
      <c r="W353" s="67"/>
      <c r="X353" s="67"/>
      <c r="Y353" s="67"/>
      <c r="Z353" s="67"/>
    </row>
    <row r="354" spans="1:26" ht="12.5">
      <c r="A354" s="68" t="s">
        <v>733</v>
      </c>
      <c r="B354" s="68" t="s">
        <v>841</v>
      </c>
      <c r="C354" s="68" t="s">
        <v>842</v>
      </c>
      <c r="D354" s="68" t="s">
        <v>28</v>
      </c>
      <c r="E354" s="69">
        <v>2020</v>
      </c>
      <c r="F354" s="69">
        <v>12</v>
      </c>
      <c r="G354" s="69">
        <v>152.6</v>
      </c>
      <c r="H354" s="69">
        <v>10778</v>
      </c>
      <c r="I354" s="67"/>
      <c r="J354" s="67"/>
      <c r="K354" s="67"/>
      <c r="L354" s="67"/>
      <c r="M354" s="67"/>
      <c r="N354" s="67"/>
      <c r="O354" s="67"/>
      <c r="P354" s="67"/>
      <c r="Q354" s="67"/>
      <c r="R354" s="67"/>
      <c r="S354" s="67"/>
      <c r="T354" s="67"/>
      <c r="U354" s="67"/>
      <c r="V354" s="67"/>
      <c r="W354" s="67"/>
      <c r="X354" s="67"/>
      <c r="Y354" s="67"/>
      <c r="Z354" s="67"/>
    </row>
    <row r="355" spans="1:26" ht="12.5">
      <c r="A355" s="68" t="s">
        <v>733</v>
      </c>
      <c r="B355" s="68" t="s">
        <v>841</v>
      </c>
      <c r="C355" s="68" t="s">
        <v>844</v>
      </c>
      <c r="D355" s="68" t="s">
        <v>32</v>
      </c>
      <c r="E355" s="69">
        <v>2020</v>
      </c>
      <c r="F355" s="69">
        <v>8</v>
      </c>
      <c r="G355" s="69">
        <v>110.5</v>
      </c>
      <c r="H355" s="69">
        <v>9973</v>
      </c>
      <c r="I355" s="67"/>
      <c r="J355" s="67"/>
      <c r="K355" s="67"/>
      <c r="L355" s="67"/>
      <c r="M355" s="67"/>
      <c r="N355" s="67"/>
      <c r="O355" s="67"/>
      <c r="P355" s="67"/>
      <c r="Q355" s="67"/>
      <c r="R355" s="67"/>
      <c r="S355" s="67"/>
      <c r="T355" s="67"/>
      <c r="U355" s="67"/>
      <c r="V355" s="67"/>
      <c r="W355" s="67"/>
      <c r="X355" s="67"/>
      <c r="Y355" s="67"/>
      <c r="Z355" s="67"/>
    </row>
    <row r="356" spans="1:26" ht="12.5">
      <c r="A356" s="68" t="s">
        <v>733</v>
      </c>
      <c r="B356" s="68" t="s">
        <v>841</v>
      </c>
      <c r="C356" s="68" t="s">
        <v>846</v>
      </c>
      <c r="D356" s="68" t="s">
        <v>28</v>
      </c>
      <c r="E356" s="69">
        <v>2020</v>
      </c>
      <c r="F356" s="69">
        <v>5</v>
      </c>
      <c r="G356" s="69">
        <v>103</v>
      </c>
      <c r="H356" s="69">
        <v>11543</v>
      </c>
      <c r="I356" s="67"/>
      <c r="J356" s="67"/>
      <c r="K356" s="67"/>
      <c r="L356" s="67"/>
      <c r="M356" s="67"/>
      <c r="N356" s="67"/>
      <c r="O356" s="67"/>
      <c r="P356" s="67"/>
      <c r="Q356" s="67"/>
      <c r="R356" s="67"/>
      <c r="S356" s="67"/>
      <c r="T356" s="67"/>
      <c r="U356" s="67"/>
      <c r="V356" s="67"/>
      <c r="W356" s="67"/>
      <c r="X356" s="67"/>
      <c r="Y356" s="67"/>
      <c r="Z356" s="67"/>
    </row>
    <row r="357" spans="1:26" ht="12.5">
      <c r="A357" s="68" t="s">
        <v>733</v>
      </c>
      <c r="B357" s="68" t="s">
        <v>841</v>
      </c>
      <c r="C357" s="68" t="s">
        <v>849</v>
      </c>
      <c r="D357" s="68" t="s">
        <v>28</v>
      </c>
      <c r="E357" s="69">
        <v>2020</v>
      </c>
      <c r="F357" s="69">
        <v>9</v>
      </c>
      <c r="G357" s="69">
        <v>260.8</v>
      </c>
      <c r="H357" s="69">
        <v>6713</v>
      </c>
      <c r="I357" s="67"/>
      <c r="J357" s="67"/>
      <c r="K357" s="67"/>
      <c r="L357" s="67"/>
      <c r="M357" s="67"/>
      <c r="N357" s="67"/>
      <c r="O357" s="67"/>
      <c r="P357" s="67"/>
      <c r="Q357" s="67"/>
      <c r="R357" s="67"/>
      <c r="S357" s="67"/>
      <c r="T357" s="67"/>
      <c r="U357" s="67"/>
      <c r="V357" s="67"/>
      <c r="W357" s="67"/>
      <c r="X357" s="67"/>
      <c r="Y357" s="67"/>
      <c r="Z357" s="67"/>
    </row>
    <row r="358" spans="1:26" ht="12.5">
      <c r="A358" s="68" t="s">
        <v>733</v>
      </c>
      <c r="B358" s="68" t="s">
        <v>841</v>
      </c>
      <c r="C358" s="68" t="s">
        <v>852</v>
      </c>
      <c r="D358" s="68" t="s">
        <v>28</v>
      </c>
      <c r="E358" s="69">
        <v>2020</v>
      </c>
      <c r="F358" s="69">
        <v>6</v>
      </c>
      <c r="G358" s="69">
        <v>211.5</v>
      </c>
      <c r="H358" s="69">
        <v>5127</v>
      </c>
      <c r="I358" s="67"/>
      <c r="J358" s="67"/>
      <c r="K358" s="67"/>
      <c r="L358" s="67"/>
      <c r="M358" s="67"/>
      <c r="N358" s="67"/>
      <c r="O358" s="67"/>
      <c r="P358" s="67"/>
      <c r="Q358" s="67"/>
      <c r="R358" s="67"/>
      <c r="S358" s="67"/>
      <c r="T358" s="67"/>
      <c r="U358" s="67"/>
      <c r="V358" s="67"/>
      <c r="W358" s="67"/>
      <c r="X358" s="67"/>
      <c r="Y358" s="67"/>
      <c r="Z358" s="67"/>
    </row>
    <row r="359" spans="1:26" ht="12.5">
      <c r="A359" s="68" t="s">
        <v>733</v>
      </c>
      <c r="B359" s="68" t="s">
        <v>841</v>
      </c>
      <c r="C359" s="68" t="s">
        <v>855</v>
      </c>
      <c r="D359" s="68" t="s">
        <v>28</v>
      </c>
      <c r="E359" s="69">
        <v>2020</v>
      </c>
      <c r="F359" s="69">
        <v>5</v>
      </c>
      <c r="G359" s="69">
        <v>117.3</v>
      </c>
      <c r="H359" s="69">
        <v>6539</v>
      </c>
      <c r="I359" s="67"/>
      <c r="J359" s="67"/>
      <c r="K359" s="67"/>
      <c r="L359" s="67"/>
      <c r="M359" s="67"/>
      <c r="N359" s="67"/>
      <c r="O359" s="67"/>
      <c r="P359" s="67"/>
      <c r="Q359" s="67"/>
      <c r="R359" s="67"/>
      <c r="S359" s="67"/>
      <c r="T359" s="67"/>
      <c r="U359" s="67"/>
      <c r="V359" s="67"/>
      <c r="W359" s="67"/>
      <c r="X359" s="67"/>
      <c r="Y359" s="67"/>
      <c r="Z359" s="67"/>
    </row>
    <row r="360" spans="1:26" ht="12.5">
      <c r="A360" s="68" t="s">
        <v>733</v>
      </c>
      <c r="B360" s="68" t="s">
        <v>841</v>
      </c>
      <c r="C360" s="68" t="s">
        <v>857</v>
      </c>
      <c r="D360" s="68" t="s">
        <v>20</v>
      </c>
      <c r="E360" s="69">
        <v>2020</v>
      </c>
      <c r="F360" s="69">
        <v>5</v>
      </c>
      <c r="G360" s="69">
        <v>120.2</v>
      </c>
      <c r="H360" s="69">
        <v>12497</v>
      </c>
      <c r="I360" s="67"/>
      <c r="J360" s="67"/>
      <c r="K360" s="67"/>
      <c r="L360" s="67"/>
      <c r="M360" s="67"/>
      <c r="N360" s="67"/>
      <c r="O360" s="67"/>
      <c r="P360" s="67"/>
      <c r="Q360" s="67"/>
      <c r="R360" s="67"/>
      <c r="S360" s="67"/>
      <c r="T360" s="67"/>
      <c r="U360" s="67"/>
      <c r="V360" s="67"/>
      <c r="W360" s="67"/>
      <c r="X360" s="67"/>
      <c r="Y360" s="67"/>
      <c r="Z360" s="67"/>
    </row>
    <row r="361" spans="1:26" ht="12.5">
      <c r="A361" s="68" t="s">
        <v>733</v>
      </c>
      <c r="B361" s="68" t="s">
        <v>841</v>
      </c>
      <c r="C361" s="68" t="s">
        <v>859</v>
      </c>
      <c r="D361" s="68" t="s">
        <v>32</v>
      </c>
      <c r="E361" s="69">
        <v>2020</v>
      </c>
      <c r="F361" s="69">
        <v>15</v>
      </c>
      <c r="G361" s="69">
        <v>217.2</v>
      </c>
      <c r="H361" s="69">
        <v>14390</v>
      </c>
      <c r="I361" s="67"/>
      <c r="J361" s="67"/>
      <c r="K361" s="67"/>
      <c r="L361" s="67"/>
      <c r="M361" s="67"/>
      <c r="N361" s="67"/>
      <c r="O361" s="67"/>
      <c r="P361" s="67"/>
      <c r="Q361" s="67"/>
      <c r="R361" s="67"/>
      <c r="S361" s="67"/>
      <c r="T361" s="67"/>
      <c r="U361" s="67"/>
      <c r="V361" s="67"/>
      <c r="W361" s="67"/>
      <c r="X361" s="67"/>
      <c r="Y361" s="67"/>
      <c r="Z361" s="67"/>
    </row>
    <row r="362" spans="1:26" ht="12.5">
      <c r="A362" s="68" t="s">
        <v>733</v>
      </c>
      <c r="B362" s="68" t="s">
        <v>841</v>
      </c>
      <c r="C362" s="68" t="s">
        <v>862</v>
      </c>
      <c r="D362" s="68" t="s">
        <v>28</v>
      </c>
      <c r="E362" s="69">
        <v>2020</v>
      </c>
      <c r="F362" s="69">
        <v>12</v>
      </c>
      <c r="G362" s="69">
        <v>299.5</v>
      </c>
      <c r="H362" s="69">
        <v>7002</v>
      </c>
      <c r="I362" s="67"/>
      <c r="J362" s="67"/>
      <c r="K362" s="67"/>
      <c r="L362" s="67"/>
      <c r="M362" s="67"/>
      <c r="N362" s="67"/>
      <c r="O362" s="67"/>
      <c r="P362" s="67"/>
      <c r="Q362" s="67"/>
      <c r="R362" s="67"/>
      <c r="S362" s="67"/>
      <c r="T362" s="67"/>
      <c r="U362" s="67"/>
      <c r="V362" s="67"/>
      <c r="W362" s="67"/>
      <c r="X362" s="67"/>
      <c r="Y362" s="67"/>
      <c r="Z362" s="67"/>
    </row>
    <row r="363" spans="1:26" ht="12.5">
      <c r="A363" s="68" t="s">
        <v>733</v>
      </c>
      <c r="B363" s="68" t="s">
        <v>841</v>
      </c>
      <c r="C363" s="68" t="s">
        <v>865</v>
      </c>
      <c r="D363" s="68" t="s">
        <v>28</v>
      </c>
      <c r="E363" s="69">
        <v>2020</v>
      </c>
      <c r="F363" s="69">
        <v>12</v>
      </c>
      <c r="G363" s="69">
        <v>145.19999999999999</v>
      </c>
      <c r="H363" s="69">
        <v>9451</v>
      </c>
      <c r="I363" s="67"/>
      <c r="J363" s="67"/>
      <c r="K363" s="67"/>
      <c r="L363" s="67"/>
      <c r="M363" s="67"/>
      <c r="N363" s="67"/>
      <c r="O363" s="67"/>
      <c r="P363" s="67"/>
      <c r="Q363" s="67"/>
      <c r="R363" s="67"/>
      <c r="S363" s="67"/>
      <c r="T363" s="67"/>
      <c r="U363" s="67"/>
      <c r="V363" s="67"/>
      <c r="W363" s="67"/>
      <c r="X363" s="67"/>
      <c r="Y363" s="67"/>
      <c r="Z363" s="67"/>
    </row>
    <row r="364" spans="1:26" ht="12.5">
      <c r="A364" s="68" t="s">
        <v>733</v>
      </c>
      <c r="B364" s="68" t="s">
        <v>841</v>
      </c>
      <c r="C364" s="68" t="s">
        <v>868</v>
      </c>
      <c r="D364" s="68" t="s">
        <v>28</v>
      </c>
      <c r="E364" s="69">
        <v>2020</v>
      </c>
      <c r="F364" s="69">
        <v>17</v>
      </c>
      <c r="G364" s="69">
        <v>437.3</v>
      </c>
      <c r="H364" s="69">
        <v>16107</v>
      </c>
      <c r="I364" s="67"/>
      <c r="J364" s="67"/>
      <c r="K364" s="67"/>
      <c r="L364" s="67"/>
      <c r="M364" s="67"/>
      <c r="N364" s="67"/>
      <c r="O364" s="67"/>
      <c r="P364" s="67"/>
      <c r="Q364" s="67"/>
      <c r="R364" s="67"/>
      <c r="S364" s="67"/>
      <c r="T364" s="67"/>
      <c r="U364" s="67"/>
      <c r="V364" s="67"/>
      <c r="W364" s="67"/>
      <c r="X364" s="67"/>
      <c r="Y364" s="67"/>
      <c r="Z364" s="67"/>
    </row>
    <row r="365" spans="1:26" ht="12.5">
      <c r="A365" s="68" t="s">
        <v>733</v>
      </c>
      <c r="B365" s="68" t="s">
        <v>841</v>
      </c>
      <c r="C365" s="68" t="s">
        <v>871</v>
      </c>
      <c r="D365" s="68" t="s">
        <v>20</v>
      </c>
      <c r="E365" s="69">
        <v>2020</v>
      </c>
      <c r="F365" s="69">
        <v>1</v>
      </c>
      <c r="G365" s="69">
        <v>37.700000000000003</v>
      </c>
      <c r="H365" s="69">
        <v>115542</v>
      </c>
      <c r="I365" s="67"/>
      <c r="J365" s="67"/>
      <c r="K365" s="67"/>
      <c r="L365" s="67"/>
      <c r="M365" s="67"/>
      <c r="N365" s="67"/>
      <c r="O365" s="67"/>
      <c r="P365" s="67"/>
      <c r="Q365" s="67"/>
      <c r="R365" s="67"/>
      <c r="S365" s="67"/>
      <c r="T365" s="67"/>
      <c r="U365" s="67"/>
      <c r="V365" s="67"/>
      <c r="W365" s="67"/>
      <c r="X365" s="67"/>
      <c r="Y365" s="67"/>
      <c r="Z365" s="67"/>
    </row>
    <row r="366" spans="1:26" ht="12.5">
      <c r="A366" s="68" t="s">
        <v>733</v>
      </c>
      <c r="B366" s="68" t="s">
        <v>841</v>
      </c>
      <c r="C366" s="68" t="s">
        <v>874</v>
      </c>
      <c r="D366" s="68" t="s">
        <v>28</v>
      </c>
      <c r="E366" s="69">
        <v>2020</v>
      </c>
      <c r="F366" s="69">
        <v>10</v>
      </c>
      <c r="G366" s="69">
        <v>65.5</v>
      </c>
      <c r="H366" s="69">
        <v>14325</v>
      </c>
      <c r="I366" s="67"/>
      <c r="J366" s="67"/>
      <c r="K366" s="67"/>
      <c r="L366" s="67"/>
      <c r="M366" s="67"/>
      <c r="N366" s="67"/>
      <c r="O366" s="67"/>
      <c r="P366" s="67"/>
      <c r="Q366" s="67"/>
      <c r="R366" s="67"/>
      <c r="S366" s="67"/>
      <c r="T366" s="67"/>
      <c r="U366" s="67"/>
      <c r="V366" s="67"/>
      <c r="W366" s="67"/>
      <c r="X366" s="67"/>
      <c r="Y366" s="67"/>
      <c r="Z366" s="67"/>
    </row>
    <row r="367" spans="1:26" ht="12.5">
      <c r="A367" s="68" t="s">
        <v>733</v>
      </c>
      <c r="B367" s="68" t="s">
        <v>841</v>
      </c>
      <c r="C367" s="68" t="s">
        <v>876</v>
      </c>
      <c r="D367" s="68" t="s">
        <v>20</v>
      </c>
      <c r="E367" s="69">
        <v>2020</v>
      </c>
      <c r="F367" s="69">
        <v>8</v>
      </c>
      <c r="G367" s="69">
        <v>84.1</v>
      </c>
      <c r="H367" s="69">
        <v>15545</v>
      </c>
      <c r="I367" s="67"/>
      <c r="J367" s="67"/>
      <c r="K367" s="67"/>
      <c r="L367" s="67"/>
      <c r="M367" s="67"/>
      <c r="N367" s="67"/>
      <c r="O367" s="67"/>
      <c r="P367" s="67"/>
      <c r="Q367" s="67"/>
      <c r="R367" s="67"/>
      <c r="S367" s="67"/>
      <c r="T367" s="67"/>
      <c r="U367" s="67"/>
      <c r="V367" s="67"/>
      <c r="W367" s="67"/>
      <c r="X367" s="67"/>
      <c r="Y367" s="67"/>
      <c r="Z367" s="67"/>
    </row>
    <row r="368" spans="1:26" ht="12.5">
      <c r="A368" s="68" t="s">
        <v>733</v>
      </c>
      <c r="B368" s="68" t="s">
        <v>879</v>
      </c>
      <c r="C368" s="68" t="s">
        <v>880</v>
      </c>
      <c r="D368" s="68" t="s">
        <v>20</v>
      </c>
      <c r="E368" s="69">
        <v>2020</v>
      </c>
      <c r="F368" s="69">
        <v>20</v>
      </c>
      <c r="G368" s="69">
        <v>309.5</v>
      </c>
      <c r="H368" s="69">
        <v>35893</v>
      </c>
      <c r="I368" s="67"/>
      <c r="J368" s="67"/>
      <c r="K368" s="67"/>
      <c r="L368" s="67"/>
      <c r="M368" s="67"/>
      <c r="N368" s="67"/>
      <c r="O368" s="67"/>
      <c r="P368" s="67"/>
      <c r="Q368" s="67"/>
      <c r="R368" s="67"/>
      <c r="S368" s="67"/>
      <c r="T368" s="67"/>
      <c r="U368" s="67"/>
      <c r="V368" s="67"/>
      <c r="W368" s="67"/>
      <c r="X368" s="67"/>
      <c r="Y368" s="67"/>
      <c r="Z368" s="67"/>
    </row>
    <row r="369" spans="1:26" ht="12.5">
      <c r="A369" s="68" t="s">
        <v>733</v>
      </c>
      <c r="B369" s="68" t="s">
        <v>879</v>
      </c>
      <c r="C369" s="68" t="s">
        <v>882</v>
      </c>
      <c r="D369" s="68" t="s">
        <v>28</v>
      </c>
      <c r="E369" s="69">
        <v>2020</v>
      </c>
      <c r="F369" s="69">
        <v>6</v>
      </c>
      <c r="G369" s="69">
        <v>149.19999999999999</v>
      </c>
      <c r="H369" s="69">
        <v>20650</v>
      </c>
      <c r="I369" s="67"/>
      <c r="J369" s="67"/>
      <c r="K369" s="67"/>
      <c r="L369" s="67"/>
      <c r="M369" s="67"/>
      <c r="N369" s="67"/>
      <c r="O369" s="67"/>
      <c r="P369" s="67"/>
      <c r="Q369" s="67"/>
      <c r="R369" s="67"/>
      <c r="S369" s="67"/>
      <c r="T369" s="67"/>
      <c r="U369" s="67"/>
      <c r="V369" s="67"/>
      <c r="W369" s="67"/>
      <c r="X369" s="67"/>
      <c r="Y369" s="67"/>
      <c r="Z369" s="67"/>
    </row>
    <row r="370" spans="1:26" ht="12.5">
      <c r="A370" s="68" t="s">
        <v>733</v>
      </c>
      <c r="B370" s="68" t="s">
        <v>879</v>
      </c>
      <c r="C370" s="68" t="s">
        <v>885</v>
      </c>
      <c r="D370" s="68" t="s">
        <v>32</v>
      </c>
      <c r="E370" s="69">
        <v>2020</v>
      </c>
      <c r="F370" s="69">
        <v>6</v>
      </c>
      <c r="G370" s="69">
        <v>179.9</v>
      </c>
      <c r="H370" s="69">
        <v>16109</v>
      </c>
      <c r="I370" s="67"/>
      <c r="J370" s="67"/>
      <c r="K370" s="67"/>
      <c r="L370" s="67"/>
      <c r="M370" s="67"/>
      <c r="N370" s="67"/>
      <c r="O370" s="67"/>
      <c r="P370" s="67"/>
      <c r="Q370" s="67"/>
      <c r="R370" s="67"/>
      <c r="S370" s="67"/>
      <c r="T370" s="67"/>
      <c r="U370" s="67"/>
      <c r="V370" s="67"/>
      <c r="W370" s="67"/>
      <c r="X370" s="67"/>
      <c r="Y370" s="67"/>
      <c r="Z370" s="67"/>
    </row>
    <row r="371" spans="1:26" ht="12.5">
      <c r="A371" s="68" t="s">
        <v>733</v>
      </c>
      <c r="B371" s="68" t="s">
        <v>879</v>
      </c>
      <c r="C371" s="68" t="s">
        <v>888</v>
      </c>
      <c r="D371" s="68" t="s">
        <v>28</v>
      </c>
      <c r="E371" s="69">
        <v>2020</v>
      </c>
      <c r="F371" s="69">
        <v>16</v>
      </c>
      <c r="G371" s="69">
        <v>223.6</v>
      </c>
      <c r="H371" s="69">
        <v>12785</v>
      </c>
      <c r="I371" s="67"/>
      <c r="J371" s="67"/>
      <c r="K371" s="67"/>
      <c r="L371" s="67"/>
      <c r="M371" s="67"/>
      <c r="N371" s="67"/>
      <c r="O371" s="67"/>
      <c r="P371" s="67"/>
      <c r="Q371" s="67"/>
      <c r="R371" s="67"/>
      <c r="S371" s="67"/>
      <c r="T371" s="67"/>
      <c r="U371" s="67"/>
      <c r="V371" s="67"/>
      <c r="W371" s="67"/>
      <c r="X371" s="67"/>
      <c r="Y371" s="67"/>
      <c r="Z371" s="67"/>
    </row>
    <row r="372" spans="1:26" ht="12.5">
      <c r="A372" s="68" t="s">
        <v>733</v>
      </c>
      <c r="B372" s="68" t="s">
        <v>879</v>
      </c>
      <c r="C372" s="68" t="s">
        <v>891</v>
      </c>
      <c r="D372" s="68" t="s">
        <v>28</v>
      </c>
      <c r="E372" s="69">
        <v>2020</v>
      </c>
      <c r="F372" s="69">
        <v>8</v>
      </c>
      <c r="G372" s="69">
        <v>257.5</v>
      </c>
      <c r="H372" s="69">
        <v>16801</v>
      </c>
      <c r="I372" s="67"/>
      <c r="J372" s="67"/>
      <c r="K372" s="67"/>
      <c r="L372" s="67"/>
      <c r="M372" s="67"/>
      <c r="N372" s="67"/>
      <c r="O372" s="67"/>
      <c r="P372" s="67"/>
      <c r="Q372" s="67"/>
      <c r="R372" s="67"/>
      <c r="S372" s="67"/>
      <c r="T372" s="67"/>
      <c r="U372" s="67"/>
      <c r="V372" s="67"/>
      <c r="W372" s="67"/>
      <c r="X372" s="67"/>
      <c r="Y372" s="67"/>
      <c r="Z372" s="67"/>
    </row>
    <row r="373" spans="1:26" ht="12.5">
      <c r="A373" s="68" t="s">
        <v>733</v>
      </c>
      <c r="B373" s="68" t="s">
        <v>879</v>
      </c>
      <c r="C373" s="68" t="s">
        <v>893</v>
      </c>
      <c r="D373" s="68" t="s">
        <v>28</v>
      </c>
      <c r="E373" s="69">
        <v>2020</v>
      </c>
      <c r="F373" s="69">
        <v>7</v>
      </c>
      <c r="G373" s="69">
        <v>148.1</v>
      </c>
      <c r="H373" s="69">
        <v>13821</v>
      </c>
      <c r="I373" s="67"/>
      <c r="J373" s="67"/>
      <c r="K373" s="67"/>
      <c r="L373" s="67"/>
      <c r="M373" s="67"/>
      <c r="N373" s="67"/>
      <c r="O373" s="67"/>
      <c r="P373" s="67"/>
      <c r="Q373" s="67"/>
      <c r="R373" s="67"/>
      <c r="S373" s="67"/>
      <c r="T373" s="67"/>
      <c r="U373" s="67"/>
      <c r="V373" s="67"/>
      <c r="W373" s="67"/>
      <c r="X373" s="67"/>
      <c r="Y373" s="67"/>
      <c r="Z373" s="67"/>
    </row>
    <row r="374" spans="1:26" ht="12.5">
      <c r="A374" s="68" t="s">
        <v>733</v>
      </c>
      <c r="B374" s="68" t="s">
        <v>879</v>
      </c>
      <c r="C374" s="68" t="s">
        <v>896</v>
      </c>
      <c r="D374" s="68" t="s">
        <v>28</v>
      </c>
      <c r="E374" s="69">
        <v>2020</v>
      </c>
      <c r="F374" s="69">
        <v>4</v>
      </c>
      <c r="G374" s="69">
        <v>41.6</v>
      </c>
      <c r="H374" s="69">
        <v>8333</v>
      </c>
      <c r="I374" s="67"/>
      <c r="J374" s="67"/>
      <c r="K374" s="67"/>
      <c r="L374" s="67"/>
      <c r="M374" s="67"/>
      <c r="N374" s="67"/>
      <c r="O374" s="67"/>
      <c r="P374" s="67"/>
      <c r="Q374" s="67"/>
      <c r="R374" s="67"/>
      <c r="S374" s="67"/>
      <c r="T374" s="67"/>
      <c r="U374" s="67"/>
      <c r="V374" s="67"/>
      <c r="W374" s="67"/>
      <c r="X374" s="67"/>
      <c r="Y374" s="67"/>
      <c r="Z374" s="67"/>
    </row>
    <row r="375" spans="1:26" ht="12.5">
      <c r="A375" s="68" t="s">
        <v>733</v>
      </c>
      <c r="B375" s="68" t="s">
        <v>879</v>
      </c>
      <c r="C375" s="68" t="s">
        <v>898</v>
      </c>
      <c r="D375" s="68" t="s">
        <v>28</v>
      </c>
      <c r="E375" s="69">
        <v>2020</v>
      </c>
      <c r="F375" s="69">
        <v>4</v>
      </c>
      <c r="G375" s="69">
        <v>298.89999999999998</v>
      </c>
      <c r="H375" s="69">
        <v>14959</v>
      </c>
      <c r="I375" s="67"/>
      <c r="J375" s="67"/>
      <c r="K375" s="67"/>
      <c r="L375" s="67"/>
      <c r="M375" s="67"/>
      <c r="N375" s="67"/>
      <c r="O375" s="67"/>
      <c r="P375" s="67"/>
      <c r="Q375" s="67"/>
      <c r="R375" s="67"/>
      <c r="S375" s="67"/>
      <c r="T375" s="67"/>
      <c r="U375" s="67"/>
      <c r="V375" s="67"/>
      <c r="W375" s="67"/>
      <c r="X375" s="67"/>
      <c r="Y375" s="67"/>
      <c r="Z375" s="67"/>
    </row>
    <row r="376" spans="1:26" ht="12.5">
      <c r="A376" s="68" t="s">
        <v>733</v>
      </c>
      <c r="B376" s="68" t="s">
        <v>879</v>
      </c>
      <c r="C376" s="68" t="s">
        <v>900</v>
      </c>
      <c r="D376" s="68" t="s">
        <v>28</v>
      </c>
      <c r="E376" s="69">
        <v>2020</v>
      </c>
      <c r="F376" s="69">
        <v>5</v>
      </c>
      <c r="G376" s="69">
        <v>161.5</v>
      </c>
      <c r="H376" s="69">
        <v>8757</v>
      </c>
      <c r="I376" s="67"/>
      <c r="J376" s="67"/>
      <c r="K376" s="67"/>
      <c r="L376" s="67"/>
      <c r="M376" s="67"/>
      <c r="N376" s="67"/>
      <c r="O376" s="67"/>
      <c r="P376" s="67"/>
      <c r="Q376" s="67"/>
      <c r="R376" s="67"/>
      <c r="S376" s="67"/>
      <c r="T376" s="67"/>
      <c r="U376" s="67"/>
      <c r="V376" s="67"/>
      <c r="W376" s="67"/>
      <c r="X376" s="67"/>
      <c r="Y376" s="67"/>
      <c r="Z376" s="67"/>
    </row>
    <row r="377" spans="1:26" ht="12.5">
      <c r="A377" s="68" t="s">
        <v>733</v>
      </c>
      <c r="B377" s="68" t="s">
        <v>879</v>
      </c>
      <c r="C377" s="68" t="s">
        <v>903</v>
      </c>
      <c r="D377" s="68" t="s">
        <v>32</v>
      </c>
      <c r="E377" s="69">
        <v>2020</v>
      </c>
      <c r="F377" s="69">
        <v>22</v>
      </c>
      <c r="G377" s="69">
        <v>554.1</v>
      </c>
      <c r="H377" s="69">
        <v>24896</v>
      </c>
      <c r="I377" s="67"/>
      <c r="J377" s="67"/>
      <c r="K377" s="67"/>
      <c r="L377" s="67"/>
      <c r="M377" s="67"/>
      <c r="N377" s="67"/>
      <c r="O377" s="67"/>
      <c r="P377" s="67"/>
      <c r="Q377" s="67"/>
      <c r="R377" s="67"/>
      <c r="S377" s="67"/>
      <c r="T377" s="67"/>
      <c r="U377" s="67"/>
      <c r="V377" s="67"/>
      <c r="W377" s="67"/>
      <c r="X377" s="67"/>
      <c r="Y377" s="67"/>
      <c r="Z377" s="67"/>
    </row>
    <row r="378" spans="1:26" ht="12.5">
      <c r="A378" s="68" t="s">
        <v>733</v>
      </c>
      <c r="B378" s="68" t="s">
        <v>879</v>
      </c>
      <c r="C378" s="68" t="s">
        <v>906</v>
      </c>
      <c r="D378" s="68" t="s">
        <v>28</v>
      </c>
      <c r="E378" s="69">
        <v>2020</v>
      </c>
      <c r="F378" s="69">
        <v>11</v>
      </c>
      <c r="G378" s="69">
        <v>199.6</v>
      </c>
      <c r="H378" s="69">
        <v>7095</v>
      </c>
      <c r="I378" s="67"/>
      <c r="J378" s="67"/>
      <c r="K378" s="67"/>
      <c r="L378" s="67"/>
      <c r="M378" s="67"/>
      <c r="N378" s="67"/>
      <c r="O378" s="67"/>
      <c r="P378" s="67"/>
      <c r="Q378" s="67"/>
      <c r="R378" s="67"/>
      <c r="S378" s="67"/>
      <c r="T378" s="67"/>
      <c r="U378" s="67"/>
      <c r="V378" s="67"/>
      <c r="W378" s="67"/>
      <c r="X378" s="67"/>
      <c r="Y378" s="67"/>
      <c r="Z378" s="67"/>
    </row>
    <row r="379" spans="1:26" ht="12.5">
      <c r="A379" s="68" t="s">
        <v>733</v>
      </c>
      <c r="B379" s="68" t="s">
        <v>879</v>
      </c>
      <c r="C379" s="68" t="s">
        <v>909</v>
      </c>
      <c r="D379" s="68" t="s">
        <v>28</v>
      </c>
      <c r="E379" s="69">
        <v>2020</v>
      </c>
      <c r="F379" s="69">
        <v>6</v>
      </c>
      <c r="G379" s="69">
        <v>254.5</v>
      </c>
      <c r="H379" s="69">
        <v>6376</v>
      </c>
      <c r="I379" s="67"/>
      <c r="J379" s="67"/>
      <c r="K379" s="67"/>
      <c r="L379" s="67"/>
      <c r="M379" s="67"/>
      <c r="N379" s="67"/>
      <c r="O379" s="67"/>
      <c r="P379" s="67"/>
      <c r="Q379" s="67"/>
      <c r="R379" s="67"/>
      <c r="S379" s="67"/>
      <c r="T379" s="67"/>
      <c r="U379" s="67"/>
      <c r="V379" s="67"/>
      <c r="W379" s="67"/>
      <c r="X379" s="67"/>
      <c r="Y379" s="67"/>
      <c r="Z379" s="67"/>
    </row>
    <row r="380" spans="1:26" ht="12.5">
      <c r="A380" s="68" t="s">
        <v>733</v>
      </c>
      <c r="B380" s="68" t="s">
        <v>879</v>
      </c>
      <c r="C380" s="68" t="s">
        <v>912</v>
      </c>
      <c r="D380" s="68" t="s">
        <v>20</v>
      </c>
      <c r="E380" s="69">
        <v>2020</v>
      </c>
      <c r="F380" s="69">
        <v>28</v>
      </c>
      <c r="G380" s="69">
        <v>402.3</v>
      </c>
      <c r="H380" s="69">
        <v>80858</v>
      </c>
      <c r="I380" s="67"/>
      <c r="J380" s="67"/>
      <c r="K380" s="67"/>
      <c r="L380" s="67"/>
      <c r="M380" s="67"/>
      <c r="N380" s="67"/>
      <c r="O380" s="67"/>
      <c r="P380" s="67"/>
      <c r="Q380" s="67"/>
      <c r="R380" s="67"/>
      <c r="S380" s="67"/>
      <c r="T380" s="67"/>
      <c r="U380" s="67"/>
      <c r="V380" s="67"/>
      <c r="W380" s="67"/>
      <c r="X380" s="67"/>
      <c r="Y380" s="67"/>
      <c r="Z380" s="67"/>
    </row>
    <row r="381" spans="1:26" ht="12.5">
      <c r="A381" s="68" t="s">
        <v>915</v>
      </c>
      <c r="B381" s="68" t="s">
        <v>916</v>
      </c>
      <c r="C381" s="68" t="s">
        <v>917</v>
      </c>
      <c r="D381" s="68" t="s">
        <v>28</v>
      </c>
      <c r="E381" s="69">
        <v>2020</v>
      </c>
      <c r="F381" s="69">
        <v>4</v>
      </c>
      <c r="G381" s="69">
        <v>194.8</v>
      </c>
      <c r="H381" s="69">
        <v>3257</v>
      </c>
      <c r="I381" s="67"/>
      <c r="J381" s="67"/>
      <c r="K381" s="67"/>
      <c r="L381" s="67"/>
      <c r="M381" s="67"/>
      <c r="N381" s="67"/>
      <c r="O381" s="67"/>
      <c r="P381" s="67"/>
      <c r="Q381" s="67"/>
      <c r="R381" s="67"/>
      <c r="S381" s="67"/>
      <c r="T381" s="67"/>
      <c r="U381" s="67"/>
      <c r="V381" s="67"/>
      <c r="W381" s="67"/>
      <c r="X381" s="67"/>
      <c r="Y381" s="67"/>
      <c r="Z381" s="67"/>
    </row>
    <row r="382" spans="1:26" ht="12.5">
      <c r="A382" s="68" t="s">
        <v>915</v>
      </c>
      <c r="B382" s="68" t="s">
        <v>916</v>
      </c>
      <c r="C382" s="68" t="s">
        <v>507</v>
      </c>
      <c r="D382" s="68" t="s">
        <v>32</v>
      </c>
      <c r="E382" s="69">
        <v>2020</v>
      </c>
      <c r="F382" s="69">
        <v>14</v>
      </c>
      <c r="G382" s="69">
        <v>498.7</v>
      </c>
      <c r="H382" s="69">
        <v>7001</v>
      </c>
      <c r="I382" s="67"/>
      <c r="J382" s="67"/>
      <c r="K382" s="67"/>
      <c r="L382" s="67"/>
      <c r="M382" s="67"/>
      <c r="N382" s="67"/>
      <c r="O382" s="67"/>
      <c r="P382" s="67"/>
      <c r="Q382" s="67"/>
      <c r="R382" s="67"/>
      <c r="S382" s="67"/>
      <c r="T382" s="67"/>
      <c r="U382" s="67"/>
      <c r="V382" s="67"/>
      <c r="W382" s="67"/>
      <c r="X382" s="67"/>
      <c r="Y382" s="67"/>
      <c r="Z382" s="67"/>
    </row>
    <row r="383" spans="1:26" ht="12.5">
      <c r="A383" s="68" t="s">
        <v>915</v>
      </c>
      <c r="B383" s="68" t="s">
        <v>916</v>
      </c>
      <c r="C383" s="68" t="s">
        <v>921</v>
      </c>
      <c r="D383" s="68" t="s">
        <v>20</v>
      </c>
      <c r="E383" s="69">
        <v>2020</v>
      </c>
      <c r="F383" s="69">
        <v>5</v>
      </c>
      <c r="G383" s="69">
        <v>252.2</v>
      </c>
      <c r="H383" s="69">
        <v>112783</v>
      </c>
      <c r="I383" s="67"/>
      <c r="J383" s="67"/>
      <c r="K383" s="67"/>
      <c r="L383" s="67"/>
      <c r="M383" s="67"/>
      <c r="N383" s="67"/>
      <c r="O383" s="67"/>
      <c r="P383" s="67"/>
      <c r="Q383" s="67"/>
      <c r="R383" s="67"/>
      <c r="S383" s="67"/>
      <c r="T383" s="67"/>
      <c r="U383" s="67"/>
      <c r="V383" s="67"/>
      <c r="W383" s="67"/>
      <c r="X383" s="67"/>
      <c r="Y383" s="67"/>
      <c r="Z383" s="67"/>
    </row>
    <row r="384" spans="1:26" ht="12.5">
      <c r="A384" s="68" t="s">
        <v>915</v>
      </c>
      <c r="B384" s="68" t="s">
        <v>916</v>
      </c>
      <c r="C384" s="68" t="s">
        <v>924</v>
      </c>
      <c r="D384" s="68" t="s">
        <v>28</v>
      </c>
      <c r="E384" s="69">
        <v>2020</v>
      </c>
      <c r="F384" s="69">
        <v>11</v>
      </c>
      <c r="G384" s="69">
        <v>498.7</v>
      </c>
      <c r="H384" s="69">
        <v>4468</v>
      </c>
      <c r="I384" s="67"/>
      <c r="J384" s="67"/>
      <c r="K384" s="67"/>
      <c r="L384" s="67"/>
      <c r="M384" s="67"/>
      <c r="N384" s="67"/>
      <c r="O384" s="67"/>
      <c r="P384" s="67"/>
      <c r="Q384" s="67"/>
      <c r="R384" s="67"/>
      <c r="S384" s="67"/>
      <c r="T384" s="67"/>
      <c r="U384" s="67"/>
      <c r="V384" s="67"/>
      <c r="W384" s="67"/>
      <c r="X384" s="67"/>
      <c r="Y384" s="67"/>
      <c r="Z384" s="67"/>
    </row>
    <row r="385" spans="1:26" ht="12.5">
      <c r="A385" s="68" t="s">
        <v>915</v>
      </c>
      <c r="B385" s="68" t="s">
        <v>916</v>
      </c>
      <c r="C385" s="68" t="s">
        <v>926</v>
      </c>
      <c r="D385" s="68" t="s">
        <v>28</v>
      </c>
      <c r="E385" s="69">
        <v>2020</v>
      </c>
      <c r="F385" s="69">
        <v>11</v>
      </c>
      <c r="G385" s="69">
        <v>418.6</v>
      </c>
      <c r="H385" s="69">
        <v>5600</v>
      </c>
      <c r="I385" s="67"/>
      <c r="J385" s="67"/>
      <c r="K385" s="67"/>
      <c r="L385" s="67"/>
      <c r="M385" s="67"/>
      <c r="N385" s="67"/>
      <c r="O385" s="67"/>
      <c r="P385" s="67"/>
      <c r="Q385" s="67"/>
      <c r="R385" s="67"/>
      <c r="S385" s="67"/>
      <c r="T385" s="67"/>
      <c r="U385" s="67"/>
      <c r="V385" s="67"/>
      <c r="W385" s="67"/>
      <c r="X385" s="67"/>
      <c r="Y385" s="67"/>
      <c r="Z385" s="67"/>
    </row>
    <row r="386" spans="1:26" ht="12.5">
      <c r="A386" s="68" t="s">
        <v>915</v>
      </c>
      <c r="B386" s="68" t="s">
        <v>916</v>
      </c>
      <c r="C386" s="68" t="s">
        <v>929</v>
      </c>
      <c r="D386" s="68" t="s">
        <v>28</v>
      </c>
      <c r="E386" s="69">
        <v>2020</v>
      </c>
      <c r="F386" s="69">
        <v>7</v>
      </c>
      <c r="G386" s="69">
        <v>419.6</v>
      </c>
      <c r="H386" s="69">
        <v>7365</v>
      </c>
      <c r="I386" s="67"/>
      <c r="J386" s="67"/>
      <c r="K386" s="67"/>
      <c r="L386" s="67"/>
      <c r="M386" s="67"/>
      <c r="N386" s="67"/>
      <c r="O386" s="67"/>
      <c r="P386" s="67"/>
      <c r="Q386" s="67"/>
      <c r="R386" s="67"/>
      <c r="S386" s="67"/>
      <c r="T386" s="67"/>
      <c r="U386" s="67"/>
      <c r="V386" s="67"/>
      <c r="W386" s="67"/>
      <c r="X386" s="67"/>
      <c r="Y386" s="67"/>
      <c r="Z386" s="67"/>
    </row>
    <row r="387" spans="1:26" ht="12.5">
      <c r="A387" s="68" t="s">
        <v>915</v>
      </c>
      <c r="B387" s="68" t="s">
        <v>916</v>
      </c>
      <c r="C387" s="68" t="s">
        <v>931</v>
      </c>
      <c r="D387" s="68" t="s">
        <v>20</v>
      </c>
      <c r="E387" s="69">
        <v>2020</v>
      </c>
      <c r="F387" s="69">
        <v>20</v>
      </c>
      <c r="G387" s="69">
        <v>985.7</v>
      </c>
      <c r="H387" s="69">
        <v>22797</v>
      </c>
      <c r="I387" s="67"/>
      <c r="J387" s="67"/>
      <c r="K387" s="67"/>
      <c r="L387" s="67"/>
      <c r="M387" s="67"/>
      <c r="N387" s="67"/>
      <c r="O387" s="67"/>
      <c r="P387" s="67"/>
      <c r="Q387" s="67"/>
      <c r="R387" s="67"/>
      <c r="S387" s="67"/>
      <c r="T387" s="67"/>
      <c r="U387" s="67"/>
      <c r="V387" s="67"/>
      <c r="W387" s="67"/>
      <c r="X387" s="67"/>
      <c r="Y387" s="67"/>
      <c r="Z387" s="67"/>
    </row>
    <row r="388" spans="1:26" ht="12.5">
      <c r="A388" s="68" t="s">
        <v>915</v>
      </c>
      <c r="B388" s="68" t="s">
        <v>916</v>
      </c>
      <c r="C388" s="68" t="s">
        <v>933</v>
      </c>
      <c r="D388" s="68" t="s">
        <v>32</v>
      </c>
      <c r="E388" s="69">
        <v>2020</v>
      </c>
      <c r="F388" s="69">
        <v>41</v>
      </c>
      <c r="G388" s="69">
        <v>1201.2</v>
      </c>
      <c r="H388" s="69">
        <v>15847</v>
      </c>
      <c r="I388" s="67"/>
      <c r="J388" s="67"/>
      <c r="K388" s="67"/>
      <c r="L388" s="67"/>
      <c r="M388" s="67"/>
      <c r="N388" s="67"/>
      <c r="O388" s="67"/>
      <c r="P388" s="67"/>
      <c r="Q388" s="67"/>
      <c r="R388" s="67"/>
      <c r="S388" s="67"/>
      <c r="T388" s="67"/>
      <c r="U388" s="67"/>
      <c r="V388" s="67"/>
      <c r="W388" s="67"/>
      <c r="X388" s="67"/>
      <c r="Y388" s="67"/>
      <c r="Z388" s="67"/>
    </row>
    <row r="389" spans="1:26" ht="12.5">
      <c r="A389" s="68" t="s">
        <v>915</v>
      </c>
      <c r="B389" s="68" t="s">
        <v>935</v>
      </c>
      <c r="C389" s="68" t="s">
        <v>936</v>
      </c>
      <c r="D389" s="68" t="s">
        <v>28</v>
      </c>
      <c r="E389" s="69">
        <v>2020</v>
      </c>
      <c r="F389" s="69">
        <v>7</v>
      </c>
      <c r="G389" s="69">
        <v>299.7</v>
      </c>
      <c r="H389" s="69">
        <v>6195</v>
      </c>
      <c r="I389" s="67"/>
      <c r="J389" s="67"/>
      <c r="K389" s="67"/>
      <c r="L389" s="67"/>
      <c r="M389" s="67"/>
      <c r="N389" s="67"/>
      <c r="O389" s="67"/>
      <c r="P389" s="67"/>
      <c r="Q389" s="67"/>
      <c r="R389" s="67"/>
      <c r="S389" s="67"/>
      <c r="T389" s="67"/>
      <c r="U389" s="67"/>
      <c r="V389" s="67"/>
      <c r="W389" s="67"/>
      <c r="X389" s="67"/>
      <c r="Y389" s="67"/>
      <c r="Z389" s="67"/>
    </row>
    <row r="390" spans="1:26" ht="12.5">
      <c r="A390" s="68" t="s">
        <v>915</v>
      </c>
      <c r="B390" s="68" t="s">
        <v>935</v>
      </c>
      <c r="C390" s="68" t="s">
        <v>938</v>
      </c>
      <c r="D390" s="68" t="s">
        <v>20</v>
      </c>
      <c r="E390" s="69">
        <v>2020</v>
      </c>
      <c r="F390" s="69">
        <v>18</v>
      </c>
      <c r="G390" s="69">
        <v>721.5</v>
      </c>
      <c r="H390" s="69">
        <v>20922</v>
      </c>
      <c r="I390" s="67"/>
      <c r="J390" s="67"/>
      <c r="K390" s="67"/>
      <c r="L390" s="67"/>
      <c r="M390" s="67"/>
      <c r="N390" s="67"/>
      <c r="O390" s="67"/>
      <c r="P390" s="67"/>
      <c r="Q390" s="67"/>
      <c r="R390" s="67"/>
      <c r="S390" s="67"/>
      <c r="T390" s="67"/>
      <c r="U390" s="67"/>
      <c r="V390" s="67"/>
      <c r="W390" s="67"/>
      <c r="X390" s="67"/>
      <c r="Y390" s="67"/>
      <c r="Z390" s="67"/>
    </row>
    <row r="391" spans="1:26" ht="12.5">
      <c r="A391" s="68" t="s">
        <v>915</v>
      </c>
      <c r="B391" s="68" t="s">
        <v>935</v>
      </c>
      <c r="C391" s="68" t="s">
        <v>941</v>
      </c>
      <c r="D391" s="68" t="s">
        <v>28</v>
      </c>
      <c r="E391" s="69">
        <v>2020</v>
      </c>
      <c r="F391" s="69">
        <v>8</v>
      </c>
      <c r="G391" s="69">
        <v>470.9</v>
      </c>
      <c r="H391" s="69">
        <v>7548</v>
      </c>
      <c r="I391" s="67"/>
      <c r="J391" s="67"/>
      <c r="K391" s="67"/>
      <c r="L391" s="67"/>
      <c r="M391" s="67"/>
      <c r="N391" s="67"/>
      <c r="O391" s="67"/>
      <c r="P391" s="67"/>
      <c r="Q391" s="67"/>
      <c r="R391" s="67"/>
      <c r="S391" s="67"/>
      <c r="T391" s="67"/>
      <c r="U391" s="67"/>
      <c r="V391" s="67"/>
      <c r="W391" s="67"/>
      <c r="X391" s="67"/>
      <c r="Y391" s="67"/>
      <c r="Z391" s="67"/>
    </row>
    <row r="392" spans="1:26" ht="12.5">
      <c r="A392" s="68" t="s">
        <v>915</v>
      </c>
      <c r="B392" s="68" t="s">
        <v>935</v>
      </c>
      <c r="C392" s="68" t="s">
        <v>943</v>
      </c>
      <c r="D392" s="68" t="s">
        <v>28</v>
      </c>
      <c r="E392" s="69">
        <v>2020</v>
      </c>
      <c r="F392" s="69">
        <v>8</v>
      </c>
      <c r="G392" s="69">
        <v>365.2</v>
      </c>
      <c r="H392" s="69">
        <v>11722</v>
      </c>
      <c r="I392" s="67"/>
      <c r="J392" s="67"/>
      <c r="K392" s="67"/>
      <c r="L392" s="67"/>
      <c r="M392" s="67"/>
      <c r="N392" s="67"/>
      <c r="O392" s="67"/>
      <c r="P392" s="67"/>
      <c r="Q392" s="67"/>
      <c r="R392" s="67"/>
      <c r="S392" s="67"/>
      <c r="T392" s="67"/>
      <c r="U392" s="67"/>
      <c r="V392" s="67"/>
      <c r="W392" s="67"/>
      <c r="X392" s="67"/>
      <c r="Y392" s="67"/>
      <c r="Z392" s="67"/>
    </row>
    <row r="393" spans="1:26" ht="12.5">
      <c r="A393" s="68" t="s">
        <v>915</v>
      </c>
      <c r="B393" s="68" t="s">
        <v>935</v>
      </c>
      <c r="C393" s="68" t="s">
        <v>945</v>
      </c>
      <c r="D393" s="68" t="s">
        <v>20</v>
      </c>
      <c r="E393" s="69">
        <v>2020</v>
      </c>
      <c r="F393" s="69">
        <v>3</v>
      </c>
      <c r="G393" s="69">
        <v>47.6</v>
      </c>
      <c r="H393" s="69">
        <v>18468</v>
      </c>
      <c r="I393" s="67"/>
      <c r="J393" s="67"/>
      <c r="K393" s="67"/>
      <c r="L393" s="67"/>
      <c r="M393" s="67"/>
      <c r="N393" s="67"/>
      <c r="O393" s="67"/>
      <c r="P393" s="67"/>
      <c r="Q393" s="67"/>
      <c r="R393" s="67"/>
      <c r="S393" s="67"/>
      <c r="T393" s="67"/>
      <c r="U393" s="67"/>
      <c r="V393" s="67"/>
      <c r="W393" s="67"/>
      <c r="X393" s="67"/>
      <c r="Y393" s="67"/>
      <c r="Z393" s="67"/>
    </row>
    <row r="394" spans="1:26" ht="12.5">
      <c r="A394" s="68" t="s">
        <v>915</v>
      </c>
      <c r="B394" s="68" t="s">
        <v>935</v>
      </c>
      <c r="C394" s="68" t="s">
        <v>948</v>
      </c>
      <c r="D394" s="68" t="s">
        <v>20</v>
      </c>
      <c r="E394" s="69">
        <v>2020</v>
      </c>
      <c r="F394" s="69">
        <v>1</v>
      </c>
      <c r="G394" s="69">
        <v>63.4</v>
      </c>
      <c r="H394" s="69">
        <v>52887</v>
      </c>
      <c r="I394" s="67"/>
      <c r="J394" s="67"/>
      <c r="K394" s="67"/>
      <c r="L394" s="67"/>
      <c r="M394" s="67"/>
      <c r="N394" s="67"/>
      <c r="O394" s="67"/>
      <c r="P394" s="67"/>
      <c r="Q394" s="67"/>
      <c r="R394" s="67"/>
      <c r="S394" s="67"/>
      <c r="T394" s="67"/>
      <c r="U394" s="67"/>
      <c r="V394" s="67"/>
      <c r="W394" s="67"/>
      <c r="X394" s="67"/>
      <c r="Y394" s="67"/>
      <c r="Z394" s="67"/>
    </row>
    <row r="395" spans="1:26" ht="12.5">
      <c r="A395" s="68" t="s">
        <v>915</v>
      </c>
      <c r="B395" s="68" t="s">
        <v>935</v>
      </c>
      <c r="C395" s="68" t="s">
        <v>951</v>
      </c>
      <c r="D395" s="68" t="s">
        <v>20</v>
      </c>
      <c r="E395" s="69">
        <v>2020</v>
      </c>
      <c r="F395" s="69">
        <v>3</v>
      </c>
      <c r="G395" s="69">
        <v>435.9</v>
      </c>
      <c r="H395" s="69">
        <v>19967</v>
      </c>
      <c r="I395" s="67"/>
      <c r="J395" s="67"/>
      <c r="K395" s="67"/>
      <c r="L395" s="67"/>
      <c r="M395" s="67"/>
      <c r="N395" s="67"/>
      <c r="O395" s="67"/>
      <c r="P395" s="67"/>
      <c r="Q395" s="67"/>
      <c r="R395" s="67"/>
      <c r="S395" s="67"/>
      <c r="T395" s="67"/>
      <c r="U395" s="67"/>
      <c r="V395" s="67"/>
      <c r="W395" s="67"/>
      <c r="X395" s="67"/>
      <c r="Y395" s="67"/>
      <c r="Z395" s="67"/>
    </row>
    <row r="396" spans="1:26" ht="12.5">
      <c r="A396" s="68" t="s">
        <v>915</v>
      </c>
      <c r="B396" s="68" t="s">
        <v>935</v>
      </c>
      <c r="C396" s="68" t="s">
        <v>953</v>
      </c>
      <c r="D396" s="68" t="s">
        <v>28</v>
      </c>
      <c r="E396" s="69">
        <v>2020</v>
      </c>
      <c r="F396" s="69">
        <v>8</v>
      </c>
      <c r="G396" s="69">
        <v>623.4</v>
      </c>
      <c r="H396" s="69">
        <v>12426</v>
      </c>
      <c r="I396" s="67"/>
      <c r="J396" s="67"/>
      <c r="K396" s="67"/>
      <c r="L396" s="67"/>
      <c r="M396" s="67"/>
      <c r="N396" s="67"/>
      <c r="O396" s="67"/>
      <c r="P396" s="67"/>
      <c r="Q396" s="67"/>
      <c r="R396" s="67"/>
      <c r="S396" s="67"/>
      <c r="T396" s="67"/>
      <c r="U396" s="67"/>
      <c r="V396" s="67"/>
      <c r="W396" s="67"/>
      <c r="X396" s="67"/>
      <c r="Y396" s="67"/>
      <c r="Z396" s="67"/>
    </row>
    <row r="397" spans="1:26" ht="12.5">
      <c r="A397" s="68" t="s">
        <v>915</v>
      </c>
      <c r="B397" s="68" t="s">
        <v>935</v>
      </c>
      <c r="C397" s="68" t="s">
        <v>956</v>
      </c>
      <c r="D397" s="68" t="s">
        <v>32</v>
      </c>
      <c r="E397" s="69">
        <v>2020</v>
      </c>
      <c r="F397" s="69">
        <v>12</v>
      </c>
      <c r="G397" s="69">
        <v>612.29999999999995</v>
      </c>
      <c r="H397" s="69">
        <v>19280</v>
      </c>
      <c r="I397" s="67"/>
      <c r="J397" s="67"/>
      <c r="K397" s="67"/>
      <c r="L397" s="67"/>
      <c r="M397" s="67"/>
      <c r="N397" s="67"/>
      <c r="O397" s="67"/>
      <c r="P397" s="67"/>
      <c r="Q397" s="67"/>
      <c r="R397" s="67"/>
      <c r="S397" s="67"/>
      <c r="T397" s="67"/>
      <c r="U397" s="67"/>
      <c r="V397" s="67"/>
      <c r="W397" s="67"/>
      <c r="X397" s="67"/>
      <c r="Y397" s="67"/>
      <c r="Z397" s="67"/>
    </row>
    <row r="398" spans="1:26" ht="12.5">
      <c r="A398" s="68" t="s">
        <v>915</v>
      </c>
      <c r="B398" s="68" t="s">
        <v>935</v>
      </c>
      <c r="C398" s="68" t="s">
        <v>958</v>
      </c>
      <c r="D398" s="68" t="s">
        <v>28</v>
      </c>
      <c r="E398" s="69">
        <v>2020</v>
      </c>
      <c r="F398" s="69">
        <v>32</v>
      </c>
      <c r="G398" s="69">
        <v>418.3</v>
      </c>
      <c r="H398" s="69">
        <v>6558</v>
      </c>
      <c r="I398" s="67"/>
      <c r="J398" s="67"/>
      <c r="K398" s="67"/>
      <c r="L398" s="67"/>
      <c r="M398" s="67"/>
      <c r="N398" s="67"/>
      <c r="O398" s="67"/>
      <c r="P398" s="67"/>
      <c r="Q398" s="67"/>
      <c r="R398" s="67"/>
      <c r="S398" s="67"/>
      <c r="T398" s="67"/>
      <c r="U398" s="67"/>
      <c r="V398" s="67"/>
      <c r="W398" s="67"/>
      <c r="X398" s="67"/>
      <c r="Y398" s="67"/>
      <c r="Z398" s="67"/>
    </row>
    <row r="399" spans="1:26" ht="12.5">
      <c r="A399" s="68" t="s">
        <v>915</v>
      </c>
      <c r="B399" s="68" t="s">
        <v>935</v>
      </c>
      <c r="C399" s="68" t="s">
        <v>960</v>
      </c>
      <c r="D399" s="68" t="s">
        <v>32</v>
      </c>
      <c r="E399" s="69">
        <v>2020</v>
      </c>
      <c r="F399" s="69">
        <v>9</v>
      </c>
      <c r="G399" s="69">
        <v>235.3</v>
      </c>
      <c r="H399" s="69">
        <v>8251</v>
      </c>
      <c r="I399" s="67"/>
      <c r="J399" s="67"/>
      <c r="K399" s="67"/>
      <c r="L399" s="67"/>
      <c r="M399" s="67"/>
      <c r="N399" s="67"/>
      <c r="O399" s="67"/>
      <c r="P399" s="67"/>
      <c r="Q399" s="67"/>
      <c r="R399" s="67"/>
      <c r="S399" s="67"/>
      <c r="T399" s="67"/>
      <c r="U399" s="67"/>
      <c r="V399" s="67"/>
      <c r="W399" s="67"/>
      <c r="X399" s="67"/>
      <c r="Y399" s="67"/>
      <c r="Z399" s="67"/>
    </row>
    <row r="400" spans="1:26" ht="12.5">
      <c r="A400" s="68" t="s">
        <v>915</v>
      </c>
      <c r="B400" s="68" t="s">
        <v>963</v>
      </c>
      <c r="C400" s="68" t="s">
        <v>964</v>
      </c>
      <c r="D400" s="68" t="s">
        <v>28</v>
      </c>
      <c r="E400" s="69">
        <v>2020</v>
      </c>
      <c r="F400" s="69">
        <v>9</v>
      </c>
      <c r="G400" s="69">
        <v>357.2</v>
      </c>
      <c r="H400" s="69">
        <v>9775</v>
      </c>
      <c r="I400" s="67"/>
      <c r="J400" s="67"/>
      <c r="K400" s="67"/>
      <c r="L400" s="67"/>
      <c r="M400" s="67"/>
      <c r="N400" s="67"/>
      <c r="O400" s="67"/>
      <c r="P400" s="67"/>
      <c r="Q400" s="67"/>
      <c r="R400" s="67"/>
      <c r="S400" s="67"/>
      <c r="T400" s="67"/>
      <c r="U400" s="67"/>
      <c r="V400" s="67"/>
      <c r="W400" s="67"/>
      <c r="X400" s="67"/>
      <c r="Y400" s="67"/>
      <c r="Z400" s="67"/>
    </row>
    <row r="401" spans="1:26" ht="12.5">
      <c r="A401" s="68" t="s">
        <v>915</v>
      </c>
      <c r="B401" s="68" t="s">
        <v>963</v>
      </c>
      <c r="C401" s="68" t="s">
        <v>966</v>
      </c>
      <c r="D401" s="68" t="s">
        <v>20</v>
      </c>
      <c r="E401" s="69">
        <v>2020</v>
      </c>
      <c r="F401" s="69">
        <v>16</v>
      </c>
      <c r="G401" s="69">
        <v>158.4</v>
      </c>
      <c r="H401" s="69">
        <v>16822</v>
      </c>
      <c r="I401" s="67"/>
      <c r="J401" s="67"/>
      <c r="K401" s="67"/>
      <c r="L401" s="67"/>
      <c r="M401" s="67"/>
      <c r="N401" s="67"/>
      <c r="O401" s="67"/>
      <c r="P401" s="67"/>
      <c r="Q401" s="67"/>
      <c r="R401" s="67"/>
      <c r="S401" s="67"/>
      <c r="T401" s="67"/>
      <c r="U401" s="67"/>
      <c r="V401" s="67"/>
      <c r="W401" s="67"/>
      <c r="X401" s="67"/>
      <c r="Y401" s="67"/>
      <c r="Z401" s="67"/>
    </row>
    <row r="402" spans="1:26" ht="12.5">
      <c r="A402" s="68" t="s">
        <v>915</v>
      </c>
      <c r="B402" s="68" t="s">
        <v>963</v>
      </c>
      <c r="C402" s="68" t="s">
        <v>969</v>
      </c>
      <c r="D402" s="68" t="s">
        <v>28</v>
      </c>
      <c r="E402" s="69">
        <v>2020</v>
      </c>
      <c r="F402" s="69">
        <v>9</v>
      </c>
      <c r="G402" s="69">
        <v>170.1</v>
      </c>
      <c r="H402" s="69">
        <v>5696</v>
      </c>
      <c r="I402" s="67"/>
      <c r="J402" s="67"/>
      <c r="K402" s="67"/>
      <c r="L402" s="67"/>
      <c r="M402" s="67"/>
      <c r="N402" s="67"/>
      <c r="O402" s="67"/>
      <c r="P402" s="67"/>
      <c r="Q402" s="67"/>
      <c r="R402" s="67"/>
      <c r="S402" s="67"/>
      <c r="T402" s="67"/>
      <c r="U402" s="67"/>
      <c r="V402" s="67"/>
      <c r="W402" s="67"/>
      <c r="X402" s="67"/>
      <c r="Y402" s="67"/>
      <c r="Z402" s="67"/>
    </row>
    <row r="403" spans="1:26" ht="12.5">
      <c r="A403" s="68" t="s">
        <v>915</v>
      </c>
      <c r="B403" s="68" t="s">
        <v>963</v>
      </c>
      <c r="C403" s="68" t="s">
        <v>971</v>
      </c>
      <c r="D403" s="68" t="s">
        <v>20</v>
      </c>
      <c r="E403" s="69">
        <v>2020</v>
      </c>
      <c r="F403" s="69">
        <v>1</v>
      </c>
      <c r="G403" s="69">
        <v>311.7</v>
      </c>
      <c r="H403" s="69">
        <v>722713</v>
      </c>
      <c r="I403" s="67"/>
      <c r="J403" s="67"/>
      <c r="K403" s="67"/>
      <c r="L403" s="67"/>
      <c r="M403" s="67"/>
      <c r="N403" s="67"/>
      <c r="O403" s="67"/>
      <c r="P403" s="67"/>
      <c r="Q403" s="67"/>
      <c r="R403" s="67"/>
      <c r="S403" s="67"/>
      <c r="T403" s="67"/>
      <c r="U403" s="67"/>
      <c r="V403" s="67"/>
      <c r="W403" s="67"/>
      <c r="X403" s="67"/>
      <c r="Y403" s="67"/>
      <c r="Z403" s="67"/>
    </row>
    <row r="404" spans="1:26" ht="12.5">
      <c r="A404" s="68" t="s">
        <v>915</v>
      </c>
      <c r="B404" s="68" t="s">
        <v>963</v>
      </c>
      <c r="C404" s="68" t="s">
        <v>974</v>
      </c>
      <c r="D404" s="68" t="s">
        <v>32</v>
      </c>
      <c r="E404" s="69">
        <v>2020</v>
      </c>
      <c r="F404" s="69">
        <v>30</v>
      </c>
      <c r="G404" s="69">
        <v>531</v>
      </c>
      <c r="H404" s="69">
        <v>12514</v>
      </c>
      <c r="I404" s="67"/>
      <c r="J404" s="67"/>
      <c r="K404" s="67"/>
      <c r="L404" s="67"/>
      <c r="M404" s="67"/>
      <c r="N404" s="67"/>
      <c r="O404" s="67"/>
      <c r="P404" s="67"/>
      <c r="Q404" s="67"/>
      <c r="R404" s="67"/>
      <c r="S404" s="67"/>
      <c r="T404" s="67"/>
      <c r="U404" s="67"/>
      <c r="V404" s="67"/>
      <c r="W404" s="67"/>
      <c r="X404" s="67"/>
      <c r="Y404" s="67"/>
      <c r="Z404" s="67"/>
    </row>
    <row r="405" spans="1:26" ht="12.5">
      <c r="A405" s="68" t="s">
        <v>915</v>
      </c>
      <c r="B405" s="68" t="s">
        <v>963</v>
      </c>
      <c r="C405" s="68" t="s">
        <v>976</v>
      </c>
      <c r="D405" s="68" t="s">
        <v>32</v>
      </c>
      <c r="E405" s="69">
        <v>2020</v>
      </c>
      <c r="F405" s="69">
        <v>3</v>
      </c>
      <c r="G405" s="69">
        <v>216.2</v>
      </c>
      <c r="H405" s="69">
        <v>17120</v>
      </c>
      <c r="I405" s="67"/>
      <c r="J405" s="67"/>
      <c r="K405" s="67"/>
      <c r="L405" s="67"/>
      <c r="M405" s="67"/>
      <c r="N405" s="67"/>
      <c r="O405" s="67"/>
      <c r="P405" s="67"/>
      <c r="Q405" s="67"/>
      <c r="R405" s="67"/>
      <c r="S405" s="67"/>
      <c r="T405" s="67"/>
      <c r="U405" s="67"/>
      <c r="V405" s="67"/>
      <c r="W405" s="67"/>
      <c r="X405" s="67"/>
      <c r="Y405" s="67"/>
      <c r="Z405" s="67"/>
    </row>
    <row r="406" spans="1:26" ht="12.5">
      <c r="A406" s="68" t="s">
        <v>915</v>
      </c>
      <c r="B406" s="68" t="s">
        <v>963</v>
      </c>
      <c r="C406" s="68" t="s">
        <v>979</v>
      </c>
      <c r="D406" s="68" t="s">
        <v>28</v>
      </c>
      <c r="E406" s="69">
        <v>2020</v>
      </c>
      <c r="F406" s="69">
        <v>12</v>
      </c>
      <c r="G406" s="69">
        <v>153.6</v>
      </c>
      <c r="H406" s="69">
        <v>6872</v>
      </c>
      <c r="I406" s="67"/>
      <c r="J406" s="67"/>
      <c r="K406" s="67"/>
      <c r="L406" s="67"/>
      <c r="M406" s="67"/>
      <c r="N406" s="67"/>
      <c r="O406" s="67"/>
      <c r="P406" s="67"/>
      <c r="Q406" s="67"/>
      <c r="R406" s="67"/>
      <c r="S406" s="67"/>
      <c r="T406" s="67"/>
      <c r="U406" s="67"/>
      <c r="V406" s="67"/>
      <c r="W406" s="67"/>
      <c r="X406" s="67"/>
      <c r="Y406" s="67"/>
      <c r="Z406" s="67"/>
    </row>
    <row r="407" spans="1:26" ht="12.5">
      <c r="A407" s="68" t="s">
        <v>915</v>
      </c>
      <c r="B407" s="68" t="s">
        <v>963</v>
      </c>
      <c r="C407" s="68" t="s">
        <v>982</v>
      </c>
      <c r="D407" s="68" t="s">
        <v>28</v>
      </c>
      <c r="E407" s="69">
        <v>2020</v>
      </c>
      <c r="F407" s="69">
        <v>26</v>
      </c>
      <c r="G407" s="69">
        <v>368</v>
      </c>
      <c r="H407" s="69">
        <v>5447</v>
      </c>
      <c r="I407" s="67"/>
      <c r="J407" s="67"/>
      <c r="K407" s="67"/>
      <c r="L407" s="67"/>
      <c r="M407" s="67"/>
      <c r="N407" s="67"/>
      <c r="O407" s="67"/>
      <c r="P407" s="67"/>
      <c r="Q407" s="67"/>
      <c r="R407" s="67"/>
      <c r="S407" s="67"/>
      <c r="T407" s="67"/>
      <c r="U407" s="67"/>
      <c r="V407" s="67"/>
      <c r="W407" s="67"/>
      <c r="X407" s="67"/>
      <c r="Y407" s="67"/>
      <c r="Z407" s="67"/>
    </row>
    <row r="408" spans="1:26" ht="12.5">
      <c r="A408" s="68" t="s">
        <v>915</v>
      </c>
      <c r="B408" s="68" t="s">
        <v>963</v>
      </c>
      <c r="C408" s="68" t="s">
        <v>956</v>
      </c>
      <c r="D408" s="68" t="s">
        <v>28</v>
      </c>
      <c r="E408" s="69">
        <v>2020</v>
      </c>
      <c r="F408" s="69">
        <v>15</v>
      </c>
      <c r="G408" s="69">
        <v>164.1</v>
      </c>
      <c r="H408" s="69">
        <v>6408</v>
      </c>
      <c r="I408" s="67"/>
      <c r="J408" s="67"/>
      <c r="K408" s="67"/>
      <c r="L408" s="67"/>
      <c r="M408" s="67"/>
      <c r="N408" s="67"/>
      <c r="O408" s="67"/>
      <c r="P408" s="67"/>
      <c r="Q408" s="67"/>
      <c r="R408" s="67"/>
      <c r="S408" s="67"/>
      <c r="T408" s="67"/>
      <c r="U408" s="67"/>
      <c r="V408" s="67"/>
      <c r="W408" s="67"/>
      <c r="X408" s="67"/>
      <c r="Y408" s="67"/>
      <c r="Z408" s="67"/>
    </row>
    <row r="409" spans="1:26" ht="12.5">
      <c r="A409" s="68" t="s">
        <v>915</v>
      </c>
      <c r="B409" s="68" t="s">
        <v>963</v>
      </c>
      <c r="C409" s="68" t="s">
        <v>985</v>
      </c>
      <c r="D409" s="68" t="s">
        <v>32</v>
      </c>
      <c r="E409" s="69">
        <v>2020</v>
      </c>
      <c r="F409" s="69">
        <v>54</v>
      </c>
      <c r="G409" s="69">
        <v>659.3</v>
      </c>
      <c r="H409" s="69">
        <v>11208</v>
      </c>
      <c r="I409" s="67"/>
      <c r="J409" s="67"/>
      <c r="K409" s="67"/>
      <c r="L409" s="67"/>
      <c r="M409" s="67"/>
      <c r="N409" s="67"/>
      <c r="O409" s="67"/>
      <c r="P409" s="67"/>
      <c r="Q409" s="67"/>
      <c r="R409" s="67"/>
      <c r="S409" s="67"/>
      <c r="T409" s="67"/>
      <c r="U409" s="67"/>
      <c r="V409" s="67"/>
      <c r="W409" s="67"/>
      <c r="X409" s="67"/>
      <c r="Y409" s="67"/>
      <c r="Z409" s="67"/>
    </row>
    <row r="410" spans="1:26" ht="12.5">
      <c r="A410" s="68" t="s">
        <v>915</v>
      </c>
      <c r="B410" s="68" t="s">
        <v>963</v>
      </c>
      <c r="C410" s="68" t="s">
        <v>301</v>
      </c>
      <c r="D410" s="68" t="s">
        <v>28</v>
      </c>
      <c r="E410" s="69">
        <v>2020</v>
      </c>
      <c r="F410" s="69">
        <v>7</v>
      </c>
      <c r="G410" s="69">
        <v>142.80000000000001</v>
      </c>
      <c r="H410" s="69">
        <v>4860</v>
      </c>
      <c r="I410" s="67"/>
      <c r="J410" s="67"/>
      <c r="K410" s="67"/>
      <c r="L410" s="67"/>
      <c r="M410" s="67"/>
      <c r="N410" s="67"/>
      <c r="O410" s="67"/>
      <c r="P410" s="67"/>
      <c r="Q410" s="67"/>
      <c r="R410" s="67"/>
      <c r="S410" s="67"/>
      <c r="T410" s="67"/>
      <c r="U410" s="67"/>
      <c r="V410" s="67"/>
      <c r="W410" s="67"/>
      <c r="X410" s="67"/>
      <c r="Y410" s="67"/>
      <c r="Z410" s="67"/>
    </row>
    <row r="411" spans="1:26" ht="12.5">
      <c r="A411" s="68" t="s">
        <v>915</v>
      </c>
      <c r="B411" s="68" t="s">
        <v>963</v>
      </c>
      <c r="C411" s="68" t="s">
        <v>190</v>
      </c>
      <c r="D411" s="68" t="s">
        <v>28</v>
      </c>
      <c r="E411" s="69">
        <v>2020</v>
      </c>
      <c r="F411" s="69">
        <v>21</v>
      </c>
      <c r="G411" s="69">
        <v>169.8</v>
      </c>
      <c r="H411" s="69">
        <v>4629</v>
      </c>
      <c r="I411" s="67"/>
      <c r="J411" s="67"/>
      <c r="K411" s="67"/>
      <c r="L411" s="67"/>
      <c r="M411" s="67"/>
      <c r="N411" s="67"/>
      <c r="O411" s="67"/>
      <c r="P411" s="67"/>
      <c r="Q411" s="67"/>
      <c r="R411" s="67"/>
      <c r="S411" s="67"/>
      <c r="T411" s="67"/>
      <c r="U411" s="67"/>
      <c r="V411" s="67"/>
      <c r="W411" s="67"/>
      <c r="X411" s="67"/>
      <c r="Y411" s="67"/>
      <c r="Z411" s="67"/>
    </row>
    <row r="412" spans="1:26" ht="12.5">
      <c r="A412" s="68" t="s">
        <v>915</v>
      </c>
      <c r="B412" s="68" t="s">
        <v>963</v>
      </c>
      <c r="C412" s="68" t="s">
        <v>990</v>
      </c>
      <c r="D412" s="68" t="s">
        <v>28</v>
      </c>
      <c r="E412" s="69">
        <v>2020</v>
      </c>
      <c r="F412" s="69">
        <v>18</v>
      </c>
      <c r="G412" s="69">
        <v>278.39999999999998</v>
      </c>
      <c r="H412" s="69">
        <v>4908</v>
      </c>
      <c r="I412" s="67"/>
      <c r="J412" s="67"/>
      <c r="K412" s="67"/>
      <c r="L412" s="67"/>
      <c r="M412" s="67"/>
      <c r="N412" s="67"/>
      <c r="O412" s="67"/>
      <c r="P412" s="67"/>
      <c r="Q412" s="67"/>
      <c r="R412" s="67"/>
      <c r="S412" s="67"/>
      <c r="T412" s="67"/>
      <c r="U412" s="67"/>
      <c r="V412" s="67"/>
      <c r="W412" s="67"/>
      <c r="X412" s="67"/>
      <c r="Y412" s="67"/>
      <c r="Z412" s="67"/>
    </row>
    <row r="413" spans="1:26" ht="12.5">
      <c r="A413" s="68" t="s">
        <v>915</v>
      </c>
      <c r="B413" s="68" t="s">
        <v>963</v>
      </c>
      <c r="C413" s="68" t="s">
        <v>992</v>
      </c>
      <c r="D413" s="68" t="s">
        <v>28</v>
      </c>
      <c r="E413" s="69">
        <v>2020</v>
      </c>
      <c r="F413" s="69">
        <v>8</v>
      </c>
      <c r="G413" s="69">
        <v>94.6</v>
      </c>
      <c r="H413" s="69">
        <v>5431</v>
      </c>
      <c r="I413" s="67"/>
      <c r="J413" s="67"/>
      <c r="K413" s="67"/>
      <c r="L413" s="67"/>
      <c r="M413" s="67"/>
      <c r="N413" s="67"/>
      <c r="O413" s="67"/>
      <c r="P413" s="67"/>
      <c r="Q413" s="67"/>
      <c r="R413" s="67"/>
      <c r="S413" s="67"/>
      <c r="T413" s="67"/>
      <c r="U413" s="67"/>
      <c r="V413" s="67"/>
      <c r="W413" s="67"/>
      <c r="X413" s="67"/>
      <c r="Y413" s="67"/>
      <c r="Z413" s="67"/>
    </row>
    <row r="414" spans="1:26" ht="12.5">
      <c r="A414" s="68" t="s">
        <v>915</v>
      </c>
      <c r="B414" s="68" t="s">
        <v>963</v>
      </c>
      <c r="C414" s="68" t="s">
        <v>995</v>
      </c>
      <c r="D414" s="68" t="s">
        <v>28</v>
      </c>
      <c r="E414" s="69">
        <v>2020</v>
      </c>
      <c r="F414" s="69">
        <v>3</v>
      </c>
      <c r="G414" s="69">
        <v>184.1</v>
      </c>
      <c r="H414" s="69">
        <v>4172</v>
      </c>
      <c r="I414" s="67"/>
      <c r="J414" s="67"/>
      <c r="K414" s="67"/>
      <c r="L414" s="67"/>
      <c r="M414" s="67"/>
      <c r="N414" s="67"/>
      <c r="O414" s="67"/>
      <c r="P414" s="67"/>
      <c r="Q414" s="67"/>
      <c r="R414" s="67"/>
      <c r="S414" s="67"/>
      <c r="T414" s="67"/>
      <c r="U414" s="67"/>
      <c r="V414" s="67"/>
      <c r="W414" s="67"/>
      <c r="X414" s="67"/>
      <c r="Y414" s="67"/>
      <c r="Z414" s="67"/>
    </row>
    <row r="415" spans="1:26" ht="12.5">
      <c r="A415" s="68" t="s">
        <v>915</v>
      </c>
      <c r="B415" s="68" t="s">
        <v>963</v>
      </c>
      <c r="C415" s="68" t="s">
        <v>997</v>
      </c>
      <c r="D415" s="68" t="s">
        <v>32</v>
      </c>
      <c r="E415" s="69">
        <v>2020</v>
      </c>
      <c r="F415" s="69">
        <v>16</v>
      </c>
      <c r="G415" s="69">
        <v>257</v>
      </c>
      <c r="H415" s="69">
        <v>3573</v>
      </c>
      <c r="I415" s="67"/>
      <c r="J415" s="67"/>
      <c r="K415" s="67"/>
      <c r="L415" s="67"/>
      <c r="M415" s="67"/>
      <c r="N415" s="67"/>
      <c r="O415" s="67"/>
      <c r="P415" s="67"/>
      <c r="Q415" s="67"/>
      <c r="R415" s="67"/>
      <c r="S415" s="67"/>
      <c r="T415" s="67"/>
      <c r="U415" s="67"/>
      <c r="V415" s="67"/>
      <c r="W415" s="67"/>
      <c r="X415" s="67"/>
      <c r="Y415" s="67"/>
      <c r="Z415" s="67"/>
    </row>
    <row r="416" spans="1:26" ht="12.5">
      <c r="A416" s="68" t="s">
        <v>915</v>
      </c>
      <c r="B416" s="68" t="s">
        <v>963</v>
      </c>
      <c r="C416" s="68" t="s">
        <v>377</v>
      </c>
      <c r="D416" s="68" t="s">
        <v>28</v>
      </c>
      <c r="E416" s="69">
        <v>2020</v>
      </c>
      <c r="F416" s="69">
        <v>35</v>
      </c>
      <c r="G416" s="69">
        <v>477.4</v>
      </c>
      <c r="H416" s="69">
        <v>13149</v>
      </c>
      <c r="I416" s="67"/>
      <c r="J416" s="67"/>
      <c r="K416" s="67"/>
      <c r="L416" s="67"/>
      <c r="M416" s="67"/>
      <c r="N416" s="67"/>
      <c r="O416" s="67"/>
      <c r="P416" s="67"/>
      <c r="Q416" s="67"/>
      <c r="R416" s="67"/>
      <c r="S416" s="67"/>
      <c r="T416" s="67"/>
      <c r="U416" s="67"/>
      <c r="V416" s="67"/>
      <c r="W416" s="67"/>
      <c r="X416" s="67"/>
      <c r="Y416" s="67"/>
      <c r="Z416" s="67"/>
    </row>
    <row r="417" spans="1:26" ht="12.5">
      <c r="A417" s="68" t="s">
        <v>915</v>
      </c>
      <c r="B417" s="68" t="s">
        <v>1000</v>
      </c>
      <c r="C417" s="68" t="s">
        <v>1001</v>
      </c>
      <c r="D417" s="68" t="s">
        <v>32</v>
      </c>
      <c r="E417" s="69">
        <v>2020</v>
      </c>
      <c r="F417" s="69">
        <v>11</v>
      </c>
      <c r="G417" s="69">
        <v>567.4</v>
      </c>
      <c r="H417" s="69">
        <v>13739</v>
      </c>
      <c r="I417" s="67"/>
      <c r="J417" s="67"/>
      <c r="K417" s="67"/>
      <c r="L417" s="67"/>
      <c r="M417" s="67"/>
      <c r="N417" s="67"/>
      <c r="O417" s="67"/>
      <c r="P417" s="67"/>
      <c r="Q417" s="67"/>
      <c r="R417" s="67"/>
      <c r="S417" s="67"/>
      <c r="T417" s="67"/>
      <c r="U417" s="67"/>
      <c r="V417" s="67"/>
      <c r="W417" s="67"/>
      <c r="X417" s="67"/>
      <c r="Y417" s="67"/>
      <c r="Z417" s="67"/>
    </row>
    <row r="418" spans="1:26" ht="12.5">
      <c r="A418" s="68" t="s">
        <v>915</v>
      </c>
      <c r="B418" s="68" t="s">
        <v>1000</v>
      </c>
      <c r="C418" s="68" t="s">
        <v>1003</v>
      </c>
      <c r="D418" s="68" t="s">
        <v>32</v>
      </c>
      <c r="E418" s="69">
        <v>2020</v>
      </c>
      <c r="F418" s="69">
        <v>8</v>
      </c>
      <c r="G418" s="69">
        <v>662.1</v>
      </c>
      <c r="H418" s="69">
        <v>6569</v>
      </c>
      <c r="I418" s="67"/>
      <c r="J418" s="67"/>
      <c r="K418" s="67"/>
      <c r="L418" s="67"/>
      <c r="M418" s="67"/>
      <c r="N418" s="67"/>
      <c r="O418" s="67"/>
      <c r="P418" s="67"/>
      <c r="Q418" s="67"/>
      <c r="R418" s="67"/>
      <c r="S418" s="67"/>
      <c r="T418" s="67"/>
      <c r="U418" s="67"/>
      <c r="V418" s="67"/>
      <c r="W418" s="67"/>
      <c r="X418" s="67"/>
      <c r="Y418" s="67"/>
      <c r="Z418" s="67"/>
    </row>
    <row r="419" spans="1:26" ht="12.5">
      <c r="A419" s="68" t="s">
        <v>915</v>
      </c>
      <c r="B419" s="68" t="s">
        <v>1000</v>
      </c>
      <c r="C419" s="68" t="s">
        <v>512</v>
      </c>
      <c r="D419" s="68" t="s">
        <v>28</v>
      </c>
      <c r="E419" s="69">
        <v>2020</v>
      </c>
      <c r="F419" s="69">
        <v>2</v>
      </c>
      <c r="G419" s="69">
        <v>230.3</v>
      </c>
      <c r="H419" s="69">
        <v>14431</v>
      </c>
      <c r="I419" s="67"/>
      <c r="J419" s="67"/>
      <c r="K419" s="67"/>
      <c r="L419" s="67"/>
      <c r="M419" s="67"/>
      <c r="N419" s="67"/>
      <c r="O419" s="67"/>
      <c r="P419" s="67"/>
      <c r="Q419" s="67"/>
      <c r="R419" s="67"/>
      <c r="S419" s="67"/>
      <c r="T419" s="67"/>
      <c r="U419" s="67"/>
      <c r="V419" s="67"/>
      <c r="W419" s="67"/>
      <c r="X419" s="67"/>
      <c r="Y419" s="67"/>
      <c r="Z419" s="67"/>
    </row>
    <row r="420" spans="1:26" ht="12.5">
      <c r="A420" s="68" t="s">
        <v>915</v>
      </c>
      <c r="B420" s="68" t="s">
        <v>1000</v>
      </c>
      <c r="C420" s="68" t="s">
        <v>1006</v>
      </c>
      <c r="D420" s="68" t="s">
        <v>20</v>
      </c>
      <c r="E420" s="69">
        <v>2020</v>
      </c>
      <c r="F420" s="69">
        <v>1</v>
      </c>
      <c r="G420" s="69">
        <v>49.7</v>
      </c>
      <c r="H420" s="69">
        <v>150768</v>
      </c>
      <c r="I420" s="67"/>
      <c r="J420" s="67"/>
      <c r="K420" s="67"/>
      <c r="L420" s="67"/>
      <c r="M420" s="67"/>
      <c r="N420" s="67"/>
      <c r="O420" s="67"/>
      <c r="P420" s="67"/>
      <c r="Q420" s="67"/>
      <c r="R420" s="67"/>
      <c r="S420" s="67"/>
      <c r="T420" s="67"/>
      <c r="U420" s="67"/>
      <c r="V420" s="67"/>
      <c r="W420" s="67"/>
      <c r="X420" s="67"/>
      <c r="Y420" s="67"/>
      <c r="Z420" s="67"/>
    </row>
    <row r="421" spans="1:26" ht="12.5">
      <c r="A421" s="68" t="s">
        <v>915</v>
      </c>
      <c r="B421" s="68" t="s">
        <v>1000</v>
      </c>
      <c r="C421" s="68" t="s">
        <v>494</v>
      </c>
      <c r="D421" s="68" t="s">
        <v>32</v>
      </c>
      <c r="E421" s="69">
        <v>2020</v>
      </c>
      <c r="F421" s="69">
        <v>9</v>
      </c>
      <c r="G421" s="69">
        <v>196.3</v>
      </c>
      <c r="H421" s="69">
        <v>5478</v>
      </c>
      <c r="I421" s="67"/>
      <c r="J421" s="67"/>
      <c r="K421" s="67"/>
      <c r="L421" s="67"/>
      <c r="M421" s="67"/>
      <c r="N421" s="67"/>
      <c r="O421" s="67"/>
      <c r="P421" s="67"/>
      <c r="Q421" s="67"/>
      <c r="R421" s="67"/>
      <c r="S421" s="67"/>
      <c r="T421" s="67"/>
      <c r="U421" s="67"/>
      <c r="V421" s="67"/>
      <c r="W421" s="67"/>
      <c r="X421" s="67"/>
      <c r="Y421" s="67"/>
      <c r="Z421" s="67"/>
    </row>
    <row r="422" spans="1:26" ht="12.5">
      <c r="A422" s="68" t="s">
        <v>915</v>
      </c>
      <c r="B422" s="68" t="s">
        <v>1000</v>
      </c>
      <c r="C422" s="68" t="s">
        <v>1010</v>
      </c>
      <c r="D422" s="68" t="s">
        <v>28</v>
      </c>
      <c r="E422" s="69">
        <v>2020</v>
      </c>
      <c r="F422" s="69">
        <v>12</v>
      </c>
      <c r="G422" s="69">
        <v>252</v>
      </c>
      <c r="H422" s="69">
        <v>5046</v>
      </c>
      <c r="I422" s="67"/>
      <c r="J422" s="67"/>
      <c r="K422" s="67"/>
      <c r="L422" s="67"/>
      <c r="M422" s="67"/>
      <c r="N422" s="67"/>
      <c r="O422" s="67"/>
      <c r="P422" s="67"/>
      <c r="Q422" s="67"/>
      <c r="R422" s="67"/>
      <c r="S422" s="67"/>
      <c r="T422" s="67"/>
      <c r="U422" s="67"/>
      <c r="V422" s="67"/>
      <c r="W422" s="67"/>
      <c r="X422" s="67"/>
      <c r="Y422" s="67"/>
      <c r="Z422" s="67"/>
    </row>
    <row r="423" spans="1:26" ht="12.5">
      <c r="A423" s="68" t="s">
        <v>915</v>
      </c>
      <c r="B423" s="68" t="s">
        <v>1000</v>
      </c>
      <c r="C423" s="68" t="s">
        <v>1012</v>
      </c>
      <c r="D423" s="68" t="s">
        <v>28</v>
      </c>
      <c r="E423" s="69">
        <v>2020</v>
      </c>
      <c r="F423" s="69">
        <v>6</v>
      </c>
      <c r="G423" s="69">
        <v>198.4</v>
      </c>
      <c r="H423" s="69">
        <v>4987</v>
      </c>
      <c r="I423" s="67"/>
      <c r="J423" s="67"/>
      <c r="K423" s="67"/>
      <c r="L423" s="67"/>
      <c r="M423" s="67"/>
      <c r="N423" s="67"/>
      <c r="O423" s="67"/>
      <c r="P423" s="67"/>
      <c r="Q423" s="67"/>
      <c r="R423" s="67"/>
      <c r="S423" s="67"/>
      <c r="T423" s="67"/>
      <c r="U423" s="67"/>
      <c r="V423" s="67"/>
      <c r="W423" s="67"/>
      <c r="X423" s="67"/>
      <c r="Y423" s="67"/>
      <c r="Z423" s="67"/>
    </row>
    <row r="424" spans="1:26" ht="12.5">
      <c r="A424" s="68" t="s">
        <v>915</v>
      </c>
      <c r="B424" s="68" t="s">
        <v>1000</v>
      </c>
      <c r="C424" s="68" t="s">
        <v>1014</v>
      </c>
      <c r="D424" s="68" t="s">
        <v>32</v>
      </c>
      <c r="E424" s="69">
        <v>2020</v>
      </c>
      <c r="F424" s="69">
        <v>20</v>
      </c>
      <c r="G424" s="69">
        <v>723.1</v>
      </c>
      <c r="H424" s="69">
        <v>7596</v>
      </c>
      <c r="I424" s="67"/>
      <c r="J424" s="67"/>
      <c r="K424" s="67"/>
      <c r="L424" s="67"/>
      <c r="M424" s="67"/>
      <c r="N424" s="67"/>
      <c r="O424" s="67"/>
      <c r="P424" s="67"/>
      <c r="Q424" s="67"/>
      <c r="R424" s="67"/>
      <c r="S424" s="67"/>
      <c r="T424" s="67"/>
      <c r="U424" s="67"/>
      <c r="V424" s="67"/>
      <c r="W424" s="67"/>
      <c r="X424" s="67"/>
      <c r="Y424" s="67"/>
      <c r="Z424" s="67"/>
    </row>
    <row r="425" spans="1:26" ht="12.5">
      <c r="A425" s="68" t="s">
        <v>915</v>
      </c>
      <c r="B425" s="68" t="s">
        <v>1000</v>
      </c>
      <c r="C425" s="68" t="s">
        <v>1017</v>
      </c>
      <c r="D425" s="68" t="s">
        <v>28</v>
      </c>
      <c r="E425" s="69">
        <v>2020</v>
      </c>
      <c r="F425" s="69">
        <v>9</v>
      </c>
      <c r="G425" s="69">
        <v>296.2</v>
      </c>
      <c r="H425" s="69">
        <v>3472</v>
      </c>
      <c r="I425" s="67"/>
      <c r="J425" s="67"/>
      <c r="K425" s="67"/>
      <c r="L425" s="67"/>
      <c r="M425" s="67"/>
      <c r="N425" s="67"/>
      <c r="O425" s="67"/>
      <c r="P425" s="67"/>
      <c r="Q425" s="67"/>
      <c r="R425" s="67"/>
      <c r="S425" s="67"/>
      <c r="T425" s="67"/>
      <c r="U425" s="67"/>
      <c r="V425" s="67"/>
      <c r="W425" s="67"/>
      <c r="X425" s="67"/>
      <c r="Y425" s="67"/>
      <c r="Z425" s="67"/>
    </row>
    <row r="426" spans="1:26" ht="12.5">
      <c r="A426" s="68" t="s">
        <v>915</v>
      </c>
      <c r="B426" s="68" t="s">
        <v>1000</v>
      </c>
      <c r="C426" s="68" t="s">
        <v>523</v>
      </c>
      <c r="D426" s="68" t="s">
        <v>28</v>
      </c>
      <c r="E426" s="69">
        <v>2020</v>
      </c>
      <c r="F426" s="69">
        <v>14</v>
      </c>
      <c r="G426" s="69">
        <v>639.5</v>
      </c>
      <c r="H426" s="69">
        <v>6125</v>
      </c>
      <c r="I426" s="67"/>
      <c r="J426" s="67"/>
      <c r="K426" s="67"/>
      <c r="L426" s="67"/>
      <c r="M426" s="67"/>
      <c r="N426" s="67"/>
      <c r="O426" s="67"/>
      <c r="P426" s="67"/>
      <c r="Q426" s="67"/>
      <c r="R426" s="67"/>
      <c r="S426" s="67"/>
      <c r="T426" s="67"/>
      <c r="U426" s="67"/>
      <c r="V426" s="67"/>
      <c r="W426" s="67"/>
      <c r="X426" s="67"/>
      <c r="Y426" s="67"/>
      <c r="Z426" s="67"/>
    </row>
    <row r="427" spans="1:26" ht="12.5">
      <c r="A427" s="68" t="s">
        <v>915</v>
      </c>
      <c r="B427" s="68" t="s">
        <v>1000</v>
      </c>
      <c r="C427" s="68" t="s">
        <v>1020</v>
      </c>
      <c r="D427" s="68" t="s">
        <v>28</v>
      </c>
      <c r="E427" s="69">
        <v>2020</v>
      </c>
      <c r="F427" s="69">
        <v>12</v>
      </c>
      <c r="G427" s="69">
        <v>155.80000000000001</v>
      </c>
      <c r="H427" s="69">
        <v>3369</v>
      </c>
      <c r="I427" s="67"/>
      <c r="J427" s="67"/>
      <c r="K427" s="67"/>
      <c r="L427" s="67"/>
      <c r="M427" s="67"/>
      <c r="N427" s="67"/>
      <c r="O427" s="67"/>
      <c r="P427" s="67"/>
      <c r="Q427" s="67"/>
      <c r="R427" s="67"/>
      <c r="S427" s="67"/>
      <c r="T427" s="67"/>
      <c r="U427" s="67"/>
      <c r="V427" s="67"/>
      <c r="W427" s="67"/>
      <c r="X427" s="67"/>
      <c r="Y427" s="67"/>
      <c r="Z427" s="67"/>
    </row>
    <row r="428" spans="1:26" ht="12.5">
      <c r="A428" s="68" t="s">
        <v>915</v>
      </c>
      <c r="B428" s="68" t="s">
        <v>1000</v>
      </c>
      <c r="C428" s="68" t="s">
        <v>1022</v>
      </c>
      <c r="D428" s="68" t="s">
        <v>32</v>
      </c>
      <c r="E428" s="69">
        <v>2020</v>
      </c>
      <c r="F428" s="69">
        <v>18</v>
      </c>
      <c r="G428" s="69">
        <v>570.70000000000005</v>
      </c>
      <c r="H428" s="69">
        <v>12134</v>
      </c>
      <c r="I428" s="67"/>
      <c r="J428" s="67"/>
      <c r="K428" s="67"/>
      <c r="L428" s="67"/>
      <c r="M428" s="67"/>
      <c r="N428" s="67"/>
      <c r="O428" s="67"/>
      <c r="P428" s="67"/>
      <c r="Q428" s="67"/>
      <c r="R428" s="67"/>
      <c r="S428" s="67"/>
      <c r="T428" s="67"/>
      <c r="U428" s="67"/>
      <c r="V428" s="67"/>
      <c r="W428" s="67"/>
      <c r="X428" s="67"/>
      <c r="Y428" s="67"/>
      <c r="Z428" s="67"/>
    </row>
    <row r="429" spans="1:26" ht="12.5">
      <c r="A429" s="68" t="s">
        <v>915</v>
      </c>
      <c r="B429" s="68" t="s">
        <v>1000</v>
      </c>
      <c r="C429" s="68" t="s">
        <v>601</v>
      </c>
      <c r="D429" s="68" t="s">
        <v>28</v>
      </c>
      <c r="E429" s="69">
        <v>2020</v>
      </c>
      <c r="F429" s="69">
        <v>21</v>
      </c>
      <c r="G429" s="69">
        <v>591.9</v>
      </c>
      <c r="H429" s="69">
        <v>9355</v>
      </c>
      <c r="I429" s="67"/>
      <c r="J429" s="67"/>
      <c r="K429" s="67"/>
      <c r="L429" s="67"/>
      <c r="M429" s="67"/>
      <c r="N429" s="67"/>
      <c r="O429" s="67"/>
      <c r="P429" s="67"/>
      <c r="Q429" s="67"/>
      <c r="R429" s="67"/>
      <c r="S429" s="67"/>
      <c r="T429" s="67"/>
      <c r="U429" s="67"/>
      <c r="V429" s="67"/>
      <c r="W429" s="67"/>
      <c r="X429" s="67"/>
      <c r="Y429" s="67"/>
      <c r="Z429" s="67"/>
    </row>
    <row r="430" spans="1:26" ht="12.5">
      <c r="A430" s="68" t="s">
        <v>915</v>
      </c>
      <c r="B430" s="68" t="s">
        <v>1000</v>
      </c>
      <c r="C430" s="68" t="s">
        <v>1025</v>
      </c>
      <c r="D430" s="68" t="s">
        <v>28</v>
      </c>
      <c r="E430" s="69">
        <v>2020</v>
      </c>
      <c r="F430" s="69">
        <v>19</v>
      </c>
      <c r="G430" s="69">
        <v>367.5</v>
      </c>
      <c r="H430" s="69">
        <v>9150</v>
      </c>
      <c r="I430" s="67"/>
      <c r="J430" s="67"/>
      <c r="K430" s="67"/>
      <c r="L430" s="67"/>
      <c r="M430" s="67"/>
      <c r="N430" s="67"/>
      <c r="O430" s="67"/>
      <c r="P430" s="67"/>
      <c r="Q430" s="67"/>
      <c r="R430" s="67"/>
      <c r="S430" s="67"/>
      <c r="T430" s="67"/>
      <c r="U430" s="67"/>
      <c r="V430" s="67"/>
      <c r="W430" s="67"/>
      <c r="X430" s="67"/>
      <c r="Y430" s="67"/>
      <c r="Z430" s="67"/>
    </row>
    <row r="431" spans="1:26" ht="12.5">
      <c r="A431" s="68" t="s">
        <v>915</v>
      </c>
      <c r="B431" s="68" t="s">
        <v>1000</v>
      </c>
      <c r="C431" s="68" t="s">
        <v>1028</v>
      </c>
      <c r="D431" s="68" t="s">
        <v>28</v>
      </c>
      <c r="E431" s="69">
        <v>2020</v>
      </c>
      <c r="F431" s="69">
        <v>10</v>
      </c>
      <c r="G431" s="69">
        <v>265.39999999999998</v>
      </c>
      <c r="H431" s="69">
        <v>3139</v>
      </c>
      <c r="I431" s="67"/>
      <c r="J431" s="67"/>
      <c r="K431" s="67"/>
      <c r="L431" s="67"/>
      <c r="M431" s="67"/>
      <c r="N431" s="67"/>
      <c r="O431" s="67"/>
      <c r="P431" s="67"/>
      <c r="Q431" s="67"/>
      <c r="R431" s="67"/>
      <c r="S431" s="67"/>
      <c r="T431" s="67"/>
      <c r="U431" s="67"/>
      <c r="V431" s="67"/>
      <c r="W431" s="67"/>
      <c r="X431" s="67"/>
      <c r="Y431" s="67"/>
      <c r="Z431" s="67"/>
    </row>
    <row r="432" spans="1:26" ht="12.5">
      <c r="A432" s="68" t="s">
        <v>915</v>
      </c>
      <c r="B432" s="68" t="s">
        <v>1000</v>
      </c>
      <c r="C432" s="68" t="s">
        <v>1030</v>
      </c>
      <c r="D432" s="68" t="s">
        <v>32</v>
      </c>
      <c r="E432" s="69">
        <v>2020</v>
      </c>
      <c r="F432" s="69">
        <v>36</v>
      </c>
      <c r="G432" s="69">
        <v>1242.2</v>
      </c>
      <c r="H432" s="69">
        <v>25458</v>
      </c>
      <c r="I432" s="67"/>
      <c r="J432" s="67"/>
      <c r="K432" s="67"/>
      <c r="L432" s="67"/>
      <c r="M432" s="67"/>
      <c r="N432" s="67"/>
      <c r="O432" s="67"/>
      <c r="P432" s="67"/>
      <c r="Q432" s="67"/>
      <c r="R432" s="67"/>
      <c r="S432" s="67"/>
      <c r="T432" s="67"/>
      <c r="U432" s="67"/>
      <c r="V432" s="67"/>
      <c r="W432" s="67"/>
      <c r="X432" s="67"/>
      <c r="Y432" s="67"/>
      <c r="Z432" s="67"/>
    </row>
    <row r="433" spans="1:26" ht="12.5">
      <c r="A433" s="68" t="s">
        <v>915</v>
      </c>
      <c r="B433" s="68" t="s">
        <v>1032</v>
      </c>
      <c r="C433" s="68" t="s">
        <v>1033</v>
      </c>
      <c r="D433" s="68" t="s">
        <v>32</v>
      </c>
      <c r="E433" s="69">
        <v>2020</v>
      </c>
      <c r="F433" s="69">
        <v>22</v>
      </c>
      <c r="G433" s="69">
        <v>641.29999999999995</v>
      </c>
      <c r="H433" s="69">
        <v>11455</v>
      </c>
      <c r="I433" s="67"/>
      <c r="J433" s="67"/>
      <c r="K433" s="67"/>
      <c r="L433" s="67"/>
      <c r="M433" s="67"/>
      <c r="N433" s="67"/>
      <c r="O433" s="67"/>
      <c r="P433" s="67"/>
      <c r="Q433" s="67"/>
      <c r="R433" s="67"/>
      <c r="S433" s="67"/>
      <c r="T433" s="67"/>
      <c r="U433" s="67"/>
      <c r="V433" s="67"/>
      <c r="W433" s="67"/>
      <c r="X433" s="67"/>
      <c r="Y433" s="67"/>
      <c r="Z433" s="67"/>
    </row>
    <row r="434" spans="1:26" ht="12.5">
      <c r="A434" s="68" t="s">
        <v>915</v>
      </c>
      <c r="B434" s="68" t="s">
        <v>1032</v>
      </c>
      <c r="C434" s="68" t="s">
        <v>1035</v>
      </c>
      <c r="D434" s="68" t="s">
        <v>28</v>
      </c>
      <c r="E434" s="69">
        <v>2020</v>
      </c>
      <c r="F434" s="69">
        <v>13</v>
      </c>
      <c r="G434" s="69">
        <v>246.2</v>
      </c>
      <c r="H434" s="69">
        <v>2755</v>
      </c>
      <c r="I434" s="67"/>
      <c r="J434" s="67"/>
      <c r="K434" s="67"/>
      <c r="L434" s="67"/>
      <c r="M434" s="67"/>
      <c r="N434" s="67"/>
      <c r="O434" s="67"/>
      <c r="P434" s="67"/>
      <c r="Q434" s="67"/>
      <c r="R434" s="67"/>
      <c r="S434" s="67"/>
      <c r="T434" s="67"/>
      <c r="U434" s="67"/>
      <c r="V434" s="67"/>
      <c r="W434" s="67"/>
      <c r="X434" s="67"/>
      <c r="Y434" s="67"/>
      <c r="Z434" s="67"/>
    </row>
    <row r="435" spans="1:26" ht="12.5">
      <c r="A435" s="68" t="s">
        <v>915</v>
      </c>
      <c r="B435" s="68" t="s">
        <v>1032</v>
      </c>
      <c r="C435" s="68" t="s">
        <v>1037</v>
      </c>
      <c r="D435" s="68" t="s">
        <v>28</v>
      </c>
      <c r="E435" s="69">
        <v>2020</v>
      </c>
      <c r="F435" s="69">
        <v>4</v>
      </c>
      <c r="G435" s="69">
        <v>264.89999999999998</v>
      </c>
      <c r="H435" s="69">
        <v>5362</v>
      </c>
      <c r="I435" s="67"/>
      <c r="J435" s="67"/>
      <c r="K435" s="67"/>
      <c r="L435" s="67"/>
      <c r="M435" s="67"/>
      <c r="N435" s="67"/>
      <c r="O435" s="67"/>
      <c r="P435" s="67"/>
      <c r="Q435" s="67"/>
      <c r="R435" s="67"/>
      <c r="S435" s="67"/>
      <c r="T435" s="67"/>
      <c r="U435" s="67"/>
      <c r="V435" s="67"/>
      <c r="W435" s="67"/>
      <c r="X435" s="67"/>
      <c r="Y435" s="67"/>
      <c r="Z435" s="67"/>
    </row>
    <row r="436" spans="1:26" ht="12.5">
      <c r="A436" s="68" t="s">
        <v>915</v>
      </c>
      <c r="B436" s="68" t="s">
        <v>1032</v>
      </c>
      <c r="C436" s="68" t="s">
        <v>1039</v>
      </c>
      <c r="D436" s="68" t="s">
        <v>20</v>
      </c>
      <c r="E436" s="69">
        <v>2020</v>
      </c>
      <c r="F436" s="69">
        <v>32</v>
      </c>
      <c r="G436" s="69">
        <v>677.3</v>
      </c>
      <c r="H436" s="69">
        <v>18937</v>
      </c>
      <c r="I436" s="67"/>
      <c r="J436" s="67"/>
      <c r="K436" s="67"/>
      <c r="L436" s="67"/>
      <c r="M436" s="67"/>
      <c r="N436" s="67"/>
      <c r="O436" s="67"/>
      <c r="P436" s="67"/>
      <c r="Q436" s="67"/>
      <c r="R436" s="67"/>
      <c r="S436" s="67"/>
      <c r="T436" s="67"/>
      <c r="U436" s="67"/>
      <c r="V436" s="67"/>
      <c r="W436" s="67"/>
      <c r="X436" s="67"/>
      <c r="Y436" s="67"/>
      <c r="Z436" s="67"/>
    </row>
    <row r="437" spans="1:26" ht="12.5">
      <c r="A437" s="68" t="s">
        <v>915</v>
      </c>
      <c r="B437" s="68" t="s">
        <v>1032</v>
      </c>
      <c r="C437" s="68" t="s">
        <v>1041</v>
      </c>
      <c r="D437" s="68" t="s">
        <v>32</v>
      </c>
      <c r="E437" s="69">
        <v>2020</v>
      </c>
      <c r="F437" s="69">
        <v>10</v>
      </c>
      <c r="G437" s="69">
        <v>371.1</v>
      </c>
      <c r="H437" s="69">
        <v>5969</v>
      </c>
      <c r="I437" s="67"/>
      <c r="J437" s="67"/>
      <c r="K437" s="67"/>
      <c r="L437" s="67"/>
      <c r="M437" s="67"/>
      <c r="N437" s="67"/>
      <c r="O437" s="67"/>
      <c r="P437" s="67"/>
      <c r="Q437" s="67"/>
      <c r="R437" s="67"/>
      <c r="S437" s="67"/>
      <c r="T437" s="67"/>
      <c r="U437" s="67"/>
      <c r="V437" s="67"/>
      <c r="W437" s="67"/>
      <c r="X437" s="67"/>
      <c r="Y437" s="67"/>
      <c r="Z437" s="67"/>
    </row>
    <row r="438" spans="1:26" ht="12.5">
      <c r="A438" s="68" t="s">
        <v>915</v>
      </c>
      <c r="B438" s="68" t="s">
        <v>1032</v>
      </c>
      <c r="C438" s="68" t="s">
        <v>1043</v>
      </c>
      <c r="D438" s="68" t="s">
        <v>28</v>
      </c>
      <c r="E438" s="69">
        <v>2020</v>
      </c>
      <c r="F438" s="69">
        <v>13</v>
      </c>
      <c r="G438" s="69">
        <v>377.6</v>
      </c>
      <c r="H438" s="69">
        <v>3205</v>
      </c>
      <c r="I438" s="67"/>
      <c r="J438" s="67"/>
      <c r="K438" s="67"/>
      <c r="L438" s="67"/>
      <c r="M438" s="67"/>
      <c r="N438" s="67"/>
      <c r="O438" s="67"/>
      <c r="P438" s="67"/>
      <c r="Q438" s="67"/>
      <c r="R438" s="67"/>
      <c r="S438" s="67"/>
      <c r="T438" s="67"/>
      <c r="U438" s="67"/>
      <c r="V438" s="67"/>
      <c r="W438" s="67"/>
      <c r="X438" s="67"/>
      <c r="Y438" s="67"/>
      <c r="Z438" s="67"/>
    </row>
    <row r="439" spans="1:26" ht="12.5">
      <c r="A439" s="68" t="s">
        <v>915</v>
      </c>
      <c r="B439" s="68" t="s">
        <v>1032</v>
      </c>
      <c r="C439" s="68" t="s">
        <v>1045</v>
      </c>
      <c r="D439" s="68" t="s">
        <v>28</v>
      </c>
      <c r="E439" s="69">
        <v>2020</v>
      </c>
      <c r="F439" s="69">
        <v>4</v>
      </c>
      <c r="G439" s="69">
        <v>174.3</v>
      </c>
      <c r="H439" s="69">
        <v>2997</v>
      </c>
      <c r="I439" s="67"/>
      <c r="J439" s="67"/>
      <c r="K439" s="67"/>
      <c r="L439" s="67"/>
      <c r="M439" s="67"/>
      <c r="N439" s="67"/>
      <c r="O439" s="67"/>
      <c r="P439" s="67"/>
      <c r="Q439" s="67"/>
      <c r="R439" s="67"/>
      <c r="S439" s="67"/>
      <c r="T439" s="67"/>
      <c r="U439" s="67"/>
      <c r="V439" s="67"/>
      <c r="W439" s="67"/>
      <c r="X439" s="67"/>
      <c r="Y439" s="67"/>
      <c r="Z439" s="67"/>
    </row>
    <row r="440" spans="1:26" ht="12.5">
      <c r="A440" s="68" t="s">
        <v>915</v>
      </c>
      <c r="B440" s="68" t="s">
        <v>1032</v>
      </c>
      <c r="C440" s="68" t="s">
        <v>1047</v>
      </c>
      <c r="D440" s="68" t="s">
        <v>20</v>
      </c>
      <c r="E440" s="69">
        <v>2020</v>
      </c>
      <c r="F440" s="69">
        <v>23</v>
      </c>
      <c r="G440" s="69">
        <v>567.4</v>
      </c>
      <c r="H440" s="69">
        <v>11790</v>
      </c>
      <c r="I440" s="67"/>
      <c r="J440" s="67"/>
      <c r="K440" s="67"/>
      <c r="L440" s="67"/>
      <c r="M440" s="67"/>
      <c r="N440" s="67"/>
      <c r="O440" s="67"/>
      <c r="P440" s="67"/>
      <c r="Q440" s="67"/>
      <c r="R440" s="67"/>
      <c r="S440" s="67"/>
      <c r="T440" s="67"/>
      <c r="U440" s="67"/>
      <c r="V440" s="67"/>
      <c r="W440" s="67"/>
      <c r="X440" s="67"/>
      <c r="Y440" s="67"/>
      <c r="Z440" s="67"/>
    </row>
    <row r="441" spans="1:26" ht="12.5">
      <c r="A441" s="68" t="s">
        <v>915</v>
      </c>
      <c r="B441" s="68" t="s">
        <v>1032</v>
      </c>
      <c r="C441" s="68" t="s">
        <v>1050</v>
      </c>
      <c r="D441" s="68" t="s">
        <v>20</v>
      </c>
      <c r="E441" s="69">
        <v>2020</v>
      </c>
      <c r="F441" s="69">
        <v>8</v>
      </c>
      <c r="G441" s="69">
        <v>342.8</v>
      </c>
      <c r="H441" s="69">
        <v>18493</v>
      </c>
      <c r="I441" s="67"/>
      <c r="J441" s="67"/>
      <c r="K441" s="67"/>
      <c r="L441" s="67"/>
      <c r="M441" s="67"/>
      <c r="N441" s="67"/>
      <c r="O441" s="67"/>
      <c r="P441" s="67"/>
      <c r="Q441" s="67"/>
      <c r="R441" s="67"/>
      <c r="S441" s="67"/>
      <c r="T441" s="67"/>
      <c r="U441" s="67"/>
      <c r="V441" s="67"/>
      <c r="W441" s="67"/>
      <c r="X441" s="67"/>
      <c r="Y441" s="67"/>
      <c r="Z441" s="67"/>
    </row>
    <row r="442" spans="1:26" ht="12.5">
      <c r="A442" s="68" t="s">
        <v>915</v>
      </c>
      <c r="B442" s="68" t="s">
        <v>1032</v>
      </c>
      <c r="C442" s="68" t="s">
        <v>1052</v>
      </c>
      <c r="D442" s="68" t="s">
        <v>20</v>
      </c>
      <c r="E442" s="69">
        <v>2020</v>
      </c>
      <c r="F442" s="69">
        <v>23</v>
      </c>
      <c r="G442" s="69">
        <v>804.9</v>
      </c>
      <c r="H442" s="69">
        <v>29472</v>
      </c>
      <c r="I442" s="67"/>
      <c r="J442" s="67"/>
      <c r="K442" s="67"/>
      <c r="L442" s="67"/>
      <c r="M442" s="67"/>
      <c r="N442" s="67"/>
      <c r="O442" s="67"/>
      <c r="P442" s="67"/>
      <c r="Q442" s="67"/>
      <c r="R442" s="67"/>
      <c r="S442" s="67"/>
      <c r="T442" s="67"/>
      <c r="U442" s="67"/>
      <c r="V442" s="67"/>
      <c r="W442" s="67"/>
      <c r="X442" s="67"/>
      <c r="Y442" s="67"/>
      <c r="Z442" s="67"/>
    </row>
    <row r="443" spans="1:26" ht="12.5">
      <c r="A443" s="68" t="s">
        <v>915</v>
      </c>
      <c r="B443" s="68" t="s">
        <v>1032</v>
      </c>
      <c r="C443" s="68" t="s">
        <v>1054</v>
      </c>
      <c r="D443" s="68" t="s">
        <v>28</v>
      </c>
      <c r="E443" s="69">
        <v>2020</v>
      </c>
      <c r="F443" s="69">
        <v>15</v>
      </c>
      <c r="G443" s="69">
        <v>366</v>
      </c>
      <c r="H443" s="69">
        <v>5353</v>
      </c>
      <c r="I443" s="67"/>
      <c r="J443" s="67"/>
      <c r="K443" s="67"/>
      <c r="L443" s="67"/>
      <c r="M443" s="67"/>
      <c r="N443" s="67"/>
      <c r="O443" s="67"/>
      <c r="P443" s="67"/>
      <c r="Q443" s="67"/>
      <c r="R443" s="67"/>
      <c r="S443" s="67"/>
      <c r="T443" s="67"/>
      <c r="U443" s="67"/>
      <c r="V443" s="67"/>
      <c r="W443" s="67"/>
      <c r="X443" s="67"/>
      <c r="Y443" s="67"/>
      <c r="Z443" s="67"/>
    </row>
    <row r="444" spans="1:26" ht="12.5">
      <c r="A444" s="68" t="s">
        <v>915</v>
      </c>
      <c r="B444" s="68" t="s">
        <v>1032</v>
      </c>
      <c r="C444" s="68" t="s">
        <v>1056</v>
      </c>
      <c r="D444" s="68" t="s">
        <v>32</v>
      </c>
      <c r="E444" s="69">
        <v>2020</v>
      </c>
      <c r="F444" s="69">
        <v>28</v>
      </c>
      <c r="G444" s="69">
        <v>610.5</v>
      </c>
      <c r="H444" s="69">
        <v>8107</v>
      </c>
      <c r="I444" s="67"/>
      <c r="J444" s="67"/>
      <c r="K444" s="67"/>
      <c r="L444" s="67"/>
      <c r="M444" s="67"/>
      <c r="N444" s="67"/>
      <c r="O444" s="67"/>
      <c r="P444" s="67"/>
      <c r="Q444" s="67"/>
      <c r="R444" s="67"/>
      <c r="S444" s="67"/>
      <c r="T444" s="67"/>
      <c r="U444" s="67"/>
      <c r="V444" s="67"/>
      <c r="W444" s="67"/>
      <c r="X444" s="67"/>
      <c r="Y444" s="67"/>
      <c r="Z444" s="67"/>
    </row>
    <row r="445" spans="1:26" ht="12.5">
      <c r="A445" s="68" t="s">
        <v>915</v>
      </c>
      <c r="B445" s="68" t="s">
        <v>1032</v>
      </c>
      <c r="C445" s="68" t="s">
        <v>1058</v>
      </c>
      <c r="D445" s="68" t="s">
        <v>28</v>
      </c>
      <c r="E445" s="69">
        <v>2020</v>
      </c>
      <c r="F445" s="69">
        <v>8</v>
      </c>
      <c r="G445" s="69">
        <v>324.3</v>
      </c>
      <c r="H445" s="69">
        <v>3161</v>
      </c>
      <c r="I445" s="67"/>
      <c r="J445" s="67"/>
      <c r="K445" s="67"/>
      <c r="L445" s="67"/>
      <c r="M445" s="67"/>
      <c r="N445" s="67"/>
      <c r="O445" s="67"/>
      <c r="P445" s="67"/>
      <c r="Q445" s="67"/>
      <c r="R445" s="67"/>
      <c r="S445" s="67"/>
      <c r="T445" s="67"/>
      <c r="U445" s="67"/>
      <c r="V445" s="67"/>
      <c r="W445" s="67"/>
      <c r="X445" s="67"/>
      <c r="Y445" s="67"/>
      <c r="Z445" s="67"/>
    </row>
    <row r="446" spans="1:26" ht="12.5">
      <c r="A446" s="68" t="s">
        <v>915</v>
      </c>
      <c r="B446" s="68" t="s">
        <v>1032</v>
      </c>
      <c r="C446" s="68" t="s">
        <v>1060</v>
      </c>
      <c r="D446" s="68" t="s">
        <v>20</v>
      </c>
      <c r="E446" s="69">
        <v>2020</v>
      </c>
      <c r="F446" s="69">
        <v>26</v>
      </c>
      <c r="G446" s="69">
        <v>728.3</v>
      </c>
      <c r="H446" s="69">
        <v>36719</v>
      </c>
      <c r="I446" s="67"/>
      <c r="J446" s="67"/>
      <c r="K446" s="67"/>
      <c r="L446" s="67"/>
      <c r="M446" s="67"/>
      <c r="N446" s="67"/>
      <c r="O446" s="67"/>
      <c r="P446" s="67"/>
      <c r="Q446" s="67"/>
      <c r="R446" s="67"/>
      <c r="S446" s="67"/>
      <c r="T446" s="67"/>
      <c r="U446" s="67"/>
      <c r="V446" s="67"/>
      <c r="W446" s="67"/>
      <c r="X446" s="67"/>
      <c r="Y446" s="67"/>
      <c r="Z446" s="67"/>
    </row>
    <row r="447" spans="1:26" ht="12.5">
      <c r="A447" s="68" t="s">
        <v>915</v>
      </c>
      <c r="B447" s="68" t="s">
        <v>1032</v>
      </c>
      <c r="C447" s="68" t="s">
        <v>1063</v>
      </c>
      <c r="D447" s="68" t="s">
        <v>28</v>
      </c>
      <c r="E447" s="69">
        <v>2020</v>
      </c>
      <c r="F447" s="69">
        <v>11</v>
      </c>
      <c r="G447" s="69">
        <v>275</v>
      </c>
      <c r="H447" s="69">
        <v>3285</v>
      </c>
      <c r="I447" s="67"/>
      <c r="J447" s="67"/>
      <c r="K447" s="67"/>
      <c r="L447" s="67"/>
      <c r="M447" s="67"/>
      <c r="N447" s="67"/>
      <c r="O447" s="67"/>
      <c r="P447" s="67"/>
      <c r="Q447" s="67"/>
      <c r="R447" s="67"/>
      <c r="S447" s="67"/>
      <c r="T447" s="67"/>
      <c r="U447" s="67"/>
      <c r="V447" s="67"/>
      <c r="W447" s="67"/>
      <c r="X447" s="67"/>
      <c r="Y447" s="67"/>
      <c r="Z447" s="67"/>
    </row>
    <row r="448" spans="1:26" ht="12.5">
      <c r="A448" s="68" t="s">
        <v>1065</v>
      </c>
      <c r="B448" s="68" t="s">
        <v>1066</v>
      </c>
      <c r="C448" s="68" t="s">
        <v>1067</v>
      </c>
      <c r="D448" s="68" t="s">
        <v>32</v>
      </c>
      <c r="E448" s="69">
        <v>2020</v>
      </c>
      <c r="F448" s="69">
        <v>5</v>
      </c>
      <c r="G448" s="69">
        <v>86.2</v>
      </c>
      <c r="H448" s="69">
        <v>7491</v>
      </c>
      <c r="I448" s="67"/>
      <c r="J448" s="67"/>
      <c r="K448" s="67"/>
      <c r="L448" s="67"/>
      <c r="M448" s="67"/>
      <c r="N448" s="67"/>
      <c r="O448" s="67"/>
      <c r="P448" s="67"/>
      <c r="Q448" s="67"/>
      <c r="R448" s="67"/>
      <c r="S448" s="67"/>
      <c r="T448" s="67"/>
      <c r="U448" s="67"/>
      <c r="V448" s="67"/>
      <c r="W448" s="67"/>
      <c r="X448" s="67"/>
      <c r="Y448" s="67"/>
      <c r="Z448" s="67"/>
    </row>
    <row r="449" spans="1:26" ht="12.5">
      <c r="A449" s="68" t="s">
        <v>1065</v>
      </c>
      <c r="B449" s="68" t="s">
        <v>1066</v>
      </c>
      <c r="C449" s="68" t="s">
        <v>1069</v>
      </c>
      <c r="D449" s="68" t="s">
        <v>20</v>
      </c>
      <c r="E449" s="69">
        <v>2020</v>
      </c>
      <c r="F449" s="69">
        <v>19</v>
      </c>
      <c r="G449" s="69">
        <v>263.8</v>
      </c>
      <c r="H449" s="69">
        <v>287533</v>
      </c>
      <c r="I449" s="67"/>
      <c r="J449" s="67"/>
      <c r="K449" s="67"/>
      <c r="L449" s="67"/>
      <c r="M449" s="67"/>
      <c r="N449" s="67"/>
      <c r="O449" s="67"/>
      <c r="P449" s="67"/>
      <c r="Q449" s="67"/>
      <c r="R449" s="67"/>
      <c r="S449" s="67"/>
      <c r="T449" s="67"/>
      <c r="U449" s="67"/>
      <c r="V449" s="67"/>
      <c r="W449" s="67"/>
      <c r="X449" s="67"/>
      <c r="Y449" s="67"/>
      <c r="Z449" s="67"/>
    </row>
    <row r="450" spans="1:26" ht="12.5">
      <c r="A450" s="68" t="s">
        <v>1065</v>
      </c>
      <c r="B450" s="68" t="s">
        <v>1066</v>
      </c>
      <c r="C450" s="68" t="s">
        <v>1072</v>
      </c>
      <c r="D450" s="68" t="s">
        <v>32</v>
      </c>
      <c r="E450" s="69">
        <v>2020</v>
      </c>
      <c r="F450" s="69">
        <v>17</v>
      </c>
      <c r="G450" s="69">
        <v>255.8</v>
      </c>
      <c r="H450" s="69">
        <v>28358</v>
      </c>
      <c r="I450" s="67"/>
      <c r="J450" s="67"/>
      <c r="K450" s="67"/>
      <c r="L450" s="67"/>
      <c r="M450" s="67"/>
      <c r="N450" s="67"/>
      <c r="O450" s="67"/>
      <c r="P450" s="67"/>
      <c r="Q450" s="67"/>
      <c r="R450" s="67"/>
      <c r="S450" s="67"/>
      <c r="T450" s="67"/>
      <c r="U450" s="67"/>
      <c r="V450" s="67"/>
      <c r="W450" s="67"/>
      <c r="X450" s="67"/>
      <c r="Y450" s="67"/>
      <c r="Z450" s="67"/>
    </row>
    <row r="451" spans="1:26" ht="12.5">
      <c r="A451" s="68" t="s">
        <v>1065</v>
      </c>
      <c r="B451" s="68" t="s">
        <v>1066</v>
      </c>
      <c r="C451" s="68" t="s">
        <v>1075</v>
      </c>
      <c r="D451" s="68" t="s">
        <v>32</v>
      </c>
      <c r="E451" s="69">
        <v>2020</v>
      </c>
      <c r="F451" s="69">
        <v>13</v>
      </c>
      <c r="G451" s="69">
        <v>139.30000000000001</v>
      </c>
      <c r="H451" s="69">
        <v>4776</v>
      </c>
      <c r="I451" s="67"/>
      <c r="J451" s="67"/>
      <c r="K451" s="67"/>
      <c r="L451" s="67"/>
      <c r="M451" s="67"/>
      <c r="N451" s="67"/>
      <c r="O451" s="67"/>
      <c r="P451" s="67"/>
      <c r="Q451" s="67"/>
      <c r="R451" s="67"/>
      <c r="S451" s="67"/>
      <c r="T451" s="67"/>
      <c r="U451" s="67"/>
      <c r="V451" s="67"/>
      <c r="W451" s="67"/>
      <c r="X451" s="67"/>
      <c r="Y451" s="67"/>
      <c r="Z451" s="67"/>
    </row>
    <row r="452" spans="1:26" ht="12.5">
      <c r="A452" s="68" t="s">
        <v>1065</v>
      </c>
      <c r="B452" s="68" t="s">
        <v>1066</v>
      </c>
      <c r="C452" s="68" t="s">
        <v>1077</v>
      </c>
      <c r="D452" s="68" t="s">
        <v>20</v>
      </c>
      <c r="E452" s="69">
        <v>2020</v>
      </c>
      <c r="F452" s="69">
        <v>19</v>
      </c>
      <c r="G452" s="69">
        <v>201.8</v>
      </c>
      <c r="H452" s="69">
        <v>24195</v>
      </c>
      <c r="I452" s="67"/>
      <c r="J452" s="67"/>
      <c r="K452" s="67"/>
      <c r="L452" s="67"/>
      <c r="M452" s="67"/>
      <c r="N452" s="67"/>
      <c r="O452" s="67"/>
      <c r="P452" s="67"/>
      <c r="Q452" s="67"/>
      <c r="R452" s="67"/>
      <c r="S452" s="67"/>
      <c r="T452" s="67"/>
      <c r="U452" s="67"/>
      <c r="V452" s="67"/>
      <c r="W452" s="67"/>
      <c r="X452" s="67"/>
      <c r="Y452" s="67"/>
      <c r="Z452" s="67"/>
    </row>
    <row r="453" spans="1:26" ht="12.5">
      <c r="A453" s="68" t="s">
        <v>1065</v>
      </c>
      <c r="B453" s="68" t="s">
        <v>1066</v>
      </c>
      <c r="C453" s="68" t="s">
        <v>1080</v>
      </c>
      <c r="D453" s="68" t="s">
        <v>32</v>
      </c>
      <c r="E453" s="69">
        <v>2020</v>
      </c>
      <c r="F453" s="69">
        <v>16</v>
      </c>
      <c r="G453" s="69">
        <v>152.4</v>
      </c>
      <c r="H453" s="69">
        <v>7673</v>
      </c>
      <c r="I453" s="67"/>
      <c r="J453" s="67"/>
      <c r="K453" s="67"/>
      <c r="L453" s="67"/>
      <c r="M453" s="67"/>
      <c r="N453" s="67"/>
      <c r="O453" s="67"/>
      <c r="P453" s="67"/>
      <c r="Q453" s="67"/>
      <c r="R453" s="67"/>
      <c r="S453" s="67"/>
      <c r="T453" s="67"/>
      <c r="U453" s="67"/>
      <c r="V453" s="67"/>
      <c r="W453" s="67"/>
      <c r="X453" s="67"/>
      <c r="Y453" s="67"/>
      <c r="Z453" s="67"/>
    </row>
    <row r="454" spans="1:26" ht="12.5">
      <c r="A454" s="68" t="s">
        <v>1065</v>
      </c>
      <c r="B454" s="68" t="s">
        <v>1066</v>
      </c>
      <c r="C454" s="68" t="s">
        <v>1082</v>
      </c>
      <c r="D454" s="68" t="s">
        <v>20</v>
      </c>
      <c r="E454" s="69">
        <v>2020</v>
      </c>
      <c r="F454" s="69">
        <v>26</v>
      </c>
      <c r="G454" s="69">
        <v>244.4</v>
      </c>
      <c r="H454" s="69">
        <v>19631</v>
      </c>
      <c r="I454" s="67"/>
      <c r="J454" s="67"/>
      <c r="K454" s="67"/>
      <c r="L454" s="67"/>
      <c r="M454" s="67"/>
      <c r="N454" s="67"/>
      <c r="O454" s="67"/>
      <c r="P454" s="67"/>
      <c r="Q454" s="67"/>
      <c r="R454" s="67"/>
      <c r="S454" s="67"/>
      <c r="T454" s="67"/>
      <c r="U454" s="67"/>
      <c r="V454" s="67"/>
      <c r="W454" s="67"/>
      <c r="X454" s="67"/>
      <c r="Y454" s="67"/>
      <c r="Z454" s="67"/>
    </row>
    <row r="455" spans="1:26" ht="12.5">
      <c r="A455" s="68" t="s">
        <v>1065</v>
      </c>
      <c r="B455" s="68" t="s">
        <v>1066</v>
      </c>
      <c r="C455" s="68" t="s">
        <v>1085</v>
      </c>
      <c r="D455" s="68" t="s">
        <v>28</v>
      </c>
      <c r="E455" s="69">
        <v>2020</v>
      </c>
      <c r="F455" s="69">
        <v>5</v>
      </c>
      <c r="G455" s="69">
        <v>80</v>
      </c>
      <c r="H455" s="69">
        <v>8291</v>
      </c>
      <c r="I455" s="67"/>
      <c r="J455" s="67"/>
      <c r="K455" s="67"/>
      <c r="L455" s="67"/>
      <c r="M455" s="67"/>
      <c r="N455" s="67"/>
      <c r="O455" s="67"/>
      <c r="P455" s="67"/>
      <c r="Q455" s="67"/>
      <c r="R455" s="67"/>
      <c r="S455" s="67"/>
      <c r="T455" s="67"/>
      <c r="U455" s="67"/>
      <c r="V455" s="67"/>
      <c r="W455" s="67"/>
      <c r="X455" s="67"/>
      <c r="Y455" s="67"/>
      <c r="Z455" s="67"/>
    </row>
    <row r="456" spans="1:26" ht="12.5">
      <c r="A456" s="68" t="s">
        <v>1065</v>
      </c>
      <c r="B456" s="68" t="s">
        <v>1066</v>
      </c>
      <c r="C456" s="68" t="s">
        <v>1087</v>
      </c>
      <c r="D456" s="68" t="s">
        <v>28</v>
      </c>
      <c r="E456" s="69">
        <v>2020</v>
      </c>
      <c r="F456" s="69">
        <v>15</v>
      </c>
      <c r="G456" s="69">
        <v>172.2</v>
      </c>
      <c r="H456" s="69">
        <v>7311</v>
      </c>
      <c r="I456" s="67"/>
      <c r="J456" s="67"/>
      <c r="K456" s="67"/>
      <c r="L456" s="67"/>
      <c r="M456" s="67"/>
      <c r="N456" s="67"/>
      <c r="O456" s="67"/>
      <c r="P456" s="67"/>
      <c r="Q456" s="67"/>
      <c r="R456" s="67"/>
      <c r="S456" s="67"/>
      <c r="T456" s="67"/>
      <c r="U456" s="67"/>
      <c r="V456" s="67"/>
      <c r="W456" s="67"/>
      <c r="X456" s="67"/>
      <c r="Y456" s="67"/>
      <c r="Z456" s="67"/>
    </row>
    <row r="457" spans="1:26" ht="12.5">
      <c r="A457" s="68" t="s">
        <v>1065</v>
      </c>
      <c r="B457" s="68" t="s">
        <v>1066</v>
      </c>
      <c r="C457" s="68" t="s">
        <v>1090</v>
      </c>
      <c r="D457" s="68" t="s">
        <v>28</v>
      </c>
      <c r="E457" s="69">
        <v>2020</v>
      </c>
      <c r="F457" s="69">
        <v>2</v>
      </c>
      <c r="G457" s="69">
        <v>31.3</v>
      </c>
      <c r="H457" s="69">
        <v>5766</v>
      </c>
      <c r="I457" s="67"/>
      <c r="J457" s="67"/>
      <c r="K457" s="67"/>
      <c r="L457" s="67"/>
      <c r="M457" s="67"/>
      <c r="N457" s="67"/>
      <c r="O457" s="67"/>
      <c r="P457" s="67"/>
      <c r="Q457" s="67"/>
      <c r="R457" s="67"/>
      <c r="S457" s="67"/>
      <c r="T457" s="67"/>
      <c r="U457" s="67"/>
      <c r="V457" s="67"/>
      <c r="W457" s="67"/>
      <c r="X457" s="67"/>
      <c r="Y457" s="67"/>
      <c r="Z457" s="67"/>
    </row>
    <row r="458" spans="1:26" ht="12.5">
      <c r="A458" s="68" t="s">
        <v>1065</v>
      </c>
      <c r="B458" s="68" t="s">
        <v>1066</v>
      </c>
      <c r="C458" s="68" t="s">
        <v>1092</v>
      </c>
      <c r="D458" s="68" t="s">
        <v>32</v>
      </c>
      <c r="E458" s="69">
        <v>2020</v>
      </c>
      <c r="F458" s="69">
        <v>4</v>
      </c>
      <c r="G458" s="69">
        <v>81.3</v>
      </c>
      <c r="H458" s="69">
        <v>7347</v>
      </c>
      <c r="I458" s="67"/>
      <c r="J458" s="67"/>
      <c r="K458" s="67"/>
      <c r="L458" s="67"/>
      <c r="M458" s="67"/>
      <c r="N458" s="67"/>
      <c r="O458" s="67"/>
      <c r="P458" s="67"/>
      <c r="Q458" s="67"/>
      <c r="R458" s="67"/>
      <c r="S458" s="67"/>
      <c r="T458" s="67"/>
      <c r="U458" s="67"/>
      <c r="V458" s="67"/>
      <c r="W458" s="67"/>
      <c r="X458" s="67"/>
      <c r="Y458" s="67"/>
      <c r="Z458" s="67"/>
    </row>
    <row r="459" spans="1:26" ht="12.5">
      <c r="A459" s="68" t="s">
        <v>1065</v>
      </c>
      <c r="B459" s="68" t="s">
        <v>1066</v>
      </c>
      <c r="C459" s="68" t="s">
        <v>1095</v>
      </c>
      <c r="D459" s="68" t="s">
        <v>32</v>
      </c>
      <c r="E459" s="69">
        <v>2020</v>
      </c>
      <c r="F459" s="69">
        <v>9</v>
      </c>
      <c r="G459" s="69">
        <v>161.30000000000001</v>
      </c>
      <c r="H459" s="69">
        <v>8914</v>
      </c>
      <c r="I459" s="67"/>
      <c r="J459" s="67"/>
      <c r="K459" s="67"/>
      <c r="L459" s="67"/>
      <c r="M459" s="67"/>
      <c r="N459" s="67"/>
      <c r="O459" s="67"/>
      <c r="P459" s="67"/>
      <c r="Q459" s="67"/>
      <c r="R459" s="67"/>
      <c r="S459" s="67"/>
      <c r="T459" s="67"/>
      <c r="U459" s="67"/>
      <c r="V459" s="67"/>
      <c r="W459" s="67"/>
      <c r="X459" s="67"/>
      <c r="Y459" s="67"/>
      <c r="Z459" s="67"/>
    </row>
    <row r="460" spans="1:26" ht="12.5">
      <c r="A460" s="68" t="s">
        <v>1065</v>
      </c>
      <c r="B460" s="68" t="s">
        <v>1066</v>
      </c>
      <c r="C460" s="68" t="s">
        <v>1098</v>
      </c>
      <c r="D460" s="68" t="s">
        <v>28</v>
      </c>
      <c r="E460" s="69">
        <v>2020</v>
      </c>
      <c r="F460" s="69">
        <v>15</v>
      </c>
      <c r="G460" s="69">
        <v>156.19999999999999</v>
      </c>
      <c r="H460" s="69">
        <v>8796</v>
      </c>
      <c r="I460" s="67"/>
      <c r="J460" s="67"/>
      <c r="K460" s="67"/>
      <c r="L460" s="67"/>
      <c r="M460" s="67"/>
      <c r="N460" s="67"/>
      <c r="O460" s="67"/>
      <c r="P460" s="67"/>
      <c r="Q460" s="67"/>
      <c r="R460" s="67"/>
      <c r="S460" s="67"/>
      <c r="T460" s="67"/>
      <c r="U460" s="67"/>
      <c r="V460" s="67"/>
      <c r="W460" s="67"/>
      <c r="X460" s="67"/>
      <c r="Y460" s="67"/>
      <c r="Z460" s="67"/>
    </row>
    <row r="461" spans="1:26" ht="12.5">
      <c r="A461" s="68" t="s">
        <v>1065</v>
      </c>
      <c r="B461" s="68" t="s">
        <v>1066</v>
      </c>
      <c r="C461" s="68" t="s">
        <v>1100</v>
      </c>
      <c r="D461" s="68" t="s">
        <v>20</v>
      </c>
      <c r="E461" s="69">
        <v>2020</v>
      </c>
      <c r="F461" s="69">
        <v>72</v>
      </c>
      <c r="G461" s="69">
        <v>632.6</v>
      </c>
      <c r="H461" s="69">
        <v>31499</v>
      </c>
      <c r="I461" s="67"/>
      <c r="J461" s="67"/>
      <c r="K461" s="67"/>
      <c r="L461" s="67"/>
      <c r="M461" s="67"/>
      <c r="N461" s="67"/>
      <c r="O461" s="67"/>
      <c r="P461" s="67"/>
      <c r="Q461" s="67"/>
      <c r="R461" s="67"/>
      <c r="S461" s="67"/>
      <c r="T461" s="67"/>
      <c r="U461" s="67"/>
      <c r="V461" s="67"/>
      <c r="W461" s="67"/>
      <c r="X461" s="67"/>
      <c r="Y461" s="67"/>
      <c r="Z461" s="67"/>
    </row>
    <row r="462" spans="1:26" ht="12.5">
      <c r="A462" s="68" t="s">
        <v>1065</v>
      </c>
      <c r="B462" s="68" t="s">
        <v>1066</v>
      </c>
      <c r="C462" s="68" t="s">
        <v>827</v>
      </c>
      <c r="D462" s="68" t="s">
        <v>32</v>
      </c>
      <c r="E462" s="69">
        <v>2020</v>
      </c>
      <c r="F462" s="69">
        <v>14</v>
      </c>
      <c r="G462" s="69">
        <v>374.6</v>
      </c>
      <c r="H462" s="69">
        <v>26033</v>
      </c>
      <c r="I462" s="67"/>
      <c r="J462" s="67"/>
      <c r="K462" s="67"/>
      <c r="L462" s="67"/>
      <c r="M462" s="67"/>
      <c r="N462" s="67"/>
      <c r="O462" s="67"/>
      <c r="P462" s="67"/>
      <c r="Q462" s="67"/>
      <c r="R462" s="67"/>
      <c r="S462" s="67"/>
      <c r="T462" s="67"/>
      <c r="U462" s="67"/>
      <c r="V462" s="67"/>
      <c r="W462" s="67"/>
      <c r="X462" s="67"/>
      <c r="Y462" s="67"/>
      <c r="Z462" s="67"/>
    </row>
    <row r="463" spans="1:26" ht="12.5">
      <c r="A463" s="68" t="s">
        <v>1065</v>
      </c>
      <c r="B463" s="68" t="s">
        <v>1066</v>
      </c>
      <c r="C463" s="68" t="s">
        <v>1105</v>
      </c>
      <c r="D463" s="68" t="s">
        <v>28</v>
      </c>
      <c r="E463" s="69">
        <v>2020</v>
      </c>
      <c r="F463" s="69">
        <v>5</v>
      </c>
      <c r="G463" s="69">
        <v>84.1</v>
      </c>
      <c r="H463" s="69">
        <v>5926</v>
      </c>
      <c r="I463" s="67"/>
      <c r="J463" s="67"/>
      <c r="K463" s="67"/>
      <c r="L463" s="67"/>
      <c r="M463" s="67"/>
      <c r="N463" s="67"/>
      <c r="O463" s="67"/>
      <c r="P463" s="67"/>
      <c r="Q463" s="67"/>
      <c r="R463" s="67"/>
      <c r="S463" s="67"/>
      <c r="T463" s="67"/>
      <c r="U463" s="67"/>
      <c r="V463" s="67"/>
      <c r="W463" s="67"/>
      <c r="X463" s="67"/>
      <c r="Y463" s="67"/>
      <c r="Z463" s="67"/>
    </row>
    <row r="464" spans="1:26" ht="12.5">
      <c r="A464" s="68" t="s">
        <v>1065</v>
      </c>
      <c r="B464" s="68" t="s">
        <v>1066</v>
      </c>
      <c r="C464" s="68" t="s">
        <v>1107</v>
      </c>
      <c r="D464" s="68" t="s">
        <v>20</v>
      </c>
      <c r="E464" s="69">
        <v>2020</v>
      </c>
      <c r="F464" s="69">
        <v>19</v>
      </c>
      <c r="G464" s="69">
        <v>246.3</v>
      </c>
      <c r="H464" s="69">
        <v>28505</v>
      </c>
      <c r="I464" s="67"/>
      <c r="J464" s="67"/>
      <c r="K464" s="67"/>
      <c r="L464" s="67"/>
      <c r="M464" s="67"/>
      <c r="N464" s="67"/>
      <c r="O464" s="67"/>
      <c r="P464" s="67"/>
      <c r="Q464" s="67"/>
      <c r="R464" s="67"/>
      <c r="S464" s="67"/>
      <c r="T464" s="67"/>
      <c r="U464" s="67"/>
      <c r="V464" s="67"/>
      <c r="W464" s="67"/>
      <c r="X464" s="67"/>
      <c r="Y464" s="67"/>
      <c r="Z464" s="67"/>
    </row>
    <row r="465" spans="1:26" ht="12.5">
      <c r="A465" s="68" t="s">
        <v>1065</v>
      </c>
      <c r="B465" s="68" t="s">
        <v>1066</v>
      </c>
      <c r="C465" s="68" t="s">
        <v>1110</v>
      </c>
      <c r="D465" s="68" t="s">
        <v>20</v>
      </c>
      <c r="E465" s="69">
        <v>2020</v>
      </c>
      <c r="F465" s="69">
        <v>35</v>
      </c>
      <c r="G465" s="69">
        <v>363.5</v>
      </c>
      <c r="H465" s="69">
        <v>27446</v>
      </c>
      <c r="I465" s="67"/>
      <c r="J465" s="67"/>
      <c r="K465" s="67"/>
      <c r="L465" s="67"/>
      <c r="M465" s="67"/>
      <c r="N465" s="67"/>
      <c r="O465" s="67"/>
      <c r="P465" s="67"/>
      <c r="Q465" s="67"/>
      <c r="R465" s="67"/>
      <c r="S465" s="67"/>
      <c r="T465" s="67"/>
      <c r="U465" s="67"/>
      <c r="V465" s="67"/>
      <c r="W465" s="67"/>
      <c r="X465" s="67"/>
      <c r="Y465" s="67"/>
      <c r="Z465" s="67"/>
    </row>
    <row r="466" spans="1:26" ht="12.5">
      <c r="A466" s="68" t="s">
        <v>1065</v>
      </c>
      <c r="B466" s="68" t="s">
        <v>1066</v>
      </c>
      <c r="C466" s="68" t="s">
        <v>1112</v>
      </c>
      <c r="D466" s="68" t="s">
        <v>28</v>
      </c>
      <c r="E466" s="69">
        <v>2020</v>
      </c>
      <c r="F466" s="69">
        <v>2</v>
      </c>
      <c r="G466" s="69">
        <v>17.899999999999999</v>
      </c>
      <c r="H466" s="69">
        <v>3366</v>
      </c>
      <c r="I466" s="67"/>
      <c r="J466" s="67"/>
      <c r="K466" s="67"/>
      <c r="L466" s="67"/>
      <c r="M466" s="67"/>
      <c r="N466" s="67"/>
      <c r="O466" s="67"/>
      <c r="P466" s="67"/>
      <c r="Q466" s="67"/>
      <c r="R466" s="67"/>
      <c r="S466" s="67"/>
      <c r="T466" s="67"/>
      <c r="U466" s="67"/>
      <c r="V466" s="67"/>
      <c r="W466" s="67"/>
      <c r="X466" s="67"/>
      <c r="Y466" s="67"/>
      <c r="Z466" s="67"/>
    </row>
    <row r="467" spans="1:26" ht="12.5">
      <c r="A467" s="68" t="s">
        <v>1065</v>
      </c>
      <c r="B467" s="68" t="s">
        <v>1066</v>
      </c>
      <c r="C467" s="68" t="s">
        <v>1114</v>
      </c>
      <c r="D467" s="68" t="s">
        <v>28</v>
      </c>
      <c r="E467" s="69">
        <v>2020</v>
      </c>
      <c r="F467" s="69">
        <v>7</v>
      </c>
      <c r="G467" s="69">
        <v>128</v>
      </c>
      <c r="H467" s="69">
        <v>9273</v>
      </c>
      <c r="I467" s="67"/>
      <c r="J467" s="67"/>
      <c r="K467" s="67"/>
      <c r="L467" s="67"/>
      <c r="M467" s="67"/>
      <c r="N467" s="67"/>
      <c r="O467" s="67"/>
      <c r="P467" s="67"/>
      <c r="Q467" s="67"/>
      <c r="R467" s="67"/>
      <c r="S467" s="67"/>
      <c r="T467" s="67"/>
      <c r="U467" s="67"/>
      <c r="V467" s="67"/>
      <c r="W467" s="67"/>
      <c r="X467" s="67"/>
      <c r="Y467" s="67"/>
      <c r="Z467" s="67"/>
    </row>
    <row r="468" spans="1:26" ht="12.5">
      <c r="A468" s="68" t="s">
        <v>1065</v>
      </c>
      <c r="B468" s="68" t="s">
        <v>1116</v>
      </c>
      <c r="C468" s="68" t="s">
        <v>1117</v>
      </c>
      <c r="D468" s="68" t="s">
        <v>28</v>
      </c>
      <c r="E468" s="69">
        <v>2020</v>
      </c>
      <c r="F468" s="69">
        <v>17</v>
      </c>
      <c r="G468" s="69">
        <v>353.8</v>
      </c>
      <c r="H468" s="69">
        <v>8639</v>
      </c>
      <c r="I468" s="67"/>
      <c r="J468" s="67"/>
      <c r="K468" s="67"/>
      <c r="L468" s="67"/>
      <c r="M468" s="67"/>
      <c r="N468" s="67"/>
      <c r="O468" s="67"/>
      <c r="P468" s="67"/>
      <c r="Q468" s="67"/>
      <c r="R468" s="67"/>
      <c r="S468" s="67"/>
      <c r="T468" s="67"/>
      <c r="U468" s="67"/>
      <c r="V468" s="67"/>
      <c r="W468" s="67"/>
      <c r="X468" s="67"/>
      <c r="Y468" s="67"/>
      <c r="Z468" s="67"/>
    </row>
    <row r="469" spans="1:26" ht="12.5">
      <c r="A469" s="68" t="s">
        <v>1065</v>
      </c>
      <c r="B469" s="68" t="s">
        <v>1116</v>
      </c>
      <c r="C469" s="68" t="s">
        <v>1119</v>
      </c>
      <c r="D469" s="68" t="s">
        <v>32</v>
      </c>
      <c r="E469" s="69">
        <v>2020</v>
      </c>
      <c r="F469" s="69">
        <v>20</v>
      </c>
      <c r="G469" s="69">
        <v>407.2</v>
      </c>
      <c r="H469" s="69">
        <v>19845</v>
      </c>
      <c r="I469" s="67"/>
      <c r="J469" s="67"/>
      <c r="K469" s="67"/>
      <c r="L469" s="67"/>
      <c r="M469" s="67"/>
      <c r="N469" s="67"/>
      <c r="O469" s="67"/>
      <c r="P469" s="67"/>
      <c r="Q469" s="67"/>
      <c r="R469" s="67"/>
      <c r="S469" s="67"/>
      <c r="T469" s="67"/>
      <c r="U469" s="67"/>
      <c r="V469" s="67"/>
      <c r="W469" s="67"/>
      <c r="X469" s="67"/>
      <c r="Y469" s="67"/>
      <c r="Z469" s="67"/>
    </row>
    <row r="470" spans="1:26" ht="12.5">
      <c r="A470" s="68" t="s">
        <v>1065</v>
      </c>
      <c r="B470" s="68" t="s">
        <v>1116</v>
      </c>
      <c r="C470" s="68" t="s">
        <v>1122</v>
      </c>
      <c r="D470" s="68" t="s">
        <v>28</v>
      </c>
      <c r="E470" s="69">
        <v>2020</v>
      </c>
      <c r="F470" s="69">
        <v>6</v>
      </c>
      <c r="G470" s="69">
        <v>487.3</v>
      </c>
      <c r="H470" s="69">
        <v>1915</v>
      </c>
      <c r="I470" s="67"/>
      <c r="J470" s="67"/>
      <c r="K470" s="67"/>
      <c r="L470" s="67"/>
      <c r="M470" s="67"/>
      <c r="N470" s="67"/>
      <c r="O470" s="67"/>
      <c r="P470" s="67"/>
      <c r="Q470" s="67"/>
      <c r="R470" s="67"/>
      <c r="S470" s="67"/>
      <c r="T470" s="67"/>
      <c r="U470" s="67"/>
      <c r="V470" s="67"/>
      <c r="W470" s="67"/>
      <c r="X470" s="67"/>
      <c r="Y470" s="67"/>
      <c r="Z470" s="67"/>
    </row>
    <row r="471" spans="1:26" ht="12.5">
      <c r="A471" s="68" t="s">
        <v>1065</v>
      </c>
      <c r="B471" s="68" t="s">
        <v>1125</v>
      </c>
      <c r="C471" s="68" t="s">
        <v>1126</v>
      </c>
      <c r="D471" s="68" t="s">
        <v>20</v>
      </c>
      <c r="E471" s="69">
        <v>2020</v>
      </c>
      <c r="F471" s="69">
        <v>11</v>
      </c>
      <c r="G471" s="69">
        <v>287</v>
      </c>
      <c r="H471" s="69">
        <v>19666</v>
      </c>
      <c r="I471" s="67"/>
      <c r="J471" s="67"/>
      <c r="K471" s="67"/>
      <c r="L471" s="67"/>
      <c r="M471" s="67"/>
      <c r="N471" s="67"/>
      <c r="O471" s="67"/>
      <c r="P471" s="67"/>
      <c r="Q471" s="67"/>
      <c r="R471" s="67"/>
      <c r="S471" s="67"/>
      <c r="T471" s="67"/>
      <c r="U471" s="67"/>
      <c r="V471" s="67"/>
      <c r="W471" s="67"/>
      <c r="X471" s="67"/>
      <c r="Y471" s="67"/>
      <c r="Z471" s="67"/>
    </row>
    <row r="472" spans="1:26" ht="12.5">
      <c r="A472" s="68" t="s">
        <v>1065</v>
      </c>
      <c r="B472" s="68" t="s">
        <v>1125</v>
      </c>
      <c r="C472" s="68" t="s">
        <v>1129</v>
      </c>
      <c r="D472" s="68" t="s">
        <v>32</v>
      </c>
      <c r="E472" s="69">
        <v>2020</v>
      </c>
      <c r="F472" s="69">
        <v>5</v>
      </c>
      <c r="G472" s="69">
        <v>88.5</v>
      </c>
      <c r="H472" s="69">
        <v>11160</v>
      </c>
      <c r="I472" s="67"/>
      <c r="J472" s="67"/>
      <c r="K472" s="67"/>
      <c r="L472" s="67"/>
      <c r="M472" s="67"/>
      <c r="N472" s="67"/>
      <c r="O472" s="67"/>
      <c r="P472" s="67"/>
      <c r="Q472" s="67"/>
      <c r="R472" s="67"/>
      <c r="S472" s="67"/>
      <c r="T472" s="67"/>
      <c r="U472" s="67"/>
      <c r="V472" s="67"/>
      <c r="W472" s="67"/>
      <c r="X472" s="67"/>
      <c r="Y472" s="67"/>
      <c r="Z472" s="67"/>
    </row>
    <row r="473" spans="1:26" ht="12.5">
      <c r="A473" s="68" t="s">
        <v>1065</v>
      </c>
      <c r="B473" s="68" t="s">
        <v>1125</v>
      </c>
      <c r="C473" s="68" t="s">
        <v>1131</v>
      </c>
      <c r="D473" s="68" t="s">
        <v>28</v>
      </c>
      <c r="E473" s="69">
        <v>2020</v>
      </c>
      <c r="F473" s="69">
        <v>12</v>
      </c>
      <c r="G473" s="69">
        <v>139.9</v>
      </c>
      <c r="H473" s="69">
        <v>10203</v>
      </c>
      <c r="I473" s="67"/>
      <c r="J473" s="67"/>
      <c r="K473" s="67"/>
      <c r="L473" s="67"/>
      <c r="M473" s="67"/>
      <c r="N473" s="67"/>
      <c r="O473" s="67"/>
      <c r="P473" s="67"/>
      <c r="Q473" s="67"/>
      <c r="R473" s="67"/>
      <c r="S473" s="67"/>
      <c r="T473" s="67"/>
      <c r="U473" s="67"/>
      <c r="V473" s="67"/>
      <c r="W473" s="67"/>
      <c r="X473" s="67"/>
      <c r="Y473" s="67"/>
      <c r="Z473" s="67"/>
    </row>
    <row r="474" spans="1:26" ht="12.5">
      <c r="A474" s="68" t="s">
        <v>1065</v>
      </c>
      <c r="B474" s="68" t="s">
        <v>1125</v>
      </c>
      <c r="C474" s="68" t="s">
        <v>1133</v>
      </c>
      <c r="D474" s="68" t="s">
        <v>32</v>
      </c>
      <c r="E474" s="69">
        <v>2020</v>
      </c>
      <c r="F474" s="69">
        <v>17</v>
      </c>
      <c r="G474" s="69">
        <v>797.6</v>
      </c>
      <c r="H474" s="69">
        <v>18215</v>
      </c>
      <c r="I474" s="67"/>
      <c r="J474" s="67"/>
      <c r="K474" s="67"/>
      <c r="L474" s="67"/>
      <c r="M474" s="67"/>
      <c r="N474" s="67"/>
      <c r="O474" s="67"/>
      <c r="P474" s="67"/>
      <c r="Q474" s="67"/>
      <c r="R474" s="67"/>
      <c r="S474" s="67"/>
      <c r="T474" s="67"/>
      <c r="U474" s="67"/>
      <c r="V474" s="67"/>
      <c r="W474" s="67"/>
      <c r="X474" s="67"/>
      <c r="Y474" s="67"/>
      <c r="Z474" s="67"/>
    </row>
    <row r="475" spans="1:26" ht="12.5">
      <c r="A475" s="68" t="s">
        <v>1065</v>
      </c>
      <c r="B475" s="68" t="s">
        <v>1125</v>
      </c>
      <c r="C475" s="68" t="s">
        <v>1135</v>
      </c>
      <c r="D475" s="68" t="s">
        <v>28</v>
      </c>
      <c r="E475" s="69">
        <v>2020</v>
      </c>
      <c r="F475" s="69">
        <v>9</v>
      </c>
      <c r="G475" s="69">
        <v>154.4</v>
      </c>
      <c r="H475" s="69">
        <v>5748</v>
      </c>
      <c r="I475" s="67"/>
      <c r="J475" s="67"/>
      <c r="K475" s="67"/>
      <c r="L475" s="67"/>
      <c r="M475" s="67"/>
      <c r="N475" s="67"/>
      <c r="O475" s="67"/>
      <c r="P475" s="67"/>
      <c r="Q475" s="67"/>
      <c r="R475" s="67"/>
      <c r="S475" s="67"/>
      <c r="T475" s="67"/>
      <c r="U475" s="67"/>
      <c r="V475" s="67"/>
      <c r="W475" s="67"/>
      <c r="X475" s="67"/>
      <c r="Y475" s="67"/>
      <c r="Z475" s="67"/>
    </row>
    <row r="476" spans="1:26" ht="12.5">
      <c r="A476" s="68" t="s">
        <v>1065</v>
      </c>
      <c r="B476" s="68" t="s">
        <v>1125</v>
      </c>
      <c r="C476" s="68" t="s">
        <v>1137</v>
      </c>
      <c r="D476" s="68" t="s">
        <v>32</v>
      </c>
      <c r="E476" s="69">
        <v>2020</v>
      </c>
      <c r="F476" s="69">
        <v>16</v>
      </c>
      <c r="G476" s="69">
        <v>163.4</v>
      </c>
      <c r="H476" s="69">
        <v>10375</v>
      </c>
      <c r="I476" s="67"/>
      <c r="J476" s="67"/>
      <c r="K476" s="67"/>
      <c r="L476" s="67"/>
      <c r="M476" s="67"/>
      <c r="N476" s="67"/>
      <c r="O476" s="67"/>
      <c r="P476" s="67"/>
      <c r="Q476" s="67"/>
      <c r="R476" s="67"/>
      <c r="S476" s="67"/>
      <c r="T476" s="67"/>
      <c r="U476" s="67"/>
      <c r="V476" s="67"/>
      <c r="W476" s="67"/>
      <c r="X476" s="67"/>
      <c r="Y476" s="67"/>
      <c r="Z476" s="67"/>
    </row>
    <row r="477" spans="1:26" ht="12.5">
      <c r="A477" s="68" t="s">
        <v>1065</v>
      </c>
      <c r="B477" s="68" t="s">
        <v>1125</v>
      </c>
      <c r="C477" s="68" t="s">
        <v>969</v>
      </c>
      <c r="D477" s="68" t="s">
        <v>20</v>
      </c>
      <c r="E477" s="69">
        <v>2020</v>
      </c>
      <c r="F477" s="69">
        <v>22</v>
      </c>
      <c r="G477" s="69">
        <v>351.6</v>
      </c>
      <c r="H477" s="69">
        <v>48644</v>
      </c>
      <c r="I477" s="67"/>
      <c r="J477" s="67"/>
      <c r="K477" s="67"/>
      <c r="L477" s="67"/>
      <c r="M477" s="67"/>
      <c r="N477" s="67"/>
      <c r="O477" s="67"/>
      <c r="P477" s="67"/>
      <c r="Q477" s="67"/>
      <c r="R477" s="67"/>
      <c r="S477" s="67"/>
      <c r="T477" s="67"/>
      <c r="U477" s="67"/>
      <c r="V477" s="67"/>
      <c r="W477" s="67"/>
      <c r="X477" s="67"/>
      <c r="Y477" s="67"/>
      <c r="Z477" s="67"/>
    </row>
    <row r="478" spans="1:26" ht="12.5">
      <c r="A478" s="68" t="s">
        <v>1065</v>
      </c>
      <c r="B478" s="68" t="s">
        <v>1125</v>
      </c>
      <c r="C478" s="68" t="s">
        <v>220</v>
      </c>
      <c r="D478" s="68" t="s">
        <v>28</v>
      </c>
      <c r="E478" s="69">
        <v>2020</v>
      </c>
      <c r="F478" s="69">
        <v>11</v>
      </c>
      <c r="G478" s="69">
        <v>91.9</v>
      </c>
      <c r="H478" s="69">
        <v>6958</v>
      </c>
      <c r="I478" s="67"/>
      <c r="J478" s="67"/>
      <c r="K478" s="67"/>
      <c r="L478" s="67"/>
      <c r="M478" s="67"/>
      <c r="N478" s="67"/>
      <c r="O478" s="67"/>
      <c r="P478" s="67"/>
      <c r="Q478" s="67"/>
      <c r="R478" s="67"/>
      <c r="S478" s="67"/>
      <c r="T478" s="67"/>
      <c r="U478" s="67"/>
      <c r="V478" s="67"/>
      <c r="W478" s="67"/>
      <c r="X478" s="67"/>
      <c r="Y478" s="67"/>
      <c r="Z478" s="67"/>
    </row>
    <row r="479" spans="1:26" ht="12.5">
      <c r="A479" s="68" t="s">
        <v>1065</v>
      </c>
      <c r="B479" s="68" t="s">
        <v>1125</v>
      </c>
      <c r="C479" s="68" t="s">
        <v>1141</v>
      </c>
      <c r="D479" s="68" t="s">
        <v>20</v>
      </c>
      <c r="E479" s="69">
        <v>2020</v>
      </c>
      <c r="F479" s="69">
        <v>17</v>
      </c>
      <c r="G479" s="69">
        <v>265.5</v>
      </c>
      <c r="H479" s="69">
        <v>88154</v>
      </c>
      <c r="I479" s="67"/>
      <c r="J479" s="67"/>
      <c r="K479" s="67"/>
      <c r="L479" s="67"/>
      <c r="M479" s="67"/>
      <c r="N479" s="67"/>
      <c r="O479" s="67"/>
      <c r="P479" s="67"/>
      <c r="Q479" s="67"/>
      <c r="R479" s="67"/>
      <c r="S479" s="67"/>
      <c r="T479" s="67"/>
      <c r="U479" s="67"/>
      <c r="V479" s="67"/>
      <c r="W479" s="67"/>
      <c r="X479" s="67"/>
      <c r="Y479" s="67"/>
      <c r="Z479" s="67"/>
    </row>
    <row r="480" spans="1:26" ht="12.5">
      <c r="A480" s="68" t="s">
        <v>1065</v>
      </c>
      <c r="B480" s="68" t="s">
        <v>1125</v>
      </c>
      <c r="C480" s="68" t="s">
        <v>1144</v>
      </c>
      <c r="D480" s="68" t="s">
        <v>28</v>
      </c>
      <c r="E480" s="69">
        <v>2020</v>
      </c>
      <c r="F480" s="69">
        <v>10</v>
      </c>
      <c r="G480" s="69">
        <v>140.9</v>
      </c>
      <c r="H480" s="69">
        <v>13937</v>
      </c>
      <c r="I480" s="67"/>
      <c r="J480" s="67"/>
      <c r="K480" s="67"/>
      <c r="L480" s="67"/>
      <c r="M480" s="67"/>
      <c r="N480" s="67"/>
      <c r="O480" s="67"/>
      <c r="P480" s="67"/>
      <c r="Q480" s="67"/>
      <c r="R480" s="67"/>
      <c r="S480" s="67"/>
      <c r="T480" s="67"/>
      <c r="U480" s="67"/>
      <c r="V480" s="67"/>
      <c r="W480" s="67"/>
      <c r="X480" s="67"/>
      <c r="Y480" s="67"/>
      <c r="Z480" s="67"/>
    </row>
    <row r="481" spans="1:26" ht="12.5">
      <c r="A481" s="68" t="s">
        <v>1065</v>
      </c>
      <c r="B481" s="68" t="s">
        <v>1125</v>
      </c>
      <c r="C481" s="68" t="s">
        <v>1146</v>
      </c>
      <c r="D481" s="68" t="s">
        <v>32</v>
      </c>
      <c r="E481" s="69">
        <v>2020</v>
      </c>
      <c r="F481" s="69">
        <v>16</v>
      </c>
      <c r="G481" s="69">
        <v>668.6</v>
      </c>
      <c r="H481" s="69">
        <v>23795</v>
      </c>
      <c r="I481" s="67"/>
      <c r="J481" s="67"/>
      <c r="K481" s="67"/>
      <c r="L481" s="67"/>
      <c r="M481" s="67"/>
      <c r="N481" s="67"/>
      <c r="O481" s="67"/>
      <c r="P481" s="67"/>
      <c r="Q481" s="67"/>
      <c r="R481" s="67"/>
      <c r="S481" s="67"/>
      <c r="T481" s="67"/>
      <c r="U481" s="67"/>
      <c r="V481" s="67"/>
      <c r="W481" s="67"/>
      <c r="X481" s="67"/>
      <c r="Y481" s="67"/>
      <c r="Z481" s="67"/>
    </row>
    <row r="482" spans="1:26" ht="12.5">
      <c r="A482" s="68" t="s">
        <v>1065</v>
      </c>
      <c r="B482" s="68" t="s">
        <v>1125</v>
      </c>
      <c r="C482" s="68" t="s">
        <v>1149</v>
      </c>
      <c r="D482" s="68" t="s">
        <v>32</v>
      </c>
      <c r="E482" s="69">
        <v>2020</v>
      </c>
      <c r="F482" s="69">
        <v>10</v>
      </c>
      <c r="G482" s="69">
        <v>179.1</v>
      </c>
      <c r="H482" s="69">
        <v>20162</v>
      </c>
      <c r="I482" s="67"/>
      <c r="J482" s="67"/>
      <c r="K482" s="67"/>
      <c r="L482" s="67"/>
      <c r="M482" s="67"/>
      <c r="N482" s="67"/>
      <c r="O482" s="67"/>
      <c r="P482" s="67"/>
      <c r="Q482" s="67"/>
      <c r="R482" s="67"/>
      <c r="S482" s="67"/>
      <c r="T482" s="67"/>
      <c r="U482" s="67"/>
      <c r="V482" s="67"/>
      <c r="W482" s="67"/>
      <c r="X482" s="67"/>
      <c r="Y482" s="67"/>
      <c r="Z482" s="67"/>
    </row>
    <row r="483" spans="1:26" ht="12.5">
      <c r="A483" s="68" t="s">
        <v>1065</v>
      </c>
      <c r="B483" s="68" t="s">
        <v>1125</v>
      </c>
      <c r="C483" s="68" t="s">
        <v>1152</v>
      </c>
      <c r="D483" s="68" t="s">
        <v>28</v>
      </c>
      <c r="E483" s="69">
        <v>2020</v>
      </c>
      <c r="F483" s="69">
        <v>6</v>
      </c>
      <c r="G483" s="69">
        <v>234.3</v>
      </c>
      <c r="H483" s="69">
        <v>5807</v>
      </c>
      <c r="I483" s="67"/>
      <c r="J483" s="67"/>
      <c r="K483" s="67"/>
      <c r="L483" s="67"/>
      <c r="M483" s="67"/>
      <c r="N483" s="67"/>
      <c r="O483" s="67"/>
      <c r="P483" s="67"/>
      <c r="Q483" s="67"/>
      <c r="R483" s="67"/>
      <c r="S483" s="67"/>
      <c r="T483" s="67"/>
      <c r="U483" s="67"/>
      <c r="V483" s="67"/>
      <c r="W483" s="67"/>
      <c r="X483" s="67"/>
      <c r="Y483" s="67"/>
      <c r="Z483" s="67"/>
    </row>
    <row r="484" spans="1:26" ht="12.5">
      <c r="A484" s="68" t="s">
        <v>1065</v>
      </c>
      <c r="B484" s="68" t="s">
        <v>1154</v>
      </c>
      <c r="C484" s="68" t="s">
        <v>1155</v>
      </c>
      <c r="D484" s="68" t="s">
        <v>32</v>
      </c>
      <c r="E484" s="69">
        <v>2020</v>
      </c>
      <c r="F484" s="69">
        <v>8</v>
      </c>
      <c r="G484" s="69">
        <v>65.7</v>
      </c>
      <c r="H484" s="69">
        <v>7126</v>
      </c>
      <c r="I484" s="67"/>
      <c r="J484" s="67"/>
      <c r="K484" s="67"/>
      <c r="L484" s="67"/>
      <c r="M484" s="67"/>
      <c r="N484" s="67"/>
      <c r="O484" s="67"/>
      <c r="P484" s="67"/>
      <c r="Q484" s="67"/>
      <c r="R484" s="67"/>
      <c r="S484" s="67"/>
      <c r="T484" s="67"/>
      <c r="U484" s="67"/>
      <c r="V484" s="67"/>
      <c r="W484" s="67"/>
      <c r="X484" s="67"/>
      <c r="Y484" s="67"/>
      <c r="Z484" s="67"/>
    </row>
    <row r="485" spans="1:26" ht="12.5">
      <c r="A485" s="68" t="s">
        <v>1065</v>
      </c>
      <c r="B485" s="68" t="s">
        <v>1154</v>
      </c>
      <c r="C485" s="68" t="s">
        <v>1157</v>
      </c>
      <c r="D485" s="68" t="s">
        <v>20</v>
      </c>
      <c r="E485" s="69">
        <v>2020</v>
      </c>
      <c r="F485" s="69">
        <v>40</v>
      </c>
      <c r="G485" s="69">
        <v>615.4</v>
      </c>
      <c r="H485" s="69">
        <v>44191</v>
      </c>
      <c r="I485" s="67"/>
      <c r="J485" s="67"/>
      <c r="K485" s="67"/>
      <c r="L485" s="67"/>
      <c r="M485" s="67"/>
      <c r="N485" s="67"/>
      <c r="O485" s="67"/>
      <c r="P485" s="67"/>
      <c r="Q485" s="67"/>
      <c r="R485" s="67"/>
      <c r="S485" s="67"/>
      <c r="T485" s="67"/>
      <c r="U485" s="67"/>
      <c r="V485" s="67"/>
      <c r="W485" s="67"/>
      <c r="X485" s="67"/>
      <c r="Y485" s="67"/>
      <c r="Z485" s="67"/>
    </row>
    <row r="486" spans="1:26" ht="12.5">
      <c r="A486" s="68" t="s">
        <v>1065</v>
      </c>
      <c r="B486" s="68" t="s">
        <v>1154</v>
      </c>
      <c r="C486" s="68" t="s">
        <v>1160</v>
      </c>
      <c r="D486" s="68" t="s">
        <v>32</v>
      </c>
      <c r="E486" s="69">
        <v>2020</v>
      </c>
      <c r="F486" s="69">
        <v>20</v>
      </c>
      <c r="G486" s="69">
        <v>213.6</v>
      </c>
      <c r="H486" s="69">
        <v>19752</v>
      </c>
      <c r="I486" s="67"/>
      <c r="J486" s="67"/>
      <c r="K486" s="67"/>
      <c r="L486" s="67"/>
      <c r="M486" s="67"/>
      <c r="N486" s="67"/>
      <c r="O486" s="67"/>
      <c r="P486" s="67"/>
      <c r="Q486" s="67"/>
      <c r="R486" s="67"/>
      <c r="S486" s="67"/>
      <c r="T486" s="67"/>
      <c r="U486" s="67"/>
      <c r="V486" s="67"/>
      <c r="W486" s="67"/>
      <c r="X486" s="67"/>
      <c r="Y486" s="67"/>
      <c r="Z486" s="67"/>
    </row>
    <row r="487" spans="1:26" ht="12.5">
      <c r="A487" s="68" t="s">
        <v>1065</v>
      </c>
      <c r="B487" s="68" t="s">
        <v>1154</v>
      </c>
      <c r="C487" s="68" t="s">
        <v>1162</v>
      </c>
      <c r="D487" s="68" t="s">
        <v>20</v>
      </c>
      <c r="E487" s="69">
        <v>2020</v>
      </c>
      <c r="F487" s="69">
        <v>11</v>
      </c>
      <c r="G487" s="69">
        <v>182.5</v>
      </c>
      <c r="H487" s="69">
        <v>74497</v>
      </c>
      <c r="I487" s="67"/>
      <c r="J487" s="67"/>
      <c r="K487" s="67"/>
      <c r="L487" s="67"/>
      <c r="M487" s="67"/>
      <c r="N487" s="67"/>
      <c r="O487" s="67"/>
      <c r="P487" s="67"/>
      <c r="Q487" s="67"/>
      <c r="R487" s="67"/>
      <c r="S487" s="67"/>
      <c r="T487" s="67"/>
      <c r="U487" s="67"/>
      <c r="V487" s="67"/>
      <c r="W487" s="67"/>
      <c r="X487" s="67"/>
      <c r="Y487" s="67"/>
      <c r="Z487" s="67"/>
    </row>
    <row r="488" spans="1:26" ht="12.5">
      <c r="A488" s="68" t="s">
        <v>1065</v>
      </c>
      <c r="B488" s="68" t="s">
        <v>1154</v>
      </c>
      <c r="C488" s="68" t="s">
        <v>1165</v>
      </c>
      <c r="D488" s="68" t="s">
        <v>28</v>
      </c>
      <c r="E488" s="69">
        <v>2020</v>
      </c>
      <c r="F488" s="69">
        <v>8</v>
      </c>
      <c r="G488" s="69">
        <v>131</v>
      </c>
      <c r="H488" s="69">
        <v>8273</v>
      </c>
      <c r="I488" s="67"/>
      <c r="J488" s="67"/>
      <c r="K488" s="67"/>
      <c r="L488" s="67"/>
      <c r="M488" s="67"/>
      <c r="N488" s="67"/>
      <c r="O488" s="67"/>
      <c r="P488" s="67"/>
      <c r="Q488" s="67"/>
      <c r="R488" s="67"/>
      <c r="S488" s="67"/>
      <c r="T488" s="67"/>
      <c r="U488" s="67"/>
      <c r="V488" s="67"/>
      <c r="W488" s="67"/>
      <c r="X488" s="67"/>
      <c r="Y488" s="67"/>
      <c r="Z488" s="67"/>
    </row>
    <row r="489" spans="1:26" ht="12.5">
      <c r="A489" s="68" t="s">
        <v>1065</v>
      </c>
      <c r="B489" s="68" t="s">
        <v>1154</v>
      </c>
      <c r="C489" s="68" t="s">
        <v>1167</v>
      </c>
      <c r="D489" s="68" t="s">
        <v>28</v>
      </c>
      <c r="E489" s="69">
        <v>2020</v>
      </c>
      <c r="F489" s="69">
        <v>17</v>
      </c>
      <c r="G489" s="69">
        <v>104.1</v>
      </c>
      <c r="H489" s="69">
        <v>8022</v>
      </c>
      <c r="I489" s="67"/>
      <c r="J489" s="67"/>
      <c r="K489" s="67"/>
      <c r="L489" s="67"/>
      <c r="M489" s="67"/>
      <c r="N489" s="67"/>
      <c r="O489" s="67"/>
      <c r="P489" s="67"/>
      <c r="Q489" s="67"/>
      <c r="R489" s="67"/>
      <c r="S489" s="67"/>
      <c r="T489" s="67"/>
      <c r="U489" s="67"/>
      <c r="V489" s="67"/>
      <c r="W489" s="67"/>
      <c r="X489" s="67"/>
      <c r="Y489" s="67"/>
      <c r="Z489" s="67"/>
    </row>
    <row r="490" spans="1:26" ht="12.5">
      <c r="A490" s="68" t="s">
        <v>1065</v>
      </c>
      <c r="B490" s="68" t="s">
        <v>1154</v>
      </c>
      <c r="C490" s="68" t="s">
        <v>1169</v>
      </c>
      <c r="D490" s="68" t="s">
        <v>28</v>
      </c>
      <c r="E490" s="69">
        <v>2020</v>
      </c>
      <c r="F490" s="69">
        <v>6</v>
      </c>
      <c r="G490" s="69">
        <v>97.8</v>
      </c>
      <c r="H490" s="69">
        <v>13182</v>
      </c>
      <c r="I490" s="67"/>
      <c r="J490" s="67"/>
      <c r="K490" s="67"/>
      <c r="L490" s="67"/>
      <c r="M490" s="67"/>
      <c r="N490" s="67"/>
      <c r="O490" s="67"/>
      <c r="P490" s="67"/>
      <c r="Q490" s="67"/>
      <c r="R490" s="67"/>
      <c r="S490" s="67"/>
      <c r="T490" s="67"/>
      <c r="U490" s="67"/>
      <c r="V490" s="67"/>
      <c r="W490" s="67"/>
      <c r="X490" s="67"/>
      <c r="Y490" s="67"/>
      <c r="Z490" s="67"/>
    </row>
    <row r="491" spans="1:26" ht="12.5">
      <c r="A491" s="68" t="s">
        <v>1065</v>
      </c>
      <c r="B491" s="68" t="s">
        <v>1154</v>
      </c>
      <c r="C491" s="68" t="s">
        <v>1171</v>
      </c>
      <c r="D491" s="68" t="s">
        <v>32</v>
      </c>
      <c r="E491" s="69">
        <v>2020</v>
      </c>
      <c r="F491" s="69">
        <v>19</v>
      </c>
      <c r="G491" s="69">
        <v>202.3</v>
      </c>
      <c r="H491" s="69">
        <v>20098</v>
      </c>
      <c r="I491" s="67"/>
      <c r="J491" s="67"/>
      <c r="K491" s="67"/>
      <c r="L491" s="67"/>
      <c r="M491" s="67"/>
      <c r="N491" s="67"/>
      <c r="O491" s="67"/>
      <c r="P491" s="67"/>
      <c r="Q491" s="67"/>
      <c r="R491" s="67"/>
      <c r="S491" s="67"/>
      <c r="T491" s="67"/>
      <c r="U491" s="67"/>
      <c r="V491" s="67"/>
      <c r="W491" s="67"/>
      <c r="X491" s="67"/>
      <c r="Y491" s="67"/>
      <c r="Z491" s="67"/>
    </row>
    <row r="492" spans="1:26" ht="12.5">
      <c r="A492" s="68" t="s">
        <v>1065</v>
      </c>
      <c r="B492" s="68" t="s">
        <v>1154</v>
      </c>
      <c r="C492" s="68" t="s">
        <v>1174</v>
      </c>
      <c r="D492" s="68" t="s">
        <v>28</v>
      </c>
      <c r="E492" s="69">
        <v>2020</v>
      </c>
      <c r="F492" s="69">
        <v>9</v>
      </c>
      <c r="G492" s="69">
        <v>126.2</v>
      </c>
      <c r="H492" s="69">
        <v>10944</v>
      </c>
      <c r="I492" s="67"/>
      <c r="J492" s="67"/>
      <c r="K492" s="67"/>
      <c r="L492" s="67"/>
      <c r="M492" s="67"/>
      <c r="N492" s="67"/>
      <c r="O492" s="67"/>
      <c r="P492" s="67"/>
      <c r="Q492" s="67"/>
      <c r="R492" s="67"/>
      <c r="S492" s="67"/>
      <c r="T492" s="67"/>
      <c r="U492" s="67"/>
      <c r="V492" s="67"/>
      <c r="W492" s="67"/>
      <c r="X492" s="67"/>
      <c r="Y492" s="67"/>
      <c r="Z492" s="67"/>
    </row>
    <row r="493" spans="1:26" ht="12.5">
      <c r="A493" s="68" t="s">
        <v>1065</v>
      </c>
      <c r="B493" s="68" t="s">
        <v>1154</v>
      </c>
      <c r="C493" s="68" t="s">
        <v>1176</v>
      </c>
      <c r="D493" s="68" t="s">
        <v>32</v>
      </c>
      <c r="E493" s="69">
        <v>2020</v>
      </c>
      <c r="F493" s="69">
        <v>9</v>
      </c>
      <c r="G493" s="69">
        <v>183.9</v>
      </c>
      <c r="H493" s="69">
        <v>17005</v>
      </c>
      <c r="I493" s="67"/>
      <c r="J493" s="67"/>
      <c r="K493" s="67"/>
      <c r="L493" s="67"/>
      <c r="M493" s="67"/>
      <c r="N493" s="67"/>
      <c r="O493" s="67"/>
      <c r="P493" s="67"/>
      <c r="Q493" s="67"/>
      <c r="R493" s="67"/>
      <c r="S493" s="67"/>
      <c r="T493" s="67"/>
      <c r="U493" s="67"/>
      <c r="V493" s="67"/>
      <c r="W493" s="67"/>
      <c r="X493" s="67"/>
      <c r="Y493" s="67"/>
      <c r="Z493" s="67"/>
    </row>
    <row r="494" spans="1:26" ht="12.5">
      <c r="A494" s="68" t="s">
        <v>1065</v>
      </c>
      <c r="B494" s="68" t="s">
        <v>1154</v>
      </c>
      <c r="C494" s="68" t="s">
        <v>1178</v>
      </c>
      <c r="D494" s="68" t="s">
        <v>28</v>
      </c>
      <c r="E494" s="69">
        <v>2020</v>
      </c>
      <c r="F494" s="69">
        <v>6</v>
      </c>
      <c r="G494" s="69">
        <v>58.3</v>
      </c>
      <c r="H494" s="69">
        <v>4928</v>
      </c>
      <c r="I494" s="67"/>
      <c r="J494" s="67"/>
      <c r="K494" s="67"/>
      <c r="L494" s="67"/>
      <c r="M494" s="67"/>
      <c r="N494" s="67"/>
      <c r="O494" s="67"/>
      <c r="P494" s="67"/>
      <c r="Q494" s="67"/>
      <c r="R494" s="67"/>
      <c r="S494" s="67"/>
      <c r="T494" s="67"/>
      <c r="U494" s="67"/>
      <c r="V494" s="67"/>
      <c r="W494" s="67"/>
      <c r="X494" s="67"/>
      <c r="Y494" s="67"/>
      <c r="Z494" s="67"/>
    </row>
    <row r="495" spans="1:26" ht="12.5">
      <c r="A495" s="68" t="s">
        <v>1065</v>
      </c>
      <c r="B495" s="68" t="s">
        <v>1154</v>
      </c>
      <c r="C495" s="68" t="s">
        <v>1180</v>
      </c>
      <c r="D495" s="68" t="s">
        <v>20</v>
      </c>
      <c r="E495" s="69">
        <v>2020</v>
      </c>
      <c r="F495" s="69">
        <v>27</v>
      </c>
      <c r="G495" s="69">
        <v>366.1</v>
      </c>
      <c r="H495" s="69">
        <v>40954</v>
      </c>
      <c r="I495" s="67"/>
      <c r="J495" s="67"/>
      <c r="K495" s="67"/>
      <c r="L495" s="67"/>
      <c r="M495" s="67"/>
      <c r="N495" s="67"/>
      <c r="O495" s="67"/>
      <c r="P495" s="67"/>
      <c r="Q495" s="67"/>
      <c r="R495" s="67"/>
      <c r="S495" s="67"/>
      <c r="T495" s="67"/>
      <c r="U495" s="67"/>
      <c r="V495" s="67"/>
      <c r="W495" s="67"/>
      <c r="X495" s="67"/>
      <c r="Y495" s="67"/>
      <c r="Z495" s="67"/>
    </row>
    <row r="496" spans="1:26" ht="12.5">
      <c r="A496" s="68" t="s">
        <v>1065</v>
      </c>
      <c r="B496" s="68" t="s">
        <v>1154</v>
      </c>
      <c r="C496" s="68" t="s">
        <v>1183</v>
      </c>
      <c r="D496" s="68" t="s">
        <v>32</v>
      </c>
      <c r="E496" s="69">
        <v>2020</v>
      </c>
      <c r="F496" s="69">
        <v>10</v>
      </c>
      <c r="G496" s="69">
        <v>129.80000000000001</v>
      </c>
      <c r="H496" s="69">
        <v>6540</v>
      </c>
      <c r="I496" s="67"/>
      <c r="J496" s="67"/>
      <c r="K496" s="67"/>
      <c r="L496" s="67"/>
      <c r="M496" s="67"/>
      <c r="N496" s="67"/>
      <c r="O496" s="67"/>
      <c r="P496" s="67"/>
      <c r="Q496" s="67"/>
      <c r="R496" s="67"/>
      <c r="S496" s="67"/>
      <c r="T496" s="67"/>
      <c r="U496" s="67"/>
      <c r="V496" s="67"/>
      <c r="W496" s="67"/>
      <c r="X496" s="67"/>
      <c r="Y496" s="67"/>
      <c r="Z496" s="67"/>
    </row>
    <row r="497" spans="1:26" ht="12.5">
      <c r="A497" s="68" t="s">
        <v>1065</v>
      </c>
      <c r="B497" s="68" t="s">
        <v>1186</v>
      </c>
      <c r="C497" s="68" t="s">
        <v>1187</v>
      </c>
      <c r="D497" s="68" t="s">
        <v>28</v>
      </c>
      <c r="E497" s="69">
        <v>2020</v>
      </c>
      <c r="F497" s="69">
        <v>3</v>
      </c>
      <c r="G497" s="69">
        <v>114</v>
      </c>
      <c r="H497" s="69">
        <v>8125</v>
      </c>
      <c r="I497" s="67"/>
      <c r="J497" s="67"/>
      <c r="K497" s="67"/>
      <c r="L497" s="67"/>
      <c r="M497" s="67"/>
      <c r="N497" s="67"/>
      <c r="O497" s="67"/>
      <c r="P497" s="67"/>
      <c r="Q497" s="67"/>
      <c r="R497" s="67"/>
      <c r="S497" s="67"/>
      <c r="T497" s="67"/>
      <c r="U497" s="67"/>
      <c r="V497" s="67"/>
      <c r="W497" s="67"/>
      <c r="X497" s="67"/>
      <c r="Y497" s="67"/>
      <c r="Z497" s="67"/>
    </row>
    <row r="498" spans="1:26" ht="12.5">
      <c r="A498" s="68" t="s">
        <v>1065</v>
      </c>
      <c r="B498" s="68" t="s">
        <v>1186</v>
      </c>
      <c r="C498" s="68" t="s">
        <v>1189</v>
      </c>
      <c r="D498" s="68" t="s">
        <v>20</v>
      </c>
      <c r="E498" s="69">
        <v>2020</v>
      </c>
      <c r="F498" s="69">
        <v>15</v>
      </c>
      <c r="G498" s="69">
        <v>337.3</v>
      </c>
      <c r="H498" s="69">
        <v>32600</v>
      </c>
      <c r="I498" s="67"/>
      <c r="J498" s="67"/>
      <c r="K498" s="67"/>
      <c r="L498" s="67"/>
      <c r="M498" s="67"/>
      <c r="N498" s="67"/>
      <c r="O498" s="67"/>
      <c r="P498" s="67"/>
      <c r="Q498" s="67"/>
      <c r="R498" s="67"/>
      <c r="S498" s="67"/>
      <c r="T498" s="67"/>
      <c r="U498" s="67"/>
      <c r="V498" s="67"/>
      <c r="W498" s="67"/>
      <c r="X498" s="67"/>
      <c r="Y498" s="67"/>
      <c r="Z498" s="67"/>
    </row>
    <row r="499" spans="1:26" ht="12.5">
      <c r="A499" s="68" t="s">
        <v>1065</v>
      </c>
      <c r="B499" s="68" t="s">
        <v>1186</v>
      </c>
      <c r="C499" s="68" t="s">
        <v>1192</v>
      </c>
      <c r="D499" s="68" t="s">
        <v>32</v>
      </c>
      <c r="E499" s="69">
        <v>2020</v>
      </c>
      <c r="F499" s="69">
        <v>7</v>
      </c>
      <c r="G499" s="69">
        <v>113.5</v>
      </c>
      <c r="H499" s="69">
        <v>15917</v>
      </c>
      <c r="I499" s="67"/>
      <c r="J499" s="67"/>
      <c r="K499" s="67"/>
      <c r="L499" s="67"/>
      <c r="M499" s="67"/>
      <c r="N499" s="67"/>
      <c r="O499" s="67"/>
      <c r="P499" s="67"/>
      <c r="Q499" s="67"/>
      <c r="R499" s="67"/>
      <c r="S499" s="67"/>
      <c r="T499" s="67"/>
      <c r="U499" s="67"/>
      <c r="V499" s="67"/>
      <c r="W499" s="67"/>
      <c r="X499" s="67"/>
      <c r="Y499" s="67"/>
      <c r="Z499" s="67"/>
    </row>
    <row r="500" spans="1:26" ht="12.5">
      <c r="A500" s="68" t="s">
        <v>1065</v>
      </c>
      <c r="B500" s="68" t="s">
        <v>1186</v>
      </c>
      <c r="C500" s="68" t="s">
        <v>1195</v>
      </c>
      <c r="D500" s="68" t="s">
        <v>28</v>
      </c>
      <c r="E500" s="69">
        <v>2020</v>
      </c>
      <c r="F500" s="69">
        <v>4</v>
      </c>
      <c r="G500" s="69">
        <v>105.9</v>
      </c>
      <c r="H500" s="69">
        <v>11994</v>
      </c>
      <c r="I500" s="67"/>
      <c r="J500" s="67"/>
      <c r="K500" s="67"/>
      <c r="L500" s="67"/>
      <c r="M500" s="67"/>
      <c r="N500" s="67"/>
      <c r="O500" s="67"/>
      <c r="P500" s="67"/>
      <c r="Q500" s="67"/>
      <c r="R500" s="67"/>
      <c r="S500" s="67"/>
      <c r="T500" s="67"/>
      <c r="U500" s="67"/>
      <c r="V500" s="67"/>
      <c r="W500" s="67"/>
      <c r="X500" s="67"/>
      <c r="Y500" s="67"/>
      <c r="Z500" s="67"/>
    </row>
    <row r="501" spans="1:26" ht="12.5">
      <c r="A501" s="68" t="s">
        <v>1065</v>
      </c>
      <c r="B501" s="68" t="s">
        <v>1186</v>
      </c>
      <c r="C501" s="68" t="s">
        <v>1197</v>
      </c>
      <c r="D501" s="68" t="s">
        <v>32</v>
      </c>
      <c r="E501" s="69">
        <v>2020</v>
      </c>
      <c r="F501" s="69">
        <v>11</v>
      </c>
      <c r="G501" s="69">
        <v>206.5</v>
      </c>
      <c r="H501" s="69">
        <v>15801</v>
      </c>
      <c r="I501" s="67"/>
      <c r="J501" s="67"/>
      <c r="K501" s="67"/>
      <c r="L501" s="67"/>
      <c r="M501" s="67"/>
      <c r="N501" s="67"/>
      <c r="O501" s="67"/>
      <c r="P501" s="67"/>
      <c r="Q501" s="67"/>
      <c r="R501" s="67"/>
      <c r="S501" s="67"/>
      <c r="T501" s="67"/>
      <c r="U501" s="67"/>
      <c r="V501" s="67"/>
      <c r="W501" s="67"/>
      <c r="X501" s="67"/>
      <c r="Y501" s="67"/>
      <c r="Z501" s="67"/>
    </row>
    <row r="502" spans="1:26" ht="12.5">
      <c r="A502" s="68" t="s">
        <v>1065</v>
      </c>
      <c r="B502" s="68" t="s">
        <v>1199</v>
      </c>
      <c r="C502" s="68" t="s">
        <v>1200</v>
      </c>
      <c r="D502" s="68" t="s">
        <v>32</v>
      </c>
      <c r="E502" s="69">
        <v>2020</v>
      </c>
      <c r="F502" s="69">
        <v>2</v>
      </c>
      <c r="G502" s="69">
        <v>249.7</v>
      </c>
      <c r="H502" s="69">
        <v>6003</v>
      </c>
      <c r="I502" s="67"/>
      <c r="J502" s="67"/>
      <c r="K502" s="67"/>
      <c r="L502" s="67"/>
      <c r="M502" s="67"/>
      <c r="N502" s="67"/>
      <c r="O502" s="67"/>
      <c r="P502" s="67"/>
      <c r="Q502" s="67"/>
      <c r="R502" s="67"/>
      <c r="S502" s="67"/>
      <c r="T502" s="67"/>
      <c r="U502" s="67"/>
      <c r="V502" s="67"/>
      <c r="W502" s="67"/>
      <c r="X502" s="67"/>
      <c r="Y502" s="67"/>
      <c r="Z502" s="67"/>
    </row>
    <row r="503" spans="1:26" ht="12.5">
      <c r="A503" s="68" t="s">
        <v>1065</v>
      </c>
      <c r="B503" s="68" t="s">
        <v>1199</v>
      </c>
      <c r="C503" s="68" t="s">
        <v>1203</v>
      </c>
      <c r="D503" s="68" t="s">
        <v>32</v>
      </c>
      <c r="E503" s="69">
        <v>2020</v>
      </c>
      <c r="F503" s="69">
        <v>5</v>
      </c>
      <c r="G503" s="69">
        <v>206.9</v>
      </c>
      <c r="H503" s="69">
        <v>21312</v>
      </c>
      <c r="I503" s="67"/>
      <c r="J503" s="67"/>
      <c r="K503" s="67"/>
      <c r="L503" s="67"/>
      <c r="M503" s="67"/>
      <c r="N503" s="67"/>
      <c r="O503" s="67"/>
      <c r="P503" s="67"/>
      <c r="Q503" s="67"/>
      <c r="R503" s="67"/>
      <c r="S503" s="67"/>
      <c r="T503" s="67"/>
      <c r="U503" s="67"/>
      <c r="V503" s="67"/>
      <c r="W503" s="67"/>
      <c r="X503" s="67"/>
      <c r="Y503" s="67"/>
      <c r="Z503" s="67"/>
    </row>
    <row r="504" spans="1:26" ht="12.5">
      <c r="A504" s="68" t="s">
        <v>1065</v>
      </c>
      <c r="B504" s="68" t="s">
        <v>1199</v>
      </c>
      <c r="C504" s="68" t="s">
        <v>1205</v>
      </c>
      <c r="D504" s="68" t="s">
        <v>32</v>
      </c>
      <c r="E504" s="69">
        <v>2020</v>
      </c>
      <c r="F504" s="69">
        <v>5</v>
      </c>
      <c r="G504" s="69">
        <v>84.5</v>
      </c>
      <c r="H504" s="69">
        <v>11092</v>
      </c>
      <c r="I504" s="67"/>
      <c r="J504" s="67"/>
      <c r="K504" s="67"/>
      <c r="L504" s="67"/>
      <c r="M504" s="67"/>
      <c r="N504" s="67"/>
      <c r="O504" s="67"/>
      <c r="P504" s="67"/>
      <c r="Q504" s="67"/>
      <c r="R504" s="67"/>
      <c r="S504" s="67"/>
      <c r="T504" s="67"/>
      <c r="U504" s="67"/>
      <c r="V504" s="67"/>
      <c r="W504" s="67"/>
      <c r="X504" s="67"/>
      <c r="Y504" s="67"/>
      <c r="Z504" s="67"/>
    </row>
    <row r="505" spans="1:26" ht="12.5">
      <c r="A505" s="68" t="s">
        <v>1065</v>
      </c>
      <c r="B505" s="68" t="s">
        <v>1199</v>
      </c>
      <c r="C505" s="68" t="s">
        <v>1207</v>
      </c>
      <c r="D505" s="68" t="s">
        <v>20</v>
      </c>
      <c r="E505" s="69">
        <v>2020</v>
      </c>
      <c r="F505" s="69">
        <v>13</v>
      </c>
      <c r="G505" s="69">
        <v>190.8</v>
      </c>
      <c r="H505" s="69">
        <v>43065</v>
      </c>
      <c r="I505" s="67"/>
      <c r="J505" s="67"/>
      <c r="K505" s="67"/>
      <c r="L505" s="67"/>
      <c r="M505" s="67"/>
      <c r="N505" s="67"/>
      <c r="O505" s="67"/>
      <c r="P505" s="67"/>
      <c r="Q505" s="67"/>
      <c r="R505" s="67"/>
      <c r="S505" s="67"/>
      <c r="T505" s="67"/>
      <c r="U505" s="67"/>
      <c r="V505" s="67"/>
      <c r="W505" s="67"/>
      <c r="X505" s="67"/>
      <c r="Y505" s="67"/>
      <c r="Z505" s="67"/>
    </row>
    <row r="506" spans="1:26" ht="12.5">
      <c r="A506" s="68" t="s">
        <v>1065</v>
      </c>
      <c r="B506" s="68" t="s">
        <v>1199</v>
      </c>
      <c r="C506" s="68" t="s">
        <v>1210</v>
      </c>
      <c r="D506" s="68" t="s">
        <v>28</v>
      </c>
      <c r="E506" s="69">
        <v>2020</v>
      </c>
      <c r="F506" s="69">
        <v>11</v>
      </c>
      <c r="G506" s="69">
        <v>420</v>
      </c>
      <c r="H506" s="69">
        <v>20848</v>
      </c>
      <c r="I506" s="67"/>
      <c r="J506" s="67"/>
      <c r="K506" s="67"/>
      <c r="L506" s="67"/>
      <c r="M506" s="67"/>
      <c r="N506" s="67"/>
      <c r="O506" s="67"/>
      <c r="P506" s="67"/>
      <c r="Q506" s="67"/>
      <c r="R506" s="67"/>
      <c r="S506" s="67"/>
      <c r="T506" s="67"/>
      <c r="U506" s="67"/>
      <c r="V506" s="67"/>
      <c r="W506" s="67"/>
      <c r="X506" s="67"/>
      <c r="Y506" s="67"/>
      <c r="Z506" s="67"/>
    </row>
    <row r="507" spans="1:26" ht="12.5">
      <c r="A507" s="68" t="s">
        <v>1065</v>
      </c>
      <c r="B507" s="68" t="s">
        <v>1199</v>
      </c>
      <c r="C507" s="68" t="s">
        <v>1212</v>
      </c>
      <c r="D507" s="68" t="s">
        <v>28</v>
      </c>
      <c r="E507" s="69">
        <v>2020</v>
      </c>
      <c r="F507" s="69">
        <v>5</v>
      </c>
      <c r="G507" s="69">
        <v>96.5</v>
      </c>
      <c r="H507" s="69">
        <v>9185</v>
      </c>
      <c r="I507" s="67"/>
      <c r="J507" s="67"/>
      <c r="K507" s="67"/>
      <c r="L507" s="67"/>
      <c r="M507" s="67"/>
      <c r="N507" s="67"/>
      <c r="O507" s="67"/>
      <c r="P507" s="67"/>
      <c r="Q507" s="67"/>
      <c r="R507" s="67"/>
      <c r="S507" s="67"/>
      <c r="T507" s="67"/>
      <c r="U507" s="67"/>
      <c r="V507" s="67"/>
      <c r="W507" s="67"/>
      <c r="X507" s="67"/>
      <c r="Y507" s="67"/>
      <c r="Z507" s="67"/>
    </row>
    <row r="508" spans="1:26" ht="12.5">
      <c r="A508" s="68" t="s">
        <v>1065</v>
      </c>
      <c r="B508" s="68" t="s">
        <v>1199</v>
      </c>
      <c r="C508" s="68" t="s">
        <v>1214</v>
      </c>
      <c r="D508" s="68" t="s">
        <v>28</v>
      </c>
      <c r="E508" s="69">
        <v>2020</v>
      </c>
      <c r="F508" s="69">
        <v>7</v>
      </c>
      <c r="G508" s="69">
        <v>342.9</v>
      </c>
      <c r="H508" s="69">
        <v>4760</v>
      </c>
      <c r="I508" s="67"/>
      <c r="J508" s="67"/>
      <c r="K508" s="67"/>
      <c r="L508" s="67"/>
      <c r="M508" s="67"/>
      <c r="N508" s="67"/>
      <c r="O508" s="67"/>
      <c r="P508" s="67"/>
      <c r="Q508" s="67"/>
      <c r="R508" s="67"/>
      <c r="S508" s="67"/>
      <c r="T508" s="67"/>
      <c r="U508" s="67"/>
      <c r="V508" s="67"/>
      <c r="W508" s="67"/>
      <c r="X508" s="67"/>
      <c r="Y508" s="67"/>
      <c r="Z508" s="67"/>
    </row>
    <row r="509" spans="1:26" ht="12.5">
      <c r="A509" s="68" t="s">
        <v>1065</v>
      </c>
      <c r="B509" s="68" t="s">
        <v>1199</v>
      </c>
      <c r="C509" s="68" t="s">
        <v>1217</v>
      </c>
      <c r="D509" s="68" t="s">
        <v>20</v>
      </c>
      <c r="E509" s="69">
        <v>2020</v>
      </c>
      <c r="F509" s="69">
        <v>2</v>
      </c>
      <c r="G509" s="69">
        <v>270.8</v>
      </c>
      <c r="H509" s="69">
        <v>13674</v>
      </c>
      <c r="I509" s="67"/>
      <c r="J509" s="67"/>
      <c r="K509" s="67"/>
      <c r="L509" s="67"/>
      <c r="M509" s="67"/>
      <c r="N509" s="67"/>
      <c r="O509" s="67"/>
      <c r="P509" s="67"/>
      <c r="Q509" s="67"/>
      <c r="R509" s="67"/>
      <c r="S509" s="67"/>
      <c r="T509" s="67"/>
      <c r="U509" s="67"/>
      <c r="V509" s="67"/>
      <c r="W509" s="67"/>
      <c r="X509" s="67"/>
      <c r="Y509" s="67"/>
      <c r="Z509" s="67"/>
    </row>
    <row r="510" spans="1:26" ht="12.5">
      <c r="A510" s="68" t="s">
        <v>1220</v>
      </c>
      <c r="B510" s="68" t="s">
        <v>1221</v>
      </c>
      <c r="C510" s="68" t="s">
        <v>1222</v>
      </c>
      <c r="D510" s="68" t="s">
        <v>20</v>
      </c>
      <c r="E510" s="69">
        <v>2020</v>
      </c>
      <c r="F510" s="69">
        <v>19</v>
      </c>
      <c r="G510" s="69">
        <v>527.29999999999995</v>
      </c>
      <c r="H510" s="69">
        <v>80765</v>
      </c>
      <c r="I510" s="67"/>
      <c r="J510" s="67"/>
      <c r="K510" s="67"/>
      <c r="L510" s="67"/>
      <c r="M510" s="67"/>
      <c r="N510" s="67"/>
      <c r="O510" s="67"/>
      <c r="P510" s="67"/>
      <c r="Q510" s="67"/>
      <c r="R510" s="67"/>
      <c r="S510" s="67"/>
      <c r="T510" s="67"/>
      <c r="U510" s="67"/>
      <c r="V510" s="67"/>
      <c r="W510" s="67"/>
      <c r="X510" s="67"/>
      <c r="Y510" s="67"/>
      <c r="Z510" s="67"/>
    </row>
    <row r="511" spans="1:26" ht="12.5">
      <c r="A511" s="68" t="s">
        <v>1220</v>
      </c>
      <c r="B511" s="68" t="s">
        <v>1221</v>
      </c>
      <c r="C511" s="68" t="s">
        <v>1225</v>
      </c>
      <c r="D511" s="68" t="s">
        <v>28</v>
      </c>
      <c r="E511" s="69">
        <v>2020</v>
      </c>
      <c r="F511" s="69">
        <v>10</v>
      </c>
      <c r="G511" s="69">
        <v>667.7</v>
      </c>
      <c r="H511" s="69">
        <v>13806</v>
      </c>
      <c r="I511" s="67"/>
      <c r="J511" s="67"/>
      <c r="K511" s="67"/>
      <c r="L511" s="67"/>
      <c r="M511" s="67"/>
      <c r="N511" s="67"/>
      <c r="O511" s="67"/>
      <c r="P511" s="67"/>
      <c r="Q511" s="67"/>
      <c r="R511" s="67"/>
      <c r="S511" s="67"/>
      <c r="T511" s="67"/>
      <c r="U511" s="67"/>
      <c r="V511" s="67"/>
      <c r="W511" s="67"/>
      <c r="X511" s="67"/>
      <c r="Y511" s="67"/>
      <c r="Z511" s="67"/>
    </row>
    <row r="512" spans="1:26" ht="12.5">
      <c r="A512" s="68" t="s">
        <v>1220</v>
      </c>
      <c r="B512" s="68" t="s">
        <v>1221</v>
      </c>
      <c r="C512" s="68" t="s">
        <v>1228</v>
      </c>
      <c r="D512" s="68" t="s">
        <v>28</v>
      </c>
      <c r="E512" s="69">
        <v>2020</v>
      </c>
      <c r="F512" s="69">
        <v>4</v>
      </c>
      <c r="G512" s="69">
        <v>60.9</v>
      </c>
      <c r="H512" s="69">
        <v>6179</v>
      </c>
      <c r="I512" s="67"/>
      <c r="J512" s="67"/>
      <c r="K512" s="67"/>
      <c r="L512" s="67"/>
      <c r="M512" s="67"/>
      <c r="N512" s="67"/>
      <c r="O512" s="67"/>
      <c r="P512" s="67"/>
      <c r="Q512" s="67"/>
      <c r="R512" s="67"/>
      <c r="S512" s="67"/>
      <c r="T512" s="67"/>
      <c r="U512" s="67"/>
      <c r="V512" s="67"/>
      <c r="W512" s="67"/>
      <c r="X512" s="67"/>
      <c r="Y512" s="67"/>
      <c r="Z512" s="67"/>
    </row>
    <row r="513" spans="1:26" ht="12.5">
      <c r="A513" s="68" t="s">
        <v>1220</v>
      </c>
      <c r="B513" s="68" t="s">
        <v>1221</v>
      </c>
      <c r="C513" s="68" t="s">
        <v>1231</v>
      </c>
      <c r="D513" s="68" t="s">
        <v>28</v>
      </c>
      <c r="E513" s="69">
        <v>2020</v>
      </c>
      <c r="F513" s="69">
        <v>7</v>
      </c>
      <c r="G513" s="69">
        <v>262.60000000000002</v>
      </c>
      <c r="H513" s="69">
        <v>4367</v>
      </c>
      <c r="I513" s="67"/>
      <c r="J513" s="67"/>
      <c r="K513" s="67"/>
      <c r="L513" s="67"/>
      <c r="M513" s="67"/>
      <c r="N513" s="67"/>
      <c r="O513" s="67"/>
      <c r="P513" s="67"/>
      <c r="Q513" s="67"/>
      <c r="R513" s="67"/>
      <c r="S513" s="67"/>
      <c r="T513" s="67"/>
      <c r="U513" s="67"/>
      <c r="V513" s="67"/>
      <c r="W513" s="67"/>
      <c r="X513" s="67"/>
      <c r="Y513" s="67"/>
      <c r="Z513" s="67"/>
    </row>
    <row r="514" spans="1:26" ht="12.5">
      <c r="A514" s="68" t="s">
        <v>1220</v>
      </c>
      <c r="B514" s="68" t="s">
        <v>1221</v>
      </c>
      <c r="C514" s="68" t="s">
        <v>1233</v>
      </c>
      <c r="D514" s="68" t="s">
        <v>28</v>
      </c>
      <c r="E514" s="69">
        <v>2020</v>
      </c>
      <c r="F514" s="69">
        <v>3</v>
      </c>
      <c r="G514" s="69">
        <v>148.4</v>
      </c>
      <c r="H514" s="69">
        <v>5851</v>
      </c>
      <c r="I514" s="67"/>
      <c r="J514" s="67"/>
      <c r="K514" s="67"/>
      <c r="L514" s="67"/>
      <c r="M514" s="67"/>
      <c r="N514" s="67"/>
      <c r="O514" s="67"/>
      <c r="P514" s="67"/>
      <c r="Q514" s="67"/>
      <c r="R514" s="67"/>
      <c r="S514" s="67"/>
      <c r="T514" s="67"/>
      <c r="U514" s="67"/>
      <c r="V514" s="67"/>
      <c r="W514" s="67"/>
      <c r="X514" s="67"/>
      <c r="Y514" s="67"/>
      <c r="Z514" s="67"/>
    </row>
    <row r="515" spans="1:26" ht="12.5">
      <c r="A515" s="68" t="s">
        <v>1220</v>
      </c>
      <c r="B515" s="68" t="s">
        <v>1221</v>
      </c>
      <c r="C515" s="68" t="s">
        <v>1236</v>
      </c>
      <c r="D515" s="68" t="s">
        <v>20</v>
      </c>
      <c r="E515" s="69">
        <v>2020</v>
      </c>
      <c r="F515" s="69">
        <v>13</v>
      </c>
      <c r="G515" s="69">
        <v>260.89999999999998</v>
      </c>
      <c r="H515" s="69">
        <v>31947</v>
      </c>
      <c r="I515" s="67"/>
      <c r="J515" s="67"/>
      <c r="K515" s="67"/>
      <c r="L515" s="67"/>
      <c r="M515" s="67"/>
      <c r="N515" s="67"/>
      <c r="O515" s="67"/>
      <c r="P515" s="67"/>
      <c r="Q515" s="67"/>
      <c r="R515" s="67"/>
      <c r="S515" s="67"/>
      <c r="T515" s="67"/>
      <c r="U515" s="67"/>
      <c r="V515" s="67"/>
      <c r="W515" s="67"/>
      <c r="X515" s="67"/>
      <c r="Y515" s="67"/>
      <c r="Z515" s="67"/>
    </row>
    <row r="516" spans="1:26" ht="12.5">
      <c r="A516" s="68" t="s">
        <v>1220</v>
      </c>
      <c r="B516" s="68" t="s">
        <v>1221</v>
      </c>
      <c r="C516" s="68" t="s">
        <v>1239</v>
      </c>
      <c r="D516" s="68" t="s">
        <v>28</v>
      </c>
      <c r="E516" s="69">
        <v>2020</v>
      </c>
      <c r="F516" s="69">
        <v>8</v>
      </c>
      <c r="G516" s="69">
        <v>104.3</v>
      </c>
      <c r="H516" s="69">
        <v>10994</v>
      </c>
      <c r="I516" s="67"/>
      <c r="J516" s="67"/>
      <c r="K516" s="67"/>
      <c r="L516" s="67"/>
      <c r="M516" s="67"/>
      <c r="N516" s="67"/>
      <c r="O516" s="67"/>
      <c r="P516" s="67"/>
      <c r="Q516" s="67"/>
      <c r="R516" s="67"/>
      <c r="S516" s="67"/>
      <c r="T516" s="67"/>
      <c r="U516" s="67"/>
      <c r="V516" s="67"/>
      <c r="W516" s="67"/>
      <c r="X516" s="67"/>
      <c r="Y516" s="67"/>
      <c r="Z516" s="67"/>
    </row>
    <row r="517" spans="1:26" ht="12.5">
      <c r="A517" s="68" t="s">
        <v>1220</v>
      </c>
      <c r="B517" s="68" t="s">
        <v>1221</v>
      </c>
      <c r="C517" s="68" t="s">
        <v>1242</v>
      </c>
      <c r="D517" s="68" t="s">
        <v>28</v>
      </c>
      <c r="E517" s="69">
        <v>2020</v>
      </c>
      <c r="F517" s="69">
        <v>11</v>
      </c>
      <c r="G517" s="69">
        <v>324.8</v>
      </c>
      <c r="H517" s="69">
        <v>6964</v>
      </c>
      <c r="I517" s="67"/>
      <c r="J517" s="67"/>
      <c r="K517" s="67"/>
      <c r="L517" s="67"/>
      <c r="M517" s="67"/>
      <c r="N517" s="67"/>
      <c r="O517" s="67"/>
      <c r="P517" s="67"/>
      <c r="Q517" s="67"/>
      <c r="R517" s="67"/>
      <c r="S517" s="67"/>
      <c r="T517" s="67"/>
      <c r="U517" s="67"/>
      <c r="V517" s="67"/>
      <c r="W517" s="67"/>
      <c r="X517" s="67"/>
      <c r="Y517" s="67"/>
      <c r="Z517" s="67"/>
    </row>
    <row r="518" spans="1:26" ht="12.5">
      <c r="A518" s="68" t="s">
        <v>1220</v>
      </c>
      <c r="B518" s="68" t="s">
        <v>1221</v>
      </c>
      <c r="C518" s="68" t="s">
        <v>1244</v>
      </c>
      <c r="D518" s="68" t="s">
        <v>28</v>
      </c>
      <c r="E518" s="69">
        <v>2020</v>
      </c>
      <c r="F518" s="69">
        <v>16</v>
      </c>
      <c r="G518" s="69">
        <v>335.3</v>
      </c>
      <c r="H518" s="69">
        <v>5308</v>
      </c>
      <c r="I518" s="67"/>
      <c r="J518" s="67"/>
      <c r="K518" s="67"/>
      <c r="L518" s="67"/>
      <c r="M518" s="67"/>
      <c r="N518" s="67"/>
      <c r="O518" s="67"/>
      <c r="P518" s="67"/>
      <c r="Q518" s="67"/>
      <c r="R518" s="67"/>
      <c r="S518" s="67"/>
      <c r="T518" s="67"/>
      <c r="U518" s="67"/>
      <c r="V518" s="67"/>
      <c r="W518" s="67"/>
      <c r="X518" s="67"/>
      <c r="Y518" s="67"/>
      <c r="Z518" s="67"/>
    </row>
    <row r="519" spans="1:26" ht="12.5">
      <c r="A519" s="68" t="s">
        <v>1220</v>
      </c>
      <c r="B519" s="68" t="s">
        <v>1221</v>
      </c>
      <c r="C519" s="68" t="s">
        <v>1246</v>
      </c>
      <c r="D519" s="68" t="s">
        <v>28</v>
      </c>
      <c r="E519" s="69">
        <v>2020</v>
      </c>
      <c r="F519" s="69">
        <v>7</v>
      </c>
      <c r="G519" s="69">
        <v>389.4</v>
      </c>
      <c r="H519" s="69">
        <v>5938</v>
      </c>
      <c r="I519" s="67"/>
      <c r="J519" s="67"/>
      <c r="K519" s="67"/>
      <c r="L519" s="67"/>
      <c r="M519" s="67"/>
      <c r="N519" s="67"/>
      <c r="O519" s="67"/>
      <c r="P519" s="67"/>
      <c r="Q519" s="67"/>
      <c r="R519" s="67"/>
      <c r="S519" s="67"/>
      <c r="T519" s="67"/>
      <c r="U519" s="67"/>
      <c r="V519" s="67"/>
      <c r="W519" s="67"/>
      <c r="X519" s="67"/>
      <c r="Y519" s="67"/>
      <c r="Z519" s="67"/>
    </row>
    <row r="520" spans="1:26" ht="12.5">
      <c r="A520" s="68" t="s">
        <v>1220</v>
      </c>
      <c r="B520" s="68" t="s">
        <v>1221</v>
      </c>
      <c r="C520" s="68" t="s">
        <v>1248</v>
      </c>
      <c r="D520" s="68" t="s">
        <v>20</v>
      </c>
      <c r="E520" s="69">
        <v>2020</v>
      </c>
      <c r="F520" s="69">
        <v>42</v>
      </c>
      <c r="G520" s="69">
        <v>791.6</v>
      </c>
      <c r="H520" s="69">
        <v>31154</v>
      </c>
      <c r="I520" s="67"/>
      <c r="J520" s="67"/>
      <c r="K520" s="67"/>
      <c r="L520" s="67"/>
      <c r="M520" s="67"/>
      <c r="N520" s="67"/>
      <c r="O520" s="67"/>
      <c r="P520" s="67"/>
      <c r="Q520" s="67"/>
      <c r="R520" s="67"/>
      <c r="S520" s="67"/>
      <c r="T520" s="67"/>
      <c r="U520" s="67"/>
      <c r="V520" s="67"/>
      <c r="W520" s="67"/>
      <c r="X520" s="67"/>
      <c r="Y520" s="67"/>
      <c r="Z520" s="67"/>
    </row>
    <row r="521" spans="1:26" ht="12.5">
      <c r="A521" s="68" t="s">
        <v>1220</v>
      </c>
      <c r="B521" s="68" t="s">
        <v>1251</v>
      </c>
      <c r="C521" s="68" t="s">
        <v>1252</v>
      </c>
      <c r="D521" s="68" t="s">
        <v>32</v>
      </c>
      <c r="E521" s="69">
        <v>2020</v>
      </c>
      <c r="F521" s="69">
        <v>28</v>
      </c>
      <c r="G521" s="69">
        <v>695.4</v>
      </c>
      <c r="H521" s="69">
        <v>26999</v>
      </c>
      <c r="I521" s="67"/>
      <c r="J521" s="67"/>
      <c r="K521" s="67"/>
      <c r="L521" s="67"/>
      <c r="M521" s="67"/>
      <c r="N521" s="67"/>
      <c r="O521" s="67"/>
      <c r="P521" s="67"/>
      <c r="Q521" s="67"/>
      <c r="R521" s="67"/>
      <c r="S521" s="67"/>
      <c r="T521" s="67"/>
      <c r="U521" s="67"/>
      <c r="V521" s="67"/>
      <c r="W521" s="67"/>
      <c r="X521" s="67"/>
      <c r="Y521" s="67"/>
      <c r="Z521" s="67"/>
    </row>
    <row r="522" spans="1:26" ht="12.5">
      <c r="A522" s="68" t="s">
        <v>1220</v>
      </c>
      <c r="B522" s="68" t="s">
        <v>1251</v>
      </c>
      <c r="C522" s="68" t="s">
        <v>1254</v>
      </c>
      <c r="D522" s="68" t="s">
        <v>20</v>
      </c>
      <c r="E522" s="69">
        <v>2020</v>
      </c>
      <c r="F522" s="69">
        <v>10</v>
      </c>
      <c r="G522" s="69">
        <v>210.2</v>
      </c>
      <c r="H522" s="69">
        <v>21921</v>
      </c>
      <c r="I522" s="67"/>
      <c r="J522" s="67"/>
      <c r="K522" s="67"/>
      <c r="L522" s="67"/>
      <c r="M522" s="67"/>
      <c r="N522" s="67"/>
      <c r="O522" s="67"/>
      <c r="P522" s="67"/>
      <c r="Q522" s="67"/>
      <c r="R522" s="67"/>
      <c r="S522" s="67"/>
      <c r="T522" s="67"/>
      <c r="U522" s="67"/>
      <c r="V522" s="67"/>
      <c r="W522" s="67"/>
      <c r="X522" s="67"/>
      <c r="Y522" s="67"/>
      <c r="Z522" s="67"/>
    </row>
    <row r="523" spans="1:26" ht="12.5">
      <c r="A523" s="68" t="s">
        <v>1220</v>
      </c>
      <c r="B523" s="68" t="s">
        <v>1251</v>
      </c>
      <c r="C523" s="68" t="s">
        <v>1257</v>
      </c>
      <c r="D523" s="68" t="s">
        <v>20</v>
      </c>
      <c r="E523" s="69">
        <v>2020</v>
      </c>
      <c r="F523" s="69">
        <v>4</v>
      </c>
      <c r="G523" s="69">
        <v>125.2</v>
      </c>
      <c r="H523" s="69">
        <v>119573</v>
      </c>
      <c r="I523" s="67"/>
      <c r="J523" s="67"/>
      <c r="K523" s="67"/>
      <c r="L523" s="67"/>
      <c r="M523" s="67"/>
      <c r="N523" s="67"/>
      <c r="O523" s="67"/>
      <c r="P523" s="67"/>
      <c r="Q523" s="67"/>
      <c r="R523" s="67"/>
      <c r="S523" s="67"/>
      <c r="T523" s="67"/>
      <c r="U523" s="67"/>
      <c r="V523" s="67"/>
      <c r="W523" s="67"/>
      <c r="X523" s="67"/>
      <c r="Y523" s="67"/>
      <c r="Z523" s="67"/>
    </row>
    <row r="524" spans="1:26" ht="12.5">
      <c r="A524" s="68" t="s">
        <v>1220</v>
      </c>
      <c r="B524" s="68" t="s">
        <v>1251</v>
      </c>
      <c r="C524" s="68" t="s">
        <v>1260</v>
      </c>
      <c r="D524" s="68" t="s">
        <v>32</v>
      </c>
      <c r="E524" s="69">
        <v>2020</v>
      </c>
      <c r="F524" s="69">
        <v>23</v>
      </c>
      <c r="G524" s="69">
        <v>530.29999999999995</v>
      </c>
      <c r="H524" s="69">
        <v>30237</v>
      </c>
      <c r="I524" s="67"/>
      <c r="J524" s="67"/>
      <c r="K524" s="67"/>
      <c r="L524" s="67"/>
      <c r="M524" s="67"/>
      <c r="N524" s="67"/>
      <c r="O524" s="67"/>
      <c r="P524" s="67"/>
      <c r="Q524" s="67"/>
      <c r="R524" s="67"/>
      <c r="S524" s="67"/>
      <c r="T524" s="67"/>
      <c r="U524" s="67"/>
      <c r="V524" s="67"/>
      <c r="W524" s="67"/>
      <c r="X524" s="67"/>
      <c r="Y524" s="67"/>
      <c r="Z524" s="67"/>
    </row>
    <row r="525" spans="1:26" ht="12.5">
      <c r="A525" s="68" t="s">
        <v>1220</v>
      </c>
      <c r="B525" s="68" t="s">
        <v>1251</v>
      </c>
      <c r="C525" s="68" t="s">
        <v>1262</v>
      </c>
      <c r="D525" s="68" t="s">
        <v>28</v>
      </c>
      <c r="E525" s="69">
        <v>2020</v>
      </c>
      <c r="F525" s="69">
        <v>7</v>
      </c>
      <c r="G525" s="69">
        <v>255.8</v>
      </c>
      <c r="H525" s="69">
        <v>9190</v>
      </c>
      <c r="I525" s="67"/>
      <c r="J525" s="67"/>
      <c r="K525" s="67"/>
      <c r="L525" s="67"/>
      <c r="M525" s="67"/>
      <c r="N525" s="67"/>
      <c r="O525" s="67"/>
      <c r="P525" s="67"/>
      <c r="Q525" s="67"/>
      <c r="R525" s="67"/>
      <c r="S525" s="67"/>
      <c r="T525" s="67"/>
      <c r="U525" s="67"/>
      <c r="V525" s="67"/>
      <c r="W525" s="67"/>
      <c r="X525" s="67"/>
      <c r="Y525" s="67"/>
      <c r="Z525" s="67"/>
    </row>
    <row r="526" spans="1:26" ht="12.5">
      <c r="A526" s="68" t="s">
        <v>1220</v>
      </c>
      <c r="B526" s="68" t="s">
        <v>1251</v>
      </c>
      <c r="C526" s="68" t="s">
        <v>1264</v>
      </c>
      <c r="D526" s="68" t="s">
        <v>32</v>
      </c>
      <c r="E526" s="69">
        <v>2020</v>
      </c>
      <c r="F526" s="69">
        <v>41</v>
      </c>
      <c r="G526" s="69">
        <v>760.3</v>
      </c>
      <c r="H526" s="69">
        <v>15227</v>
      </c>
      <c r="I526" s="67"/>
      <c r="J526" s="67"/>
      <c r="K526" s="67"/>
      <c r="L526" s="67"/>
      <c r="M526" s="67"/>
      <c r="N526" s="67"/>
      <c r="O526" s="67"/>
      <c r="P526" s="67"/>
      <c r="Q526" s="67"/>
      <c r="R526" s="67"/>
      <c r="S526" s="67"/>
      <c r="T526" s="67"/>
      <c r="U526" s="67"/>
      <c r="V526" s="67"/>
      <c r="W526" s="67"/>
      <c r="X526" s="67"/>
      <c r="Y526" s="67"/>
      <c r="Z526" s="67"/>
    </row>
    <row r="527" spans="1:26" ht="12.5">
      <c r="A527" s="68" t="s">
        <v>1220</v>
      </c>
      <c r="B527" s="68" t="s">
        <v>1251</v>
      </c>
      <c r="C527" s="68" t="s">
        <v>158</v>
      </c>
      <c r="D527" s="68" t="s">
        <v>32</v>
      </c>
      <c r="E527" s="69">
        <v>2020</v>
      </c>
      <c r="F527" s="69">
        <v>6</v>
      </c>
      <c r="G527" s="69">
        <v>65.8</v>
      </c>
      <c r="H527" s="69">
        <v>8468</v>
      </c>
      <c r="I527" s="67"/>
      <c r="J527" s="67"/>
      <c r="K527" s="67"/>
      <c r="L527" s="67"/>
      <c r="M527" s="67"/>
      <c r="N527" s="67"/>
      <c r="O527" s="67"/>
      <c r="P527" s="67"/>
      <c r="Q527" s="67"/>
      <c r="R527" s="67"/>
      <c r="S527" s="67"/>
      <c r="T527" s="67"/>
      <c r="U527" s="67"/>
      <c r="V527" s="67"/>
      <c r="W527" s="67"/>
      <c r="X527" s="67"/>
      <c r="Y527" s="67"/>
      <c r="Z527" s="67"/>
    </row>
    <row r="528" spans="1:26" ht="12.5">
      <c r="A528" s="68" t="s">
        <v>1220</v>
      </c>
      <c r="B528" s="68" t="s">
        <v>1251</v>
      </c>
      <c r="C528" s="68" t="s">
        <v>1268</v>
      </c>
      <c r="D528" s="68" t="s">
        <v>32</v>
      </c>
      <c r="E528" s="69">
        <v>2020</v>
      </c>
      <c r="F528" s="69">
        <v>6</v>
      </c>
      <c r="G528" s="69">
        <v>245.2</v>
      </c>
      <c r="H528" s="69">
        <v>10565</v>
      </c>
      <c r="I528" s="67"/>
      <c r="J528" s="67"/>
      <c r="K528" s="67"/>
      <c r="L528" s="67"/>
      <c r="M528" s="67"/>
      <c r="N528" s="67"/>
      <c r="O528" s="67"/>
      <c r="P528" s="67"/>
      <c r="Q528" s="67"/>
      <c r="R528" s="67"/>
      <c r="S528" s="67"/>
      <c r="T528" s="67"/>
      <c r="U528" s="67"/>
      <c r="V528" s="67"/>
      <c r="W528" s="67"/>
      <c r="X528" s="67"/>
      <c r="Y528" s="67"/>
      <c r="Z528" s="67"/>
    </row>
    <row r="529" spans="1:26" ht="12.5">
      <c r="A529" s="68" t="s">
        <v>1220</v>
      </c>
      <c r="B529" s="68" t="s">
        <v>1270</v>
      </c>
      <c r="C529" s="68" t="s">
        <v>1271</v>
      </c>
      <c r="D529" s="68" t="s">
        <v>20</v>
      </c>
      <c r="E529" s="69">
        <v>2020</v>
      </c>
      <c r="F529" s="69">
        <v>5</v>
      </c>
      <c r="G529" s="69">
        <v>117.2</v>
      </c>
      <c r="H529" s="69">
        <v>69962</v>
      </c>
      <c r="I529" s="67"/>
      <c r="J529" s="67"/>
      <c r="K529" s="67"/>
      <c r="L529" s="67"/>
      <c r="M529" s="67"/>
      <c r="N529" s="67"/>
      <c r="O529" s="67"/>
      <c r="P529" s="67"/>
      <c r="Q529" s="67"/>
      <c r="R529" s="67"/>
      <c r="S529" s="67"/>
      <c r="T529" s="67"/>
      <c r="U529" s="67"/>
      <c r="V529" s="67"/>
      <c r="W529" s="67"/>
      <c r="X529" s="67"/>
      <c r="Y529" s="67"/>
      <c r="Z529" s="67"/>
    </row>
    <row r="530" spans="1:26" ht="12.5">
      <c r="A530" s="68" t="s">
        <v>1220</v>
      </c>
      <c r="B530" s="68" t="s">
        <v>1270</v>
      </c>
      <c r="C530" s="68" t="s">
        <v>1274</v>
      </c>
      <c r="D530" s="68" t="s">
        <v>32</v>
      </c>
      <c r="E530" s="69">
        <v>2020</v>
      </c>
      <c r="F530" s="69">
        <v>32</v>
      </c>
      <c r="G530" s="69">
        <v>512.70000000000005</v>
      </c>
      <c r="H530" s="69">
        <v>25332</v>
      </c>
      <c r="I530" s="67"/>
      <c r="J530" s="67"/>
      <c r="K530" s="67"/>
      <c r="L530" s="67"/>
      <c r="M530" s="67"/>
      <c r="N530" s="67"/>
      <c r="O530" s="67"/>
      <c r="P530" s="67"/>
      <c r="Q530" s="67"/>
      <c r="R530" s="67"/>
      <c r="S530" s="67"/>
      <c r="T530" s="67"/>
      <c r="U530" s="67"/>
      <c r="V530" s="67"/>
      <c r="W530" s="67"/>
      <c r="X530" s="67"/>
      <c r="Y530" s="67"/>
      <c r="Z530" s="67"/>
    </row>
    <row r="531" spans="1:26" ht="12.5">
      <c r="A531" s="68" t="s">
        <v>1220</v>
      </c>
      <c r="B531" s="68" t="s">
        <v>1270</v>
      </c>
      <c r="C531" s="68" t="s">
        <v>1276</v>
      </c>
      <c r="D531" s="68" t="s">
        <v>28</v>
      </c>
      <c r="E531" s="69">
        <v>2020</v>
      </c>
      <c r="F531" s="69">
        <v>3</v>
      </c>
      <c r="G531" s="69">
        <v>38.700000000000003</v>
      </c>
      <c r="H531" s="69">
        <v>21894</v>
      </c>
      <c r="I531" s="67"/>
      <c r="J531" s="67"/>
      <c r="K531" s="67"/>
      <c r="L531" s="67"/>
      <c r="M531" s="67"/>
      <c r="N531" s="67"/>
      <c r="O531" s="67"/>
      <c r="P531" s="67"/>
      <c r="Q531" s="67"/>
      <c r="R531" s="67"/>
      <c r="S531" s="67"/>
      <c r="T531" s="67"/>
      <c r="U531" s="67"/>
      <c r="V531" s="67"/>
      <c r="W531" s="67"/>
      <c r="X531" s="67"/>
      <c r="Y531" s="67"/>
      <c r="Z531" s="67"/>
    </row>
    <row r="532" spans="1:26" ht="12.5">
      <c r="A532" s="68" t="s">
        <v>1220</v>
      </c>
      <c r="B532" s="68" t="s">
        <v>1270</v>
      </c>
      <c r="C532" s="68" t="s">
        <v>1279</v>
      </c>
      <c r="D532" s="68" t="s">
        <v>20</v>
      </c>
      <c r="E532" s="69">
        <v>2020</v>
      </c>
      <c r="F532" s="69">
        <v>14</v>
      </c>
      <c r="G532" s="69">
        <v>260.8</v>
      </c>
      <c r="H532" s="69">
        <v>57163</v>
      </c>
      <c r="I532" s="67"/>
      <c r="J532" s="67"/>
      <c r="K532" s="67"/>
      <c r="L532" s="67"/>
      <c r="M532" s="67"/>
      <c r="N532" s="67"/>
      <c r="O532" s="67"/>
      <c r="P532" s="67"/>
      <c r="Q532" s="67"/>
      <c r="R532" s="67"/>
      <c r="S532" s="67"/>
      <c r="T532" s="67"/>
      <c r="U532" s="67"/>
      <c r="V532" s="67"/>
      <c r="W532" s="67"/>
      <c r="X532" s="67"/>
      <c r="Y532" s="67"/>
      <c r="Z532" s="67"/>
    </row>
    <row r="533" spans="1:26" ht="12.5">
      <c r="A533" s="68" t="s">
        <v>1220</v>
      </c>
      <c r="B533" s="68" t="s">
        <v>1270</v>
      </c>
      <c r="C533" s="68" t="s">
        <v>1282</v>
      </c>
      <c r="D533" s="68" t="s">
        <v>28</v>
      </c>
      <c r="E533" s="69">
        <v>2020</v>
      </c>
      <c r="F533" s="69">
        <v>10</v>
      </c>
      <c r="G533" s="69">
        <v>151.1</v>
      </c>
      <c r="H533" s="69">
        <v>25392</v>
      </c>
      <c r="I533" s="67"/>
      <c r="J533" s="67"/>
      <c r="K533" s="67"/>
      <c r="L533" s="67"/>
      <c r="M533" s="67"/>
      <c r="N533" s="67"/>
      <c r="O533" s="67"/>
      <c r="P533" s="67"/>
      <c r="Q533" s="67"/>
      <c r="R533" s="67"/>
      <c r="S533" s="67"/>
      <c r="T533" s="67"/>
      <c r="U533" s="67"/>
      <c r="V533" s="67"/>
      <c r="W533" s="67"/>
      <c r="X533" s="67"/>
      <c r="Y533" s="67"/>
      <c r="Z533" s="67"/>
    </row>
    <row r="534" spans="1:26" ht="12.5">
      <c r="A534" s="68" t="s">
        <v>1220</v>
      </c>
      <c r="B534" s="68" t="s">
        <v>1270</v>
      </c>
      <c r="C534" s="68" t="s">
        <v>1285</v>
      </c>
      <c r="D534" s="68" t="s">
        <v>20</v>
      </c>
      <c r="E534" s="69">
        <v>2020</v>
      </c>
      <c r="F534" s="69">
        <v>2</v>
      </c>
      <c r="G534" s="69">
        <v>17.600000000000001</v>
      </c>
      <c r="H534" s="69">
        <v>48357</v>
      </c>
      <c r="I534" s="67"/>
      <c r="J534" s="67"/>
      <c r="K534" s="67"/>
      <c r="L534" s="67"/>
      <c r="M534" s="67"/>
      <c r="N534" s="67"/>
      <c r="O534" s="67"/>
      <c r="P534" s="67"/>
      <c r="Q534" s="67"/>
      <c r="R534" s="67"/>
      <c r="S534" s="67"/>
      <c r="T534" s="67"/>
      <c r="U534" s="67"/>
      <c r="V534" s="67"/>
      <c r="W534" s="67"/>
      <c r="X534" s="67"/>
      <c r="Y534" s="67"/>
      <c r="Z534" s="67"/>
    </row>
    <row r="535" spans="1:26" ht="12.5">
      <c r="A535" s="68" t="s">
        <v>1220</v>
      </c>
      <c r="B535" s="68" t="s">
        <v>1270</v>
      </c>
      <c r="C535" s="68" t="s">
        <v>1288</v>
      </c>
      <c r="D535" s="68" t="s">
        <v>32</v>
      </c>
      <c r="E535" s="69">
        <v>2020</v>
      </c>
      <c r="F535" s="69">
        <v>4</v>
      </c>
      <c r="G535" s="69">
        <v>66.5</v>
      </c>
      <c r="H535" s="69">
        <v>28649</v>
      </c>
      <c r="I535" s="67"/>
      <c r="J535" s="67"/>
      <c r="K535" s="67"/>
      <c r="L535" s="67"/>
      <c r="M535" s="67"/>
      <c r="N535" s="67"/>
      <c r="O535" s="67"/>
      <c r="P535" s="67"/>
      <c r="Q535" s="67"/>
      <c r="R535" s="67"/>
      <c r="S535" s="67"/>
      <c r="T535" s="67"/>
      <c r="U535" s="67"/>
      <c r="V535" s="67"/>
      <c r="W535" s="67"/>
      <c r="X535" s="67"/>
      <c r="Y535" s="67"/>
      <c r="Z535" s="67"/>
    </row>
    <row r="536" spans="1:26" ht="12.5">
      <c r="A536" s="68" t="s">
        <v>1220</v>
      </c>
      <c r="B536" s="68" t="s">
        <v>1270</v>
      </c>
      <c r="C536" s="68" t="s">
        <v>1291</v>
      </c>
      <c r="D536" s="68" t="s">
        <v>28</v>
      </c>
      <c r="E536" s="69">
        <v>2020</v>
      </c>
      <c r="F536" s="69">
        <v>14</v>
      </c>
      <c r="G536" s="69">
        <v>138.80000000000001</v>
      </c>
      <c r="H536" s="69">
        <v>17944</v>
      </c>
      <c r="I536" s="67"/>
      <c r="J536" s="67"/>
      <c r="K536" s="67"/>
      <c r="L536" s="67"/>
      <c r="M536" s="67"/>
      <c r="N536" s="67"/>
      <c r="O536" s="67"/>
      <c r="P536" s="67"/>
      <c r="Q536" s="67"/>
      <c r="R536" s="67"/>
      <c r="S536" s="67"/>
      <c r="T536" s="67"/>
      <c r="U536" s="67"/>
      <c r="V536" s="67"/>
      <c r="W536" s="67"/>
      <c r="X536" s="67"/>
      <c r="Y536" s="67"/>
      <c r="Z536" s="67"/>
    </row>
    <row r="537" spans="1:26" ht="12.5">
      <c r="A537" s="68" t="s">
        <v>1220</v>
      </c>
      <c r="B537" s="68" t="s">
        <v>1270</v>
      </c>
      <c r="C537" s="68" t="s">
        <v>1294</v>
      </c>
      <c r="D537" s="68" t="s">
        <v>32</v>
      </c>
      <c r="E537" s="69">
        <v>2020</v>
      </c>
      <c r="F537" s="69">
        <v>1</v>
      </c>
      <c r="G537" s="69">
        <v>2.4</v>
      </c>
      <c r="H537" s="69">
        <v>17249</v>
      </c>
      <c r="I537" s="67"/>
      <c r="J537" s="67"/>
      <c r="K537" s="67"/>
      <c r="L537" s="67"/>
      <c r="M537" s="67"/>
      <c r="N537" s="67"/>
      <c r="O537" s="67"/>
      <c r="P537" s="67"/>
      <c r="Q537" s="67"/>
      <c r="R537" s="67"/>
      <c r="S537" s="67"/>
      <c r="T537" s="67"/>
      <c r="U537" s="67"/>
      <c r="V537" s="67"/>
      <c r="W537" s="67"/>
      <c r="X537" s="67"/>
      <c r="Y537" s="67"/>
      <c r="Z537" s="67"/>
    </row>
    <row r="538" spans="1:26" ht="12.5">
      <c r="A538" s="68" t="s">
        <v>1220</v>
      </c>
      <c r="B538" s="68" t="s">
        <v>1270</v>
      </c>
      <c r="C538" s="68" t="s">
        <v>1297</v>
      </c>
      <c r="D538" s="68" t="s">
        <v>32</v>
      </c>
      <c r="E538" s="69">
        <v>2020</v>
      </c>
      <c r="F538" s="69">
        <v>49</v>
      </c>
      <c r="G538" s="69">
        <v>1012.3</v>
      </c>
      <c r="H538" s="69">
        <v>27352</v>
      </c>
      <c r="I538" s="67"/>
      <c r="J538" s="67"/>
      <c r="K538" s="67"/>
      <c r="L538" s="67"/>
      <c r="M538" s="67"/>
      <c r="N538" s="67"/>
      <c r="O538" s="67"/>
      <c r="P538" s="67"/>
      <c r="Q538" s="67"/>
      <c r="R538" s="67"/>
      <c r="S538" s="67"/>
      <c r="T538" s="67"/>
      <c r="U538" s="67"/>
      <c r="V538" s="67"/>
      <c r="W538" s="67"/>
      <c r="X538" s="67"/>
      <c r="Y538" s="67"/>
      <c r="Z538" s="67"/>
    </row>
    <row r="539" spans="1:26" ht="12.5">
      <c r="A539" s="68" t="s">
        <v>1220</v>
      </c>
      <c r="B539" s="68" t="s">
        <v>1270</v>
      </c>
      <c r="C539" s="68" t="s">
        <v>1300</v>
      </c>
      <c r="D539" s="68" t="s">
        <v>32</v>
      </c>
      <c r="E539" s="69">
        <v>2020</v>
      </c>
      <c r="F539" s="69">
        <v>4</v>
      </c>
      <c r="G539" s="69">
        <v>80</v>
      </c>
      <c r="H539" s="69">
        <v>15184</v>
      </c>
      <c r="I539" s="67"/>
      <c r="J539" s="67"/>
      <c r="K539" s="67"/>
      <c r="L539" s="67"/>
      <c r="M539" s="67"/>
      <c r="N539" s="67"/>
      <c r="O539" s="67"/>
      <c r="P539" s="67"/>
      <c r="Q539" s="67"/>
      <c r="R539" s="67"/>
      <c r="S539" s="67"/>
      <c r="T539" s="67"/>
      <c r="U539" s="67"/>
      <c r="V539" s="67"/>
      <c r="W539" s="67"/>
      <c r="X539" s="67"/>
      <c r="Y539" s="67"/>
      <c r="Z539" s="67"/>
    </row>
    <row r="540" spans="1:26" ht="12.5">
      <c r="A540" s="68" t="s">
        <v>1220</v>
      </c>
      <c r="B540" s="68" t="s">
        <v>1270</v>
      </c>
      <c r="C540" s="68" t="s">
        <v>1303</v>
      </c>
      <c r="D540" s="68" t="s">
        <v>32</v>
      </c>
      <c r="E540" s="69">
        <v>2020</v>
      </c>
      <c r="F540" s="69">
        <v>3</v>
      </c>
      <c r="G540" s="69">
        <v>157.4</v>
      </c>
      <c r="H540" s="69">
        <v>7904</v>
      </c>
      <c r="I540" s="67"/>
      <c r="J540" s="67"/>
      <c r="K540" s="67"/>
      <c r="L540" s="67"/>
      <c r="M540" s="67"/>
      <c r="N540" s="67"/>
      <c r="O540" s="67"/>
      <c r="P540" s="67"/>
      <c r="Q540" s="67"/>
      <c r="R540" s="67"/>
      <c r="S540" s="67"/>
      <c r="T540" s="67"/>
      <c r="U540" s="67"/>
      <c r="V540" s="67"/>
      <c r="W540" s="67"/>
      <c r="X540" s="67"/>
      <c r="Y540" s="67"/>
      <c r="Z540" s="67"/>
    </row>
    <row r="541" spans="1:26" ht="12.5">
      <c r="A541" s="68" t="s">
        <v>1220</v>
      </c>
      <c r="B541" s="68" t="s">
        <v>1306</v>
      </c>
      <c r="C541" s="68" t="s">
        <v>1307</v>
      </c>
      <c r="D541" s="68" t="s">
        <v>20</v>
      </c>
      <c r="E541" s="69">
        <v>2020</v>
      </c>
      <c r="F541" s="69">
        <v>17</v>
      </c>
      <c r="G541" s="69">
        <v>394.4</v>
      </c>
      <c r="H541" s="69">
        <v>218981</v>
      </c>
      <c r="I541" s="67"/>
      <c r="J541" s="67"/>
      <c r="K541" s="67"/>
      <c r="L541" s="67"/>
      <c r="M541" s="67"/>
      <c r="N541" s="67"/>
      <c r="O541" s="67"/>
      <c r="P541" s="67"/>
      <c r="Q541" s="67"/>
      <c r="R541" s="67"/>
      <c r="S541" s="67"/>
      <c r="T541" s="67"/>
      <c r="U541" s="67"/>
      <c r="V541" s="67"/>
      <c r="W541" s="67"/>
      <c r="X541" s="67"/>
      <c r="Y541" s="67"/>
      <c r="Z541" s="67"/>
    </row>
    <row r="542" spans="1:26" ht="12.5">
      <c r="A542" s="68" t="s">
        <v>1220</v>
      </c>
      <c r="B542" s="68" t="s">
        <v>1306</v>
      </c>
      <c r="C542" s="68" t="s">
        <v>1310</v>
      </c>
      <c r="D542" s="68" t="s">
        <v>32</v>
      </c>
      <c r="E542" s="69">
        <v>2020</v>
      </c>
      <c r="F542" s="69">
        <v>34</v>
      </c>
      <c r="G542" s="69">
        <v>619.20000000000005</v>
      </c>
      <c r="H542" s="69">
        <v>15670</v>
      </c>
      <c r="I542" s="67"/>
      <c r="J542" s="67"/>
      <c r="K542" s="67"/>
      <c r="L542" s="67"/>
      <c r="M542" s="67"/>
      <c r="N542" s="67"/>
      <c r="O542" s="67"/>
      <c r="P542" s="67"/>
      <c r="Q542" s="67"/>
      <c r="R542" s="67"/>
      <c r="S542" s="67"/>
      <c r="T542" s="67"/>
      <c r="U542" s="67"/>
      <c r="V542" s="67"/>
      <c r="W542" s="67"/>
      <c r="X542" s="67"/>
      <c r="Y542" s="67"/>
      <c r="Z542" s="67"/>
    </row>
    <row r="543" spans="1:26" ht="12.5">
      <c r="A543" s="68" t="s">
        <v>1220</v>
      </c>
      <c r="B543" s="68" t="s">
        <v>1306</v>
      </c>
      <c r="C543" s="68" t="s">
        <v>1313</v>
      </c>
      <c r="D543" s="68" t="s">
        <v>32</v>
      </c>
      <c r="E543" s="69">
        <v>2020</v>
      </c>
      <c r="F543" s="69">
        <v>12</v>
      </c>
      <c r="G543" s="69">
        <v>260.2</v>
      </c>
      <c r="H543" s="69">
        <v>13565</v>
      </c>
      <c r="I543" s="67"/>
      <c r="J543" s="67"/>
      <c r="K543" s="67"/>
      <c r="L543" s="67"/>
      <c r="M543" s="67"/>
      <c r="N543" s="67"/>
      <c r="O543" s="67"/>
      <c r="P543" s="67"/>
      <c r="Q543" s="67"/>
      <c r="R543" s="67"/>
      <c r="S543" s="67"/>
      <c r="T543" s="67"/>
      <c r="U543" s="67"/>
      <c r="V543" s="67"/>
      <c r="W543" s="67"/>
      <c r="X543" s="67"/>
      <c r="Y543" s="67"/>
      <c r="Z543" s="67"/>
    </row>
    <row r="544" spans="1:26" ht="12.5">
      <c r="A544" s="68" t="s">
        <v>1220</v>
      </c>
      <c r="B544" s="68" t="s">
        <v>1306</v>
      </c>
      <c r="C544" s="68" t="s">
        <v>1316</v>
      </c>
      <c r="D544" s="68" t="s">
        <v>28</v>
      </c>
      <c r="E544" s="69">
        <v>2020</v>
      </c>
      <c r="F544" s="69">
        <v>9</v>
      </c>
      <c r="G544" s="69">
        <v>231.6</v>
      </c>
      <c r="H544" s="69">
        <v>6566</v>
      </c>
      <c r="I544" s="67"/>
      <c r="J544" s="67"/>
      <c r="K544" s="67"/>
      <c r="L544" s="67"/>
      <c r="M544" s="67"/>
      <c r="N544" s="67"/>
      <c r="O544" s="67"/>
      <c r="P544" s="67"/>
      <c r="Q544" s="67"/>
      <c r="R544" s="67"/>
      <c r="S544" s="67"/>
      <c r="T544" s="67"/>
      <c r="U544" s="67"/>
      <c r="V544" s="67"/>
      <c r="W544" s="67"/>
      <c r="X544" s="67"/>
      <c r="Y544" s="67"/>
      <c r="Z544" s="67"/>
    </row>
    <row r="545" spans="1:26" ht="12.5">
      <c r="A545" s="68" t="s">
        <v>1220</v>
      </c>
      <c r="B545" s="68" t="s">
        <v>1306</v>
      </c>
      <c r="C545" s="68" t="s">
        <v>1318</v>
      </c>
      <c r="D545" s="68" t="s">
        <v>28</v>
      </c>
      <c r="E545" s="69">
        <v>2020</v>
      </c>
      <c r="F545" s="69">
        <v>21</v>
      </c>
      <c r="G545" s="69">
        <v>362.9</v>
      </c>
      <c r="H545" s="69">
        <v>10636</v>
      </c>
      <c r="I545" s="67"/>
      <c r="J545" s="67"/>
      <c r="K545" s="67"/>
      <c r="L545" s="67"/>
      <c r="M545" s="67"/>
      <c r="N545" s="67"/>
      <c r="O545" s="67"/>
      <c r="P545" s="67"/>
      <c r="Q545" s="67"/>
      <c r="R545" s="67"/>
      <c r="S545" s="67"/>
      <c r="T545" s="67"/>
      <c r="U545" s="67"/>
      <c r="V545" s="67"/>
      <c r="W545" s="67"/>
      <c r="X545" s="67"/>
      <c r="Y545" s="67"/>
      <c r="Z545" s="67"/>
    </row>
    <row r="546" spans="1:26" ht="12.5">
      <c r="A546" s="68" t="s">
        <v>1220</v>
      </c>
      <c r="B546" s="68" t="s">
        <v>1306</v>
      </c>
      <c r="C546" s="68" t="s">
        <v>1321</v>
      </c>
      <c r="D546" s="68" t="s">
        <v>28</v>
      </c>
      <c r="E546" s="69">
        <v>2020</v>
      </c>
      <c r="F546" s="69">
        <v>12</v>
      </c>
      <c r="G546" s="69">
        <v>231.4</v>
      </c>
      <c r="H546" s="69">
        <v>5511</v>
      </c>
      <c r="I546" s="67"/>
      <c r="J546" s="67"/>
      <c r="K546" s="67"/>
      <c r="L546" s="67"/>
      <c r="M546" s="67"/>
      <c r="N546" s="67"/>
      <c r="O546" s="67"/>
      <c r="P546" s="67"/>
      <c r="Q546" s="67"/>
      <c r="R546" s="67"/>
      <c r="S546" s="67"/>
      <c r="T546" s="67"/>
      <c r="U546" s="67"/>
      <c r="V546" s="67"/>
      <c r="W546" s="67"/>
      <c r="X546" s="67"/>
      <c r="Y546" s="67"/>
      <c r="Z546" s="67"/>
    </row>
    <row r="547" spans="1:26" ht="12.5">
      <c r="A547" s="68" t="s">
        <v>1220</v>
      </c>
      <c r="B547" s="68" t="s">
        <v>1306</v>
      </c>
      <c r="C547" s="68" t="s">
        <v>1323</v>
      </c>
      <c r="D547" s="68" t="s">
        <v>32</v>
      </c>
      <c r="E547" s="69">
        <v>2020</v>
      </c>
      <c r="F547" s="69">
        <v>23</v>
      </c>
      <c r="G547" s="69">
        <v>664.8</v>
      </c>
      <c r="H547" s="69">
        <v>25279</v>
      </c>
      <c r="I547" s="67"/>
      <c r="J547" s="67"/>
      <c r="K547" s="67"/>
      <c r="L547" s="67"/>
      <c r="M547" s="67"/>
      <c r="N547" s="67"/>
      <c r="O547" s="67"/>
      <c r="P547" s="67"/>
      <c r="Q547" s="67"/>
      <c r="R547" s="67"/>
      <c r="S547" s="67"/>
      <c r="T547" s="67"/>
      <c r="U547" s="67"/>
      <c r="V547" s="67"/>
      <c r="W547" s="67"/>
      <c r="X547" s="67"/>
      <c r="Y547" s="67"/>
      <c r="Z547" s="67"/>
    </row>
    <row r="548" spans="1:26" ht="12.5">
      <c r="A548" s="68" t="s">
        <v>1220</v>
      </c>
      <c r="B548" s="68" t="s">
        <v>1306</v>
      </c>
      <c r="C548" s="68" t="s">
        <v>1326</v>
      </c>
      <c r="D548" s="68" t="s">
        <v>20</v>
      </c>
      <c r="E548" s="69">
        <v>2020</v>
      </c>
      <c r="F548" s="69">
        <v>45</v>
      </c>
      <c r="G548" s="69">
        <v>873</v>
      </c>
      <c r="H548" s="69">
        <v>31695</v>
      </c>
      <c r="I548" s="67"/>
      <c r="J548" s="67"/>
      <c r="K548" s="67"/>
      <c r="L548" s="67"/>
      <c r="M548" s="67"/>
      <c r="N548" s="67"/>
      <c r="O548" s="67"/>
      <c r="P548" s="67"/>
      <c r="Q548" s="67"/>
      <c r="R548" s="67"/>
      <c r="S548" s="67"/>
      <c r="T548" s="67"/>
      <c r="U548" s="67"/>
      <c r="V548" s="67"/>
      <c r="W548" s="67"/>
      <c r="X548" s="67"/>
      <c r="Y548" s="67"/>
      <c r="Z548" s="67"/>
    </row>
    <row r="549" spans="1:26" ht="12.5">
      <c r="A549" s="68" t="s">
        <v>1220</v>
      </c>
      <c r="B549" s="68" t="s">
        <v>1306</v>
      </c>
      <c r="C549" s="68" t="s">
        <v>1329</v>
      </c>
      <c r="D549" s="68" t="s">
        <v>32</v>
      </c>
      <c r="E549" s="69">
        <v>2020</v>
      </c>
      <c r="F549" s="69">
        <v>30</v>
      </c>
      <c r="G549" s="69">
        <v>673.2</v>
      </c>
      <c r="H549" s="69">
        <v>20599</v>
      </c>
      <c r="I549" s="67"/>
      <c r="J549" s="67"/>
      <c r="K549" s="67"/>
      <c r="L549" s="67"/>
      <c r="M549" s="67"/>
      <c r="N549" s="67"/>
      <c r="O549" s="67"/>
      <c r="P549" s="67"/>
      <c r="Q549" s="67"/>
      <c r="R549" s="67"/>
      <c r="S549" s="67"/>
      <c r="T549" s="67"/>
      <c r="U549" s="67"/>
      <c r="V549" s="67"/>
      <c r="W549" s="67"/>
      <c r="X549" s="67"/>
      <c r="Y549" s="67"/>
      <c r="Z549" s="67"/>
    </row>
    <row r="550" spans="1:26" ht="12.5">
      <c r="A550" s="68" t="s">
        <v>1220</v>
      </c>
      <c r="B550" s="68" t="s">
        <v>1306</v>
      </c>
      <c r="C550" s="68" t="s">
        <v>1332</v>
      </c>
      <c r="D550" s="68" t="s">
        <v>20</v>
      </c>
      <c r="E550" s="69">
        <v>2020</v>
      </c>
      <c r="F550" s="69">
        <v>35</v>
      </c>
      <c r="G550" s="69">
        <v>757.3</v>
      </c>
      <c r="H550" s="69">
        <v>26010</v>
      </c>
      <c r="I550" s="67"/>
      <c r="J550" s="67"/>
      <c r="K550" s="67"/>
      <c r="L550" s="67"/>
      <c r="M550" s="67"/>
      <c r="N550" s="67"/>
      <c r="O550" s="67"/>
      <c r="P550" s="67"/>
      <c r="Q550" s="67"/>
      <c r="R550" s="67"/>
      <c r="S550" s="67"/>
      <c r="T550" s="67"/>
      <c r="U550" s="67"/>
      <c r="V550" s="67"/>
      <c r="W550" s="67"/>
      <c r="X550" s="67"/>
      <c r="Y550" s="67"/>
      <c r="Z550" s="67"/>
    </row>
    <row r="551" spans="1:26" ht="12.5">
      <c r="A551" s="68" t="s">
        <v>1220</v>
      </c>
      <c r="B551" s="68" t="s">
        <v>1306</v>
      </c>
      <c r="C551" s="68" t="s">
        <v>1335</v>
      </c>
      <c r="D551" s="68" t="s">
        <v>20</v>
      </c>
      <c r="E551" s="69">
        <v>2020</v>
      </c>
      <c r="F551" s="69">
        <v>33</v>
      </c>
      <c r="G551" s="69">
        <v>756.6</v>
      </c>
      <c r="H551" s="69">
        <v>30629</v>
      </c>
      <c r="I551" s="67"/>
      <c r="J551" s="67"/>
      <c r="K551" s="67"/>
      <c r="L551" s="67"/>
      <c r="M551" s="67"/>
      <c r="N551" s="67"/>
      <c r="O551" s="67"/>
      <c r="P551" s="67"/>
      <c r="Q551" s="67"/>
      <c r="R551" s="67"/>
      <c r="S551" s="67"/>
      <c r="T551" s="67"/>
      <c r="U551" s="67"/>
      <c r="V551" s="67"/>
      <c r="W551" s="67"/>
      <c r="X551" s="67"/>
      <c r="Y551" s="67"/>
      <c r="Z551" s="67"/>
    </row>
    <row r="552" spans="1:26" ht="12.5">
      <c r="A552" s="68" t="s">
        <v>1220</v>
      </c>
      <c r="B552" s="68" t="s">
        <v>1306</v>
      </c>
      <c r="C552" s="68" t="s">
        <v>1337</v>
      </c>
      <c r="D552" s="68" t="s">
        <v>20</v>
      </c>
      <c r="E552" s="69">
        <v>2020</v>
      </c>
      <c r="F552" s="69">
        <v>20</v>
      </c>
      <c r="G552" s="69">
        <v>407.9</v>
      </c>
      <c r="H552" s="69">
        <v>20245</v>
      </c>
      <c r="I552" s="67"/>
      <c r="J552" s="67"/>
      <c r="K552" s="67"/>
      <c r="L552" s="67"/>
      <c r="M552" s="67"/>
      <c r="N552" s="67"/>
      <c r="O552" s="67"/>
      <c r="P552" s="67"/>
      <c r="Q552" s="67"/>
      <c r="R552" s="67"/>
      <c r="S552" s="67"/>
      <c r="T552" s="67"/>
      <c r="U552" s="67"/>
      <c r="V552" s="67"/>
      <c r="W552" s="67"/>
      <c r="X552" s="67"/>
      <c r="Y552" s="67"/>
      <c r="Z552" s="67"/>
    </row>
    <row r="553" spans="1:26" ht="12.5">
      <c r="A553" s="68" t="s">
        <v>1220</v>
      </c>
      <c r="B553" s="68" t="s">
        <v>1306</v>
      </c>
      <c r="C553" s="68" t="s">
        <v>1339</v>
      </c>
      <c r="D553" s="68" t="s">
        <v>28</v>
      </c>
      <c r="E553" s="69">
        <v>2020</v>
      </c>
      <c r="F553" s="69">
        <v>11</v>
      </c>
      <c r="G553" s="69">
        <v>277.8</v>
      </c>
      <c r="H553" s="69">
        <v>10729</v>
      </c>
      <c r="I553" s="67"/>
      <c r="J553" s="67"/>
      <c r="K553" s="67"/>
      <c r="L553" s="67"/>
      <c r="M553" s="67"/>
      <c r="N553" s="67"/>
      <c r="O553" s="67"/>
      <c r="P553" s="67"/>
      <c r="Q553" s="67"/>
      <c r="R553" s="67"/>
      <c r="S553" s="67"/>
      <c r="T553" s="67"/>
      <c r="U553" s="67"/>
      <c r="V553" s="67"/>
      <c r="W553" s="67"/>
      <c r="X553" s="67"/>
      <c r="Y553" s="67"/>
      <c r="Z553" s="67"/>
    </row>
    <row r="554" spans="1:26" ht="12.5">
      <c r="A554" s="68" t="s">
        <v>1220</v>
      </c>
      <c r="B554" s="68" t="s">
        <v>1341</v>
      </c>
      <c r="C554" s="68" t="s">
        <v>1342</v>
      </c>
      <c r="D554" s="68" t="s">
        <v>32</v>
      </c>
      <c r="E554" s="69">
        <v>2020</v>
      </c>
      <c r="F554" s="69">
        <v>81</v>
      </c>
      <c r="G554" s="69">
        <v>1779.6</v>
      </c>
      <c r="H554" s="69">
        <v>28798</v>
      </c>
      <c r="I554" s="67"/>
      <c r="J554" s="67"/>
      <c r="K554" s="67"/>
      <c r="L554" s="67"/>
      <c r="M554" s="67"/>
      <c r="N554" s="67"/>
      <c r="O554" s="67"/>
      <c r="P554" s="67"/>
      <c r="Q554" s="67"/>
      <c r="R554" s="67"/>
      <c r="S554" s="67"/>
      <c r="T554" s="67"/>
      <c r="U554" s="67"/>
      <c r="V554" s="67"/>
      <c r="W554" s="67"/>
      <c r="X554" s="67"/>
      <c r="Y554" s="67"/>
      <c r="Z554" s="67"/>
    </row>
    <row r="555" spans="1:26" ht="12.5">
      <c r="A555" s="68" t="s">
        <v>1220</v>
      </c>
      <c r="B555" s="68" t="s">
        <v>1341</v>
      </c>
      <c r="C555" s="68" t="s">
        <v>1345</v>
      </c>
      <c r="D555" s="68" t="s">
        <v>20</v>
      </c>
      <c r="E555" s="69">
        <v>2020</v>
      </c>
      <c r="F555" s="69">
        <v>3</v>
      </c>
      <c r="G555" s="69">
        <v>93.7</v>
      </c>
      <c r="H555" s="69">
        <v>33276</v>
      </c>
      <c r="I555" s="67"/>
      <c r="J555" s="67"/>
      <c r="K555" s="67"/>
      <c r="L555" s="67"/>
      <c r="M555" s="67"/>
      <c r="N555" s="67"/>
      <c r="O555" s="67"/>
      <c r="P555" s="67"/>
      <c r="Q555" s="67"/>
      <c r="R555" s="67"/>
      <c r="S555" s="67"/>
      <c r="T555" s="67"/>
      <c r="U555" s="67"/>
      <c r="V555" s="67"/>
      <c r="W555" s="67"/>
      <c r="X555" s="67"/>
      <c r="Y555" s="67"/>
      <c r="Z555" s="67"/>
    </row>
    <row r="556" spans="1:26" ht="12.5">
      <c r="A556" s="68" t="s">
        <v>1220</v>
      </c>
      <c r="B556" s="68" t="s">
        <v>1341</v>
      </c>
      <c r="C556" s="68" t="s">
        <v>1348</v>
      </c>
      <c r="D556" s="68" t="s">
        <v>32</v>
      </c>
      <c r="E556" s="69">
        <v>2020</v>
      </c>
      <c r="F556" s="69">
        <v>34</v>
      </c>
      <c r="G556" s="69">
        <v>956</v>
      </c>
      <c r="H556" s="69">
        <v>21042</v>
      </c>
      <c r="I556" s="67"/>
      <c r="J556" s="67"/>
      <c r="K556" s="67"/>
      <c r="L556" s="67"/>
      <c r="M556" s="67"/>
      <c r="N556" s="67"/>
      <c r="O556" s="67"/>
      <c r="P556" s="67"/>
      <c r="Q556" s="67"/>
      <c r="R556" s="67"/>
      <c r="S556" s="67"/>
      <c r="T556" s="67"/>
      <c r="U556" s="67"/>
      <c r="V556" s="67"/>
      <c r="W556" s="67"/>
      <c r="X556" s="67"/>
      <c r="Y556" s="67"/>
      <c r="Z556" s="67"/>
    </row>
    <row r="557" spans="1:26" ht="12.5">
      <c r="A557" s="68" t="s">
        <v>1220</v>
      </c>
      <c r="B557" s="68" t="s">
        <v>1341</v>
      </c>
      <c r="C557" s="68" t="s">
        <v>1351</v>
      </c>
      <c r="D557" s="68" t="s">
        <v>28</v>
      </c>
      <c r="E557" s="69">
        <v>2020</v>
      </c>
      <c r="F557" s="69">
        <v>4</v>
      </c>
      <c r="G557" s="69">
        <v>192.3</v>
      </c>
      <c r="H557" s="69">
        <v>12001</v>
      </c>
      <c r="I557" s="67"/>
      <c r="J557" s="67"/>
      <c r="K557" s="67"/>
      <c r="L557" s="67"/>
      <c r="M557" s="67"/>
      <c r="N557" s="67"/>
      <c r="O557" s="67"/>
      <c r="P557" s="67"/>
      <c r="Q557" s="67"/>
      <c r="R557" s="67"/>
      <c r="S557" s="67"/>
      <c r="T557" s="67"/>
      <c r="U557" s="67"/>
      <c r="V557" s="67"/>
      <c r="W557" s="67"/>
      <c r="X557" s="67"/>
      <c r="Y557" s="67"/>
      <c r="Z557" s="67"/>
    </row>
    <row r="558" spans="1:26" ht="12.5">
      <c r="A558" s="68" t="s">
        <v>1220</v>
      </c>
      <c r="B558" s="68" t="s">
        <v>1341</v>
      </c>
      <c r="C558" s="68" t="s">
        <v>1354</v>
      </c>
      <c r="D558" s="68" t="s">
        <v>32</v>
      </c>
      <c r="E558" s="69">
        <v>2020</v>
      </c>
      <c r="F558" s="69">
        <v>30</v>
      </c>
      <c r="G558" s="69">
        <v>563.79999999999995</v>
      </c>
      <c r="H558" s="69">
        <v>5391</v>
      </c>
      <c r="I558" s="67"/>
      <c r="J558" s="67"/>
      <c r="K558" s="67"/>
      <c r="L558" s="67"/>
      <c r="M558" s="67"/>
      <c r="N558" s="67"/>
      <c r="O558" s="67"/>
      <c r="P558" s="67"/>
      <c r="Q558" s="67"/>
      <c r="R558" s="67"/>
      <c r="S558" s="67"/>
      <c r="T558" s="67"/>
      <c r="U558" s="67"/>
      <c r="V558" s="67"/>
      <c r="W558" s="67"/>
      <c r="X558" s="67"/>
      <c r="Y558" s="67"/>
      <c r="Z558" s="67"/>
    </row>
    <row r="559" spans="1:26" ht="12.5">
      <c r="A559" s="68" t="s">
        <v>1220</v>
      </c>
      <c r="B559" s="68" t="s">
        <v>1341</v>
      </c>
      <c r="C559" s="68" t="s">
        <v>1357</v>
      </c>
      <c r="D559" s="68" t="s">
        <v>28</v>
      </c>
      <c r="E559" s="69">
        <v>2020</v>
      </c>
      <c r="F559" s="69">
        <v>10</v>
      </c>
      <c r="G559" s="69">
        <v>727.1</v>
      </c>
      <c r="H559" s="69">
        <v>6764</v>
      </c>
      <c r="I559" s="67"/>
      <c r="J559" s="67"/>
      <c r="K559" s="67"/>
      <c r="L559" s="67"/>
      <c r="M559" s="67"/>
      <c r="N559" s="67"/>
      <c r="O559" s="67"/>
      <c r="P559" s="67"/>
      <c r="Q559" s="67"/>
      <c r="R559" s="67"/>
      <c r="S559" s="67"/>
      <c r="T559" s="67"/>
      <c r="U559" s="67"/>
      <c r="V559" s="67"/>
      <c r="W559" s="67"/>
      <c r="X559" s="67"/>
      <c r="Y559" s="67"/>
      <c r="Z559" s="67"/>
    </row>
    <row r="560" spans="1:26" ht="12.5">
      <c r="A560" s="68" t="s">
        <v>1220</v>
      </c>
      <c r="B560" s="68" t="s">
        <v>1341</v>
      </c>
      <c r="C560" s="68" t="s">
        <v>1360</v>
      </c>
      <c r="D560" s="68" t="s">
        <v>20</v>
      </c>
      <c r="E560" s="69">
        <v>2020</v>
      </c>
      <c r="F560" s="69">
        <v>1</v>
      </c>
      <c r="G560" s="69">
        <v>20.5</v>
      </c>
      <c r="H560" s="69">
        <v>24685</v>
      </c>
      <c r="I560" s="67"/>
      <c r="J560" s="67"/>
      <c r="K560" s="67"/>
      <c r="L560" s="67"/>
      <c r="M560" s="67"/>
      <c r="N560" s="67"/>
      <c r="O560" s="67"/>
      <c r="P560" s="67"/>
      <c r="Q560" s="67"/>
      <c r="R560" s="67"/>
      <c r="S560" s="67"/>
      <c r="T560" s="67"/>
      <c r="U560" s="67"/>
      <c r="V560" s="67"/>
      <c r="W560" s="67"/>
      <c r="X560" s="67"/>
      <c r="Y560" s="67"/>
      <c r="Z560" s="67"/>
    </row>
    <row r="561" spans="1:26" ht="12.5">
      <c r="A561" s="68" t="s">
        <v>1220</v>
      </c>
      <c r="B561" s="68" t="s">
        <v>1363</v>
      </c>
      <c r="C561" s="68" t="s">
        <v>1364</v>
      </c>
      <c r="D561" s="68" t="s">
        <v>20</v>
      </c>
      <c r="E561" s="69">
        <v>2020</v>
      </c>
      <c r="F561" s="69">
        <v>26</v>
      </c>
      <c r="G561" s="69">
        <v>492.6</v>
      </c>
      <c r="H561" s="69">
        <v>25821</v>
      </c>
      <c r="I561" s="67"/>
      <c r="J561" s="67"/>
      <c r="K561" s="67"/>
      <c r="L561" s="67"/>
      <c r="M561" s="67"/>
      <c r="N561" s="67"/>
      <c r="O561" s="67"/>
      <c r="P561" s="67"/>
      <c r="Q561" s="67"/>
      <c r="R561" s="67"/>
      <c r="S561" s="67"/>
      <c r="T561" s="67"/>
      <c r="U561" s="67"/>
      <c r="V561" s="67"/>
      <c r="W561" s="67"/>
      <c r="X561" s="67"/>
      <c r="Y561" s="67"/>
      <c r="Z561" s="67"/>
    </row>
    <row r="562" spans="1:26" ht="12.5">
      <c r="A562" s="68" t="s">
        <v>1220</v>
      </c>
      <c r="B562" s="68" t="s">
        <v>1363</v>
      </c>
      <c r="C562" s="68" t="s">
        <v>434</v>
      </c>
      <c r="D562" s="68" t="s">
        <v>20</v>
      </c>
      <c r="E562" s="69">
        <v>2020</v>
      </c>
      <c r="F562" s="69">
        <v>20</v>
      </c>
      <c r="G562" s="69">
        <v>356.5</v>
      </c>
      <c r="H562" s="69">
        <v>45406</v>
      </c>
      <c r="I562" s="67"/>
      <c r="J562" s="67"/>
      <c r="K562" s="67"/>
      <c r="L562" s="67"/>
      <c r="M562" s="67"/>
      <c r="N562" s="67"/>
      <c r="O562" s="67"/>
      <c r="P562" s="67"/>
      <c r="Q562" s="67"/>
      <c r="R562" s="67"/>
      <c r="S562" s="67"/>
      <c r="T562" s="67"/>
      <c r="U562" s="67"/>
      <c r="V562" s="67"/>
      <c r="W562" s="67"/>
      <c r="X562" s="67"/>
      <c r="Y562" s="67"/>
      <c r="Z562" s="67"/>
    </row>
    <row r="563" spans="1:26" ht="12.5">
      <c r="A563" s="68" t="s">
        <v>1220</v>
      </c>
      <c r="B563" s="68" t="s">
        <v>1363</v>
      </c>
      <c r="C563" s="68" t="s">
        <v>1368</v>
      </c>
      <c r="D563" s="68" t="s">
        <v>20</v>
      </c>
      <c r="E563" s="69">
        <v>2020</v>
      </c>
      <c r="F563" s="69">
        <v>36</v>
      </c>
      <c r="G563" s="69">
        <v>671.4</v>
      </c>
      <c r="H563" s="69">
        <v>26849</v>
      </c>
      <c r="I563" s="67"/>
      <c r="J563" s="67"/>
      <c r="K563" s="67"/>
      <c r="L563" s="67"/>
      <c r="M563" s="67"/>
      <c r="N563" s="67"/>
      <c r="O563" s="67"/>
      <c r="P563" s="67"/>
      <c r="Q563" s="67"/>
      <c r="R563" s="67"/>
      <c r="S563" s="67"/>
      <c r="T563" s="67"/>
      <c r="U563" s="67"/>
      <c r="V563" s="67"/>
      <c r="W563" s="67"/>
      <c r="X563" s="67"/>
      <c r="Y563" s="67"/>
      <c r="Z563" s="67"/>
    </row>
    <row r="564" spans="1:26" ht="12.5">
      <c r="A564" s="68" t="s">
        <v>1220</v>
      </c>
      <c r="B564" s="68" t="s">
        <v>1363</v>
      </c>
      <c r="C564" s="68" t="s">
        <v>1371</v>
      </c>
      <c r="D564" s="68" t="s">
        <v>32</v>
      </c>
      <c r="E564" s="69">
        <v>2020</v>
      </c>
      <c r="F564" s="69">
        <v>13</v>
      </c>
      <c r="G564" s="69">
        <v>168.6</v>
      </c>
      <c r="H564" s="69">
        <v>5646</v>
      </c>
      <c r="I564" s="67"/>
      <c r="J564" s="67"/>
      <c r="K564" s="67"/>
      <c r="L564" s="67"/>
      <c r="M564" s="67"/>
      <c r="N564" s="67"/>
      <c r="O564" s="67"/>
      <c r="P564" s="67"/>
      <c r="Q564" s="67"/>
      <c r="R564" s="67"/>
      <c r="S564" s="67"/>
      <c r="T564" s="67"/>
      <c r="U564" s="67"/>
      <c r="V564" s="67"/>
      <c r="W564" s="67"/>
      <c r="X564" s="67"/>
      <c r="Y564" s="67"/>
      <c r="Z564" s="67"/>
    </row>
    <row r="565" spans="1:26" ht="12.5">
      <c r="A565" s="68" t="s">
        <v>1220</v>
      </c>
      <c r="B565" s="68" t="s">
        <v>1363</v>
      </c>
      <c r="C565" s="68" t="s">
        <v>1374</v>
      </c>
      <c r="D565" s="68" t="s">
        <v>20</v>
      </c>
      <c r="E565" s="69">
        <v>2020</v>
      </c>
      <c r="F565" s="69">
        <v>40</v>
      </c>
      <c r="G565" s="69">
        <v>797.5</v>
      </c>
      <c r="H565" s="69">
        <v>32037</v>
      </c>
      <c r="I565" s="67"/>
      <c r="J565" s="67"/>
      <c r="K565" s="67"/>
      <c r="L565" s="67"/>
      <c r="M565" s="67"/>
      <c r="N565" s="67"/>
      <c r="O565" s="67"/>
      <c r="P565" s="67"/>
      <c r="Q565" s="67"/>
      <c r="R565" s="67"/>
      <c r="S565" s="67"/>
      <c r="T565" s="67"/>
      <c r="U565" s="67"/>
      <c r="V565" s="67"/>
      <c r="W565" s="67"/>
      <c r="X565" s="67"/>
      <c r="Y565" s="67"/>
      <c r="Z565" s="67"/>
    </row>
    <row r="566" spans="1:26" ht="12.5">
      <c r="A566" s="68" t="s">
        <v>1220</v>
      </c>
      <c r="B566" s="68" t="s">
        <v>1363</v>
      </c>
      <c r="C566" s="68" t="s">
        <v>305</v>
      </c>
      <c r="D566" s="68" t="s">
        <v>20</v>
      </c>
      <c r="E566" s="69">
        <v>2020</v>
      </c>
      <c r="F566" s="69">
        <v>25</v>
      </c>
      <c r="G566" s="69">
        <v>396.8</v>
      </c>
      <c r="H566" s="69">
        <v>42639</v>
      </c>
      <c r="I566" s="67"/>
      <c r="J566" s="67"/>
      <c r="K566" s="67"/>
      <c r="L566" s="67"/>
      <c r="M566" s="67"/>
      <c r="N566" s="67"/>
      <c r="O566" s="67"/>
      <c r="P566" s="67"/>
      <c r="Q566" s="67"/>
      <c r="R566" s="67"/>
      <c r="S566" s="67"/>
      <c r="T566" s="67"/>
      <c r="U566" s="67"/>
      <c r="V566" s="67"/>
      <c r="W566" s="67"/>
      <c r="X566" s="67"/>
      <c r="Y566" s="67"/>
      <c r="Z566" s="67"/>
    </row>
    <row r="567" spans="1:26" ht="12.5">
      <c r="A567" s="68" t="s">
        <v>1220</v>
      </c>
      <c r="B567" s="68" t="s">
        <v>1363</v>
      </c>
      <c r="C567" s="68" t="s">
        <v>1378</v>
      </c>
      <c r="D567" s="68" t="s">
        <v>20</v>
      </c>
      <c r="E567" s="69">
        <v>2020</v>
      </c>
      <c r="F567" s="69">
        <v>24</v>
      </c>
      <c r="G567" s="69">
        <v>430.2</v>
      </c>
      <c r="H567" s="69">
        <v>14425</v>
      </c>
      <c r="I567" s="67"/>
      <c r="J567" s="67"/>
      <c r="K567" s="67"/>
      <c r="L567" s="67"/>
      <c r="M567" s="67"/>
      <c r="N567" s="67"/>
      <c r="O567" s="67"/>
      <c r="P567" s="67"/>
      <c r="Q567" s="67"/>
      <c r="R567" s="67"/>
      <c r="S567" s="67"/>
      <c r="T567" s="67"/>
      <c r="U567" s="67"/>
      <c r="V567" s="67"/>
      <c r="W567" s="67"/>
      <c r="X567" s="67"/>
      <c r="Y567" s="67"/>
      <c r="Z567" s="67"/>
    </row>
    <row r="568" spans="1:26" ht="12.5">
      <c r="A568" s="68" t="s">
        <v>1220</v>
      </c>
      <c r="B568" s="68" t="s">
        <v>1363</v>
      </c>
      <c r="C568" s="68" t="s">
        <v>462</v>
      </c>
      <c r="D568" s="68" t="s">
        <v>20</v>
      </c>
      <c r="E568" s="69">
        <v>2020</v>
      </c>
      <c r="F568" s="69">
        <v>8</v>
      </c>
      <c r="G568" s="69">
        <v>206.7</v>
      </c>
      <c r="H568" s="69">
        <v>20806</v>
      </c>
      <c r="I568" s="67"/>
      <c r="J568" s="67"/>
      <c r="K568" s="67"/>
      <c r="L568" s="67"/>
      <c r="M568" s="67"/>
      <c r="N568" s="67"/>
      <c r="O568" s="67"/>
      <c r="P568" s="67"/>
      <c r="Q568" s="67"/>
      <c r="R568" s="67"/>
      <c r="S568" s="67"/>
      <c r="T568" s="67"/>
      <c r="U568" s="67"/>
      <c r="V568" s="67"/>
      <c r="W568" s="67"/>
      <c r="X568" s="67"/>
      <c r="Y568" s="67"/>
      <c r="Z568" s="67"/>
    </row>
    <row r="569" spans="1:26" ht="12.5">
      <c r="A569" s="68" t="s">
        <v>1220</v>
      </c>
      <c r="B569" s="68" t="s">
        <v>1363</v>
      </c>
      <c r="C569" s="68" t="s">
        <v>1383</v>
      </c>
      <c r="D569" s="68" t="s">
        <v>28</v>
      </c>
      <c r="E569" s="69">
        <v>2020</v>
      </c>
      <c r="F569" s="69">
        <v>8</v>
      </c>
      <c r="G569" s="69">
        <v>115</v>
      </c>
      <c r="H569" s="69">
        <v>15200</v>
      </c>
      <c r="I569" s="67"/>
      <c r="J569" s="67"/>
      <c r="K569" s="67"/>
      <c r="L569" s="67"/>
      <c r="M569" s="67"/>
      <c r="N569" s="67"/>
      <c r="O569" s="67"/>
      <c r="P569" s="67"/>
      <c r="Q569" s="67"/>
      <c r="R569" s="67"/>
      <c r="S569" s="67"/>
      <c r="T569" s="67"/>
      <c r="U569" s="67"/>
      <c r="V569" s="67"/>
      <c r="W569" s="67"/>
      <c r="X569" s="67"/>
      <c r="Y569" s="67"/>
      <c r="Z569" s="67"/>
    </row>
    <row r="570" spans="1:26" ht="12.5">
      <c r="A570" s="68" t="s">
        <v>1220</v>
      </c>
      <c r="B570" s="68" t="s">
        <v>1386</v>
      </c>
      <c r="C570" s="68" t="s">
        <v>1387</v>
      </c>
      <c r="D570" s="68" t="s">
        <v>28</v>
      </c>
      <c r="E570" s="69">
        <v>2020</v>
      </c>
      <c r="F570" s="69">
        <v>15</v>
      </c>
      <c r="G570" s="69">
        <v>279.5</v>
      </c>
      <c r="H570" s="69">
        <v>6073</v>
      </c>
      <c r="I570" s="67"/>
      <c r="J570" s="67"/>
      <c r="K570" s="67"/>
      <c r="L570" s="67"/>
      <c r="M570" s="67"/>
      <c r="N570" s="67"/>
      <c r="O570" s="67"/>
      <c r="P570" s="67"/>
      <c r="Q570" s="67"/>
      <c r="R570" s="67"/>
      <c r="S570" s="67"/>
      <c r="T570" s="67"/>
      <c r="U570" s="67"/>
      <c r="V570" s="67"/>
      <c r="W570" s="67"/>
      <c r="X570" s="67"/>
      <c r="Y570" s="67"/>
      <c r="Z570" s="67"/>
    </row>
    <row r="571" spans="1:26" ht="12.5">
      <c r="A571" s="68" t="s">
        <v>1220</v>
      </c>
      <c r="B571" s="68" t="s">
        <v>1386</v>
      </c>
      <c r="C571" s="68" t="s">
        <v>1390</v>
      </c>
      <c r="D571" s="68" t="s">
        <v>20</v>
      </c>
      <c r="E571" s="69">
        <v>2020</v>
      </c>
      <c r="F571" s="69">
        <v>11</v>
      </c>
      <c r="G571" s="69">
        <v>207.8</v>
      </c>
      <c r="H571" s="69">
        <v>53620</v>
      </c>
      <c r="I571" s="67"/>
      <c r="J571" s="67"/>
      <c r="K571" s="67"/>
      <c r="L571" s="67"/>
      <c r="M571" s="67"/>
      <c r="N571" s="67"/>
      <c r="O571" s="67"/>
      <c r="P571" s="67"/>
      <c r="Q571" s="67"/>
      <c r="R571" s="67"/>
      <c r="S571" s="67"/>
      <c r="T571" s="67"/>
      <c r="U571" s="67"/>
      <c r="V571" s="67"/>
      <c r="W571" s="67"/>
      <c r="X571" s="67"/>
      <c r="Y571" s="67"/>
      <c r="Z571" s="67"/>
    </row>
    <row r="572" spans="1:26" ht="12.5">
      <c r="A572" s="68" t="s">
        <v>1220</v>
      </c>
      <c r="B572" s="68" t="s">
        <v>1386</v>
      </c>
      <c r="C572" s="68" t="s">
        <v>1393</v>
      </c>
      <c r="D572" s="68" t="s">
        <v>28</v>
      </c>
      <c r="E572" s="69">
        <v>2020</v>
      </c>
      <c r="F572" s="69">
        <v>3</v>
      </c>
      <c r="G572" s="69">
        <v>36.6</v>
      </c>
      <c r="H572" s="69">
        <v>9417</v>
      </c>
      <c r="I572" s="67"/>
      <c r="J572" s="67"/>
      <c r="K572" s="67"/>
      <c r="L572" s="67"/>
      <c r="M572" s="67"/>
      <c r="N572" s="67"/>
      <c r="O572" s="67"/>
      <c r="P572" s="67"/>
      <c r="Q572" s="67"/>
      <c r="R572" s="67"/>
      <c r="S572" s="67"/>
      <c r="T572" s="67"/>
      <c r="U572" s="67"/>
      <c r="V572" s="67"/>
      <c r="W572" s="67"/>
      <c r="X572" s="67"/>
      <c r="Y572" s="67"/>
      <c r="Z572" s="67"/>
    </row>
    <row r="573" spans="1:26" ht="12.5">
      <c r="A573" s="68" t="s">
        <v>1220</v>
      </c>
      <c r="B573" s="68" t="s">
        <v>1386</v>
      </c>
      <c r="C573" s="68" t="s">
        <v>1396</v>
      </c>
      <c r="D573" s="68" t="s">
        <v>32</v>
      </c>
      <c r="E573" s="69">
        <v>2020</v>
      </c>
      <c r="F573" s="69">
        <v>13</v>
      </c>
      <c r="G573" s="69">
        <v>96.6</v>
      </c>
      <c r="H573" s="69">
        <v>12776</v>
      </c>
      <c r="I573" s="67"/>
      <c r="J573" s="67"/>
      <c r="K573" s="67"/>
      <c r="L573" s="67"/>
      <c r="M573" s="67"/>
      <c r="N573" s="67"/>
      <c r="O573" s="67"/>
      <c r="P573" s="67"/>
      <c r="Q573" s="67"/>
      <c r="R573" s="67"/>
      <c r="S573" s="67"/>
      <c r="T573" s="67"/>
      <c r="U573" s="67"/>
      <c r="V573" s="67"/>
      <c r="W573" s="67"/>
      <c r="X573" s="67"/>
      <c r="Y573" s="67"/>
      <c r="Z573" s="67"/>
    </row>
    <row r="574" spans="1:26" ht="12.5">
      <c r="A574" s="68" t="s">
        <v>1220</v>
      </c>
      <c r="B574" s="68" t="s">
        <v>1386</v>
      </c>
      <c r="C574" s="68" t="s">
        <v>158</v>
      </c>
      <c r="D574" s="68" t="s">
        <v>32</v>
      </c>
      <c r="E574" s="69">
        <v>2020</v>
      </c>
      <c r="F574" s="69">
        <v>15</v>
      </c>
      <c r="G574" s="69">
        <v>193.3</v>
      </c>
      <c r="H574" s="69">
        <v>15777</v>
      </c>
      <c r="I574" s="67"/>
      <c r="J574" s="67"/>
      <c r="K574" s="67"/>
      <c r="L574" s="67"/>
      <c r="M574" s="67"/>
      <c r="N574" s="67"/>
      <c r="O574" s="67"/>
      <c r="P574" s="67"/>
      <c r="Q574" s="67"/>
      <c r="R574" s="67"/>
      <c r="S574" s="67"/>
      <c r="T574" s="67"/>
      <c r="U574" s="67"/>
      <c r="V574" s="67"/>
      <c r="W574" s="67"/>
      <c r="X574" s="67"/>
      <c r="Y574" s="67"/>
      <c r="Z574" s="67"/>
    </row>
    <row r="575" spans="1:26" ht="12.5">
      <c r="A575" s="68" t="s">
        <v>1220</v>
      </c>
      <c r="B575" s="68" t="s">
        <v>1386</v>
      </c>
      <c r="C575" s="68" t="s">
        <v>1398</v>
      </c>
      <c r="D575" s="68" t="s">
        <v>32</v>
      </c>
      <c r="E575" s="69">
        <v>2020</v>
      </c>
      <c r="F575" s="69">
        <v>15</v>
      </c>
      <c r="G575" s="69">
        <v>334.9</v>
      </c>
      <c r="H575" s="69">
        <v>8050</v>
      </c>
      <c r="I575" s="67"/>
      <c r="J575" s="67"/>
      <c r="K575" s="67"/>
      <c r="L575" s="67"/>
      <c r="M575" s="67"/>
      <c r="N575" s="67"/>
      <c r="O575" s="67"/>
      <c r="P575" s="67"/>
      <c r="Q575" s="67"/>
      <c r="R575" s="67"/>
      <c r="S575" s="67"/>
      <c r="T575" s="67"/>
      <c r="U575" s="67"/>
      <c r="V575" s="67"/>
      <c r="W575" s="67"/>
      <c r="X575" s="67"/>
      <c r="Y575" s="67"/>
      <c r="Z575" s="67"/>
    </row>
    <row r="576" spans="1:26" ht="12.5">
      <c r="A576" s="68" t="s">
        <v>1220</v>
      </c>
      <c r="B576" s="68" t="s">
        <v>1386</v>
      </c>
      <c r="C576" s="68" t="s">
        <v>1401</v>
      </c>
      <c r="D576" s="68" t="s">
        <v>28</v>
      </c>
      <c r="E576" s="69">
        <v>2020</v>
      </c>
      <c r="F576" s="69">
        <v>17</v>
      </c>
      <c r="G576" s="69">
        <v>262</v>
      </c>
      <c r="H576" s="69">
        <v>3957</v>
      </c>
      <c r="I576" s="67"/>
      <c r="J576" s="67"/>
      <c r="K576" s="67"/>
      <c r="L576" s="67"/>
      <c r="M576" s="67"/>
      <c r="N576" s="67"/>
      <c r="O576" s="67"/>
      <c r="P576" s="67"/>
      <c r="Q576" s="67"/>
      <c r="R576" s="67"/>
      <c r="S576" s="67"/>
      <c r="T576" s="67"/>
      <c r="U576" s="67"/>
      <c r="V576" s="67"/>
      <c r="W576" s="67"/>
      <c r="X576" s="67"/>
      <c r="Y576" s="67"/>
      <c r="Z576" s="67"/>
    </row>
    <row r="577" spans="1:26" ht="12.5">
      <c r="A577" s="68" t="s">
        <v>1220</v>
      </c>
      <c r="B577" s="68" t="s">
        <v>1386</v>
      </c>
      <c r="C577" s="68" t="s">
        <v>1403</v>
      </c>
      <c r="D577" s="68" t="s">
        <v>20</v>
      </c>
      <c r="E577" s="69">
        <v>2020</v>
      </c>
      <c r="F577" s="69">
        <v>18</v>
      </c>
      <c r="G577" s="69">
        <v>336.2</v>
      </c>
      <c r="H577" s="69">
        <v>62720</v>
      </c>
      <c r="I577" s="67"/>
      <c r="J577" s="67"/>
      <c r="K577" s="67"/>
      <c r="L577" s="67"/>
      <c r="M577" s="67"/>
      <c r="N577" s="67"/>
      <c r="O577" s="67"/>
      <c r="P577" s="67"/>
      <c r="Q577" s="67"/>
      <c r="R577" s="67"/>
      <c r="S577" s="67"/>
      <c r="T577" s="67"/>
      <c r="U577" s="67"/>
      <c r="V577" s="67"/>
      <c r="W577" s="67"/>
      <c r="X577" s="67"/>
      <c r="Y577" s="67"/>
      <c r="Z577" s="67"/>
    </row>
    <row r="578" spans="1:26" ht="12.5">
      <c r="A578" s="68" t="s">
        <v>1220</v>
      </c>
      <c r="B578" s="68" t="s">
        <v>1386</v>
      </c>
      <c r="C578" s="68" t="s">
        <v>1406</v>
      </c>
      <c r="D578" s="68" t="s">
        <v>32</v>
      </c>
      <c r="E578" s="69">
        <v>2020</v>
      </c>
      <c r="F578" s="69">
        <v>2</v>
      </c>
      <c r="G578" s="69">
        <v>12.8</v>
      </c>
      <c r="H578" s="69">
        <v>11404</v>
      </c>
      <c r="I578" s="67"/>
      <c r="J578" s="67"/>
      <c r="K578" s="67"/>
      <c r="L578" s="67"/>
      <c r="M578" s="67"/>
      <c r="N578" s="67"/>
      <c r="O578" s="67"/>
      <c r="P578" s="67"/>
      <c r="Q578" s="67"/>
      <c r="R578" s="67"/>
      <c r="S578" s="67"/>
      <c r="T578" s="67"/>
      <c r="U578" s="67"/>
      <c r="V578" s="67"/>
      <c r="W578" s="67"/>
      <c r="X578" s="67"/>
      <c r="Y578" s="67"/>
      <c r="Z578" s="67"/>
    </row>
    <row r="579" spans="1:26" ht="12.5">
      <c r="A579" s="68" t="s">
        <v>1409</v>
      </c>
      <c r="B579" s="68" t="s">
        <v>1410</v>
      </c>
      <c r="C579" s="68" t="s">
        <v>936</v>
      </c>
      <c r="D579" s="68" t="s">
        <v>20</v>
      </c>
      <c r="E579" s="69">
        <v>2020</v>
      </c>
      <c r="F579" s="69">
        <v>27</v>
      </c>
      <c r="G579" s="69">
        <v>702.9</v>
      </c>
      <c r="H579" s="69">
        <v>21499</v>
      </c>
      <c r="I579" s="67"/>
      <c r="J579" s="67"/>
      <c r="K579" s="67"/>
      <c r="L579" s="67"/>
      <c r="M579" s="67"/>
      <c r="N579" s="67"/>
      <c r="O579" s="67"/>
      <c r="P579" s="67"/>
      <c r="Q579" s="67"/>
      <c r="R579" s="67"/>
      <c r="S579" s="67"/>
      <c r="T579" s="67"/>
      <c r="U579" s="67"/>
      <c r="V579" s="67"/>
      <c r="W579" s="67"/>
      <c r="X579" s="67"/>
      <c r="Y579" s="67"/>
      <c r="Z579" s="67"/>
    </row>
    <row r="580" spans="1:26" ht="12.5">
      <c r="A580" s="68" t="s">
        <v>1409</v>
      </c>
      <c r="B580" s="68" t="s">
        <v>1410</v>
      </c>
      <c r="C580" s="68" t="s">
        <v>622</v>
      </c>
      <c r="D580" s="68" t="s">
        <v>32</v>
      </c>
      <c r="E580" s="69">
        <v>2020</v>
      </c>
      <c r="F580" s="69">
        <v>23</v>
      </c>
      <c r="G580" s="69">
        <v>589.9</v>
      </c>
      <c r="H580" s="69">
        <v>11137</v>
      </c>
      <c r="I580" s="67"/>
      <c r="J580" s="67"/>
      <c r="K580" s="67"/>
      <c r="L580" s="67"/>
      <c r="M580" s="67"/>
      <c r="N580" s="67"/>
      <c r="O580" s="67"/>
      <c r="P580" s="67"/>
      <c r="Q580" s="67"/>
      <c r="R580" s="67"/>
      <c r="S580" s="67"/>
      <c r="T580" s="67"/>
      <c r="U580" s="67"/>
      <c r="V580" s="67"/>
      <c r="W580" s="67"/>
      <c r="X580" s="67"/>
      <c r="Y580" s="67"/>
      <c r="Z580" s="67"/>
    </row>
    <row r="581" spans="1:26" ht="12.5">
      <c r="A581" s="68" t="s">
        <v>1409</v>
      </c>
      <c r="B581" s="68" t="s">
        <v>1410</v>
      </c>
      <c r="C581" s="68" t="s">
        <v>1415</v>
      </c>
      <c r="D581" s="68" t="s">
        <v>20</v>
      </c>
      <c r="E581" s="69">
        <v>2020</v>
      </c>
      <c r="F581" s="69">
        <v>17</v>
      </c>
      <c r="G581" s="69">
        <v>440.2</v>
      </c>
      <c r="H581" s="69">
        <v>24710</v>
      </c>
      <c r="I581" s="67"/>
      <c r="J581" s="67"/>
      <c r="K581" s="67"/>
      <c r="L581" s="67"/>
      <c r="M581" s="67"/>
      <c r="N581" s="67"/>
      <c r="O581" s="67"/>
      <c r="P581" s="67"/>
      <c r="Q581" s="67"/>
      <c r="R581" s="67"/>
      <c r="S581" s="67"/>
      <c r="T581" s="67"/>
      <c r="U581" s="67"/>
      <c r="V581" s="67"/>
      <c r="W581" s="67"/>
      <c r="X581" s="67"/>
      <c r="Y581" s="67"/>
      <c r="Z581" s="67"/>
    </row>
    <row r="582" spans="1:26" ht="12.5">
      <c r="A582" s="68" t="s">
        <v>1409</v>
      </c>
      <c r="B582" s="68" t="s">
        <v>1410</v>
      </c>
      <c r="C582" s="68" t="s">
        <v>1418</v>
      </c>
      <c r="D582" s="68" t="s">
        <v>32</v>
      </c>
      <c r="E582" s="69">
        <v>2020</v>
      </c>
      <c r="F582" s="69">
        <v>32</v>
      </c>
      <c r="G582" s="69">
        <v>663.4</v>
      </c>
      <c r="H582" s="69">
        <v>16234</v>
      </c>
      <c r="I582" s="67"/>
      <c r="J582" s="67"/>
      <c r="K582" s="67"/>
      <c r="L582" s="67"/>
      <c r="M582" s="67"/>
      <c r="N582" s="67"/>
      <c r="O582" s="67"/>
      <c r="P582" s="67"/>
      <c r="Q582" s="67"/>
      <c r="R582" s="67"/>
      <c r="S582" s="67"/>
      <c r="T582" s="67"/>
      <c r="U582" s="67"/>
      <c r="V582" s="67"/>
      <c r="W582" s="67"/>
      <c r="X582" s="67"/>
      <c r="Y582" s="67"/>
      <c r="Z582" s="67"/>
    </row>
    <row r="583" spans="1:26" ht="12.5">
      <c r="A583" s="68" t="s">
        <v>1409</v>
      </c>
      <c r="B583" s="68" t="s">
        <v>1410</v>
      </c>
      <c r="C583" s="68" t="s">
        <v>1421</v>
      </c>
      <c r="D583" s="68" t="s">
        <v>32</v>
      </c>
      <c r="E583" s="69">
        <v>2020</v>
      </c>
      <c r="F583" s="69">
        <v>12</v>
      </c>
      <c r="G583" s="69">
        <v>256</v>
      </c>
      <c r="H583" s="69">
        <v>10961</v>
      </c>
      <c r="I583" s="67"/>
      <c r="J583" s="67"/>
      <c r="K583" s="67"/>
      <c r="L583" s="67"/>
      <c r="M583" s="67"/>
      <c r="N583" s="67"/>
      <c r="O583" s="67"/>
      <c r="P583" s="67"/>
      <c r="Q583" s="67"/>
      <c r="R583" s="67"/>
      <c r="S583" s="67"/>
      <c r="T583" s="67"/>
      <c r="U583" s="67"/>
      <c r="V583" s="67"/>
      <c r="W583" s="67"/>
      <c r="X583" s="67"/>
      <c r="Y583" s="67"/>
      <c r="Z583" s="67"/>
    </row>
    <row r="584" spans="1:26" ht="12.5">
      <c r="A584" s="68" t="s">
        <v>1409</v>
      </c>
      <c r="B584" s="68" t="s">
        <v>1410</v>
      </c>
      <c r="C584" s="68" t="s">
        <v>1424</v>
      </c>
      <c r="D584" s="68" t="s">
        <v>28</v>
      </c>
      <c r="E584" s="69">
        <v>2020</v>
      </c>
      <c r="F584" s="69">
        <v>13</v>
      </c>
      <c r="G584" s="69">
        <v>270.8</v>
      </c>
      <c r="H584" s="69">
        <v>4232</v>
      </c>
      <c r="I584" s="67"/>
      <c r="J584" s="67"/>
      <c r="K584" s="67"/>
      <c r="L584" s="67"/>
      <c r="M584" s="67"/>
      <c r="N584" s="67"/>
      <c r="O584" s="67"/>
      <c r="P584" s="67"/>
      <c r="Q584" s="67"/>
      <c r="R584" s="67"/>
      <c r="S584" s="67"/>
      <c r="T584" s="67"/>
      <c r="U584" s="67"/>
      <c r="V584" s="67"/>
      <c r="W584" s="67"/>
      <c r="X584" s="67"/>
      <c r="Y584" s="67"/>
      <c r="Z584" s="67"/>
    </row>
    <row r="585" spans="1:26" ht="12.5">
      <c r="A585" s="68" t="s">
        <v>1409</v>
      </c>
      <c r="B585" s="68" t="s">
        <v>1410</v>
      </c>
      <c r="C585" s="68" t="s">
        <v>1427</v>
      </c>
      <c r="D585" s="68" t="s">
        <v>32</v>
      </c>
      <c r="E585" s="69">
        <v>2020</v>
      </c>
      <c r="F585" s="69">
        <v>21</v>
      </c>
      <c r="G585" s="69">
        <v>487.6</v>
      </c>
      <c r="H585" s="69">
        <v>12455</v>
      </c>
      <c r="I585" s="67"/>
      <c r="J585" s="67"/>
      <c r="K585" s="67"/>
      <c r="L585" s="67"/>
      <c r="M585" s="67"/>
      <c r="N585" s="67"/>
      <c r="O585" s="67"/>
      <c r="P585" s="67"/>
      <c r="Q585" s="67"/>
      <c r="R585" s="67"/>
      <c r="S585" s="67"/>
      <c r="T585" s="67"/>
      <c r="U585" s="67"/>
      <c r="V585" s="67"/>
      <c r="W585" s="67"/>
      <c r="X585" s="67"/>
      <c r="Y585" s="67"/>
      <c r="Z585" s="67"/>
    </row>
    <row r="586" spans="1:26" ht="12.5">
      <c r="A586" s="68" t="s">
        <v>1409</v>
      </c>
      <c r="B586" s="68" t="s">
        <v>1410</v>
      </c>
      <c r="C586" s="68" t="s">
        <v>1430</v>
      </c>
      <c r="D586" s="68" t="s">
        <v>28</v>
      </c>
      <c r="E586" s="69">
        <v>2020</v>
      </c>
      <c r="F586" s="69">
        <v>10</v>
      </c>
      <c r="G586" s="69">
        <v>190.2</v>
      </c>
      <c r="H586" s="69">
        <v>4499</v>
      </c>
      <c r="I586" s="67"/>
      <c r="J586" s="67"/>
      <c r="K586" s="67"/>
      <c r="L586" s="67"/>
      <c r="M586" s="67"/>
      <c r="N586" s="67"/>
      <c r="O586" s="67"/>
      <c r="P586" s="67"/>
      <c r="Q586" s="67"/>
      <c r="R586" s="67"/>
      <c r="S586" s="67"/>
      <c r="T586" s="67"/>
      <c r="U586" s="67"/>
      <c r="V586" s="67"/>
      <c r="W586" s="67"/>
      <c r="X586" s="67"/>
      <c r="Y586" s="67"/>
      <c r="Z586" s="67"/>
    </row>
    <row r="587" spans="1:26" ht="12.5">
      <c r="A587" s="68" t="s">
        <v>1409</v>
      </c>
      <c r="B587" s="68" t="s">
        <v>1410</v>
      </c>
      <c r="C587" s="68" t="s">
        <v>1433</v>
      </c>
      <c r="D587" s="68" t="s">
        <v>32</v>
      </c>
      <c r="E587" s="69">
        <v>2020</v>
      </c>
      <c r="F587" s="69">
        <v>9</v>
      </c>
      <c r="G587" s="69">
        <v>195.3</v>
      </c>
      <c r="H587" s="69">
        <v>8955</v>
      </c>
      <c r="I587" s="67"/>
      <c r="J587" s="67"/>
      <c r="K587" s="67"/>
      <c r="L587" s="67"/>
      <c r="M587" s="67"/>
      <c r="N587" s="67"/>
      <c r="O587" s="67"/>
      <c r="P587" s="67"/>
      <c r="Q587" s="67"/>
      <c r="R587" s="67"/>
      <c r="S587" s="67"/>
      <c r="T587" s="67"/>
      <c r="U587" s="67"/>
      <c r="V587" s="67"/>
      <c r="W587" s="67"/>
      <c r="X587" s="67"/>
      <c r="Y587" s="67"/>
      <c r="Z587" s="67"/>
    </row>
    <row r="588" spans="1:26" ht="12.5">
      <c r="A588" s="68" t="s">
        <v>1409</v>
      </c>
      <c r="B588" s="68" t="s">
        <v>1410</v>
      </c>
      <c r="C588" s="68" t="s">
        <v>1436</v>
      </c>
      <c r="D588" s="68" t="s">
        <v>28</v>
      </c>
      <c r="E588" s="69">
        <v>2020</v>
      </c>
      <c r="F588" s="69">
        <v>17</v>
      </c>
      <c r="G588" s="69">
        <v>447.7</v>
      </c>
      <c r="H588" s="69">
        <v>6468</v>
      </c>
      <c r="I588" s="67"/>
      <c r="J588" s="67"/>
      <c r="K588" s="67"/>
      <c r="L588" s="67"/>
      <c r="M588" s="67"/>
      <c r="N588" s="67"/>
      <c r="O588" s="67"/>
      <c r="P588" s="67"/>
      <c r="Q588" s="67"/>
      <c r="R588" s="67"/>
      <c r="S588" s="67"/>
      <c r="T588" s="67"/>
      <c r="U588" s="67"/>
      <c r="V588" s="67"/>
      <c r="W588" s="67"/>
      <c r="X588" s="67"/>
      <c r="Y588" s="67"/>
      <c r="Z588" s="67"/>
    </row>
    <row r="589" spans="1:26" ht="12.5">
      <c r="A589" s="68" t="s">
        <v>1409</v>
      </c>
      <c r="B589" s="68" t="s">
        <v>1439</v>
      </c>
      <c r="C589" s="68" t="s">
        <v>1440</v>
      </c>
      <c r="D589" s="68" t="s">
        <v>28</v>
      </c>
      <c r="E589" s="69">
        <v>2020</v>
      </c>
      <c r="F589" s="69">
        <v>11</v>
      </c>
      <c r="G589" s="69">
        <v>291.39999999999998</v>
      </c>
      <c r="H589" s="69">
        <v>5984</v>
      </c>
      <c r="I589" s="67"/>
      <c r="J589" s="67"/>
      <c r="K589" s="67"/>
      <c r="L589" s="67"/>
      <c r="M589" s="67"/>
      <c r="N589" s="67"/>
      <c r="O589" s="67"/>
      <c r="P589" s="67"/>
      <c r="Q589" s="67"/>
      <c r="R589" s="67"/>
      <c r="S589" s="67"/>
      <c r="T589" s="67"/>
      <c r="U589" s="67"/>
      <c r="V589" s="67"/>
      <c r="W589" s="67"/>
      <c r="X589" s="67"/>
      <c r="Y589" s="67"/>
      <c r="Z589" s="67"/>
    </row>
    <row r="590" spans="1:26" ht="12.5">
      <c r="A590" s="68" t="s">
        <v>1409</v>
      </c>
      <c r="B590" s="68" t="s">
        <v>1439</v>
      </c>
      <c r="C590" s="68" t="s">
        <v>1443</v>
      </c>
      <c r="D590" s="68" t="s">
        <v>20</v>
      </c>
      <c r="E590" s="69">
        <v>2020</v>
      </c>
      <c r="F590" s="69">
        <v>9</v>
      </c>
      <c r="G590" s="69">
        <v>194.7</v>
      </c>
      <c r="H590" s="69">
        <v>11338</v>
      </c>
      <c r="I590" s="67"/>
      <c r="J590" s="67"/>
      <c r="K590" s="67"/>
      <c r="L590" s="67"/>
      <c r="M590" s="67"/>
      <c r="N590" s="67"/>
      <c r="O590" s="67"/>
      <c r="P590" s="67"/>
      <c r="Q590" s="67"/>
      <c r="R590" s="67"/>
      <c r="S590" s="67"/>
      <c r="T590" s="67"/>
      <c r="U590" s="67"/>
      <c r="V590" s="67"/>
      <c r="W590" s="67"/>
      <c r="X590" s="67"/>
      <c r="Y590" s="67"/>
      <c r="Z590" s="67"/>
    </row>
    <row r="591" spans="1:26" ht="12.5">
      <c r="A591" s="68" t="s">
        <v>1409</v>
      </c>
      <c r="B591" s="68" t="s">
        <v>1439</v>
      </c>
      <c r="C591" s="68" t="s">
        <v>1445</v>
      </c>
      <c r="D591" s="68" t="s">
        <v>28</v>
      </c>
      <c r="E591" s="69">
        <v>2020</v>
      </c>
      <c r="F591" s="69">
        <v>11</v>
      </c>
      <c r="G591" s="69">
        <v>223.7</v>
      </c>
      <c r="H591" s="69">
        <v>6183</v>
      </c>
      <c r="I591" s="67"/>
      <c r="J591" s="67"/>
      <c r="K591" s="67"/>
      <c r="L591" s="67"/>
      <c r="M591" s="67"/>
      <c r="N591" s="67"/>
      <c r="O591" s="67"/>
      <c r="P591" s="67"/>
      <c r="Q591" s="67"/>
      <c r="R591" s="67"/>
      <c r="S591" s="67"/>
      <c r="T591" s="67"/>
      <c r="U591" s="67"/>
      <c r="V591" s="67"/>
      <c r="W591" s="67"/>
      <c r="X591" s="67"/>
      <c r="Y591" s="67"/>
      <c r="Z591" s="67"/>
    </row>
    <row r="592" spans="1:26" ht="12.5">
      <c r="A592" s="68" t="s">
        <v>1409</v>
      </c>
      <c r="B592" s="68" t="s">
        <v>1439</v>
      </c>
      <c r="C592" s="68" t="s">
        <v>1447</v>
      </c>
      <c r="D592" s="68" t="s">
        <v>28</v>
      </c>
      <c r="E592" s="69">
        <v>2020</v>
      </c>
      <c r="F592" s="69">
        <v>16</v>
      </c>
      <c r="G592" s="69">
        <v>628.70000000000005</v>
      </c>
      <c r="H592" s="69">
        <v>5596</v>
      </c>
      <c r="I592" s="67"/>
      <c r="J592" s="67"/>
      <c r="K592" s="67"/>
      <c r="L592" s="67"/>
      <c r="M592" s="67"/>
      <c r="N592" s="67"/>
      <c r="O592" s="67"/>
      <c r="P592" s="67"/>
      <c r="Q592" s="67"/>
      <c r="R592" s="67"/>
      <c r="S592" s="67"/>
      <c r="T592" s="67"/>
      <c r="U592" s="67"/>
      <c r="V592" s="67"/>
      <c r="W592" s="67"/>
      <c r="X592" s="67"/>
      <c r="Y592" s="67"/>
      <c r="Z592" s="67"/>
    </row>
    <row r="593" spans="1:26" ht="12.5">
      <c r="A593" s="68" t="s">
        <v>1409</v>
      </c>
      <c r="B593" s="68" t="s">
        <v>1439</v>
      </c>
      <c r="C593" s="68" t="s">
        <v>1291</v>
      </c>
      <c r="D593" s="68" t="s">
        <v>28</v>
      </c>
      <c r="E593" s="69">
        <v>2020</v>
      </c>
      <c r="F593" s="69">
        <v>14</v>
      </c>
      <c r="G593" s="69">
        <v>545.70000000000005</v>
      </c>
      <c r="H593" s="69">
        <v>6460</v>
      </c>
      <c r="I593" s="67"/>
      <c r="J593" s="67"/>
      <c r="K593" s="67"/>
      <c r="L593" s="67"/>
      <c r="M593" s="67"/>
      <c r="N593" s="67"/>
      <c r="O593" s="67"/>
      <c r="P593" s="67"/>
      <c r="Q593" s="67"/>
      <c r="R593" s="67"/>
      <c r="S593" s="67"/>
      <c r="T593" s="67"/>
      <c r="U593" s="67"/>
      <c r="V593" s="67"/>
      <c r="W593" s="67"/>
      <c r="X593" s="67"/>
      <c r="Y593" s="67"/>
      <c r="Z593" s="67"/>
    </row>
    <row r="594" spans="1:26" ht="12.5">
      <c r="A594" s="68" t="s">
        <v>1409</v>
      </c>
      <c r="B594" s="68" t="s">
        <v>1439</v>
      </c>
      <c r="C594" s="68" t="s">
        <v>969</v>
      </c>
      <c r="D594" s="68" t="s">
        <v>20</v>
      </c>
      <c r="E594" s="69">
        <v>2020</v>
      </c>
      <c r="F594" s="69">
        <v>32</v>
      </c>
      <c r="G594" s="69">
        <v>649.6</v>
      </c>
      <c r="H594" s="69">
        <v>26507</v>
      </c>
      <c r="I594" s="67"/>
      <c r="J594" s="67"/>
      <c r="K594" s="67"/>
      <c r="L594" s="67"/>
      <c r="M594" s="67"/>
      <c r="N594" s="67"/>
      <c r="O594" s="67"/>
      <c r="P594" s="67"/>
      <c r="Q594" s="67"/>
      <c r="R594" s="67"/>
      <c r="S594" s="67"/>
      <c r="T594" s="67"/>
      <c r="U594" s="67"/>
      <c r="V594" s="67"/>
      <c r="W594" s="67"/>
      <c r="X594" s="67"/>
      <c r="Y594" s="67"/>
      <c r="Z594" s="67"/>
    </row>
    <row r="595" spans="1:26" ht="12.5">
      <c r="A595" s="68" t="s">
        <v>1409</v>
      </c>
      <c r="B595" s="68" t="s">
        <v>1439</v>
      </c>
      <c r="C595" s="68" t="s">
        <v>1452</v>
      </c>
      <c r="D595" s="68" t="s">
        <v>20</v>
      </c>
      <c r="E595" s="69">
        <v>2020</v>
      </c>
      <c r="F595" s="69">
        <v>6</v>
      </c>
      <c r="G595" s="69">
        <v>113.1</v>
      </c>
      <c r="H595" s="69">
        <v>28234</v>
      </c>
      <c r="I595" s="67"/>
      <c r="J595" s="67"/>
      <c r="K595" s="67"/>
      <c r="L595" s="67"/>
      <c r="M595" s="67"/>
      <c r="N595" s="67"/>
      <c r="O595" s="67"/>
      <c r="P595" s="67"/>
      <c r="Q595" s="67"/>
      <c r="R595" s="67"/>
      <c r="S595" s="67"/>
      <c r="T595" s="67"/>
      <c r="U595" s="67"/>
      <c r="V595" s="67"/>
      <c r="W595" s="67"/>
      <c r="X595" s="67"/>
      <c r="Y595" s="67"/>
      <c r="Z595" s="67"/>
    </row>
    <row r="596" spans="1:26" ht="12.5">
      <c r="A596" s="68" t="s">
        <v>1409</v>
      </c>
      <c r="B596" s="68" t="s">
        <v>1439</v>
      </c>
      <c r="C596" s="68" t="s">
        <v>1455</v>
      </c>
      <c r="D596" s="68" t="s">
        <v>28</v>
      </c>
      <c r="E596" s="69">
        <v>2020</v>
      </c>
      <c r="F596" s="69">
        <v>13</v>
      </c>
      <c r="G596" s="69">
        <v>293.7</v>
      </c>
      <c r="H596" s="69">
        <v>5606</v>
      </c>
      <c r="I596" s="67"/>
      <c r="J596" s="67"/>
      <c r="K596" s="67"/>
      <c r="L596" s="67"/>
      <c r="M596" s="67"/>
      <c r="N596" s="67"/>
      <c r="O596" s="67"/>
      <c r="P596" s="67"/>
      <c r="Q596" s="67"/>
      <c r="R596" s="67"/>
      <c r="S596" s="67"/>
      <c r="T596" s="67"/>
      <c r="U596" s="67"/>
      <c r="V596" s="67"/>
      <c r="W596" s="67"/>
      <c r="X596" s="67"/>
      <c r="Y596" s="67"/>
      <c r="Z596" s="67"/>
    </row>
    <row r="597" spans="1:26" ht="12.5">
      <c r="A597" s="68" t="s">
        <v>1409</v>
      </c>
      <c r="B597" s="68" t="s">
        <v>1439</v>
      </c>
      <c r="C597" s="68" t="s">
        <v>1457</v>
      </c>
      <c r="D597" s="68" t="s">
        <v>28</v>
      </c>
      <c r="E597" s="69">
        <v>2020</v>
      </c>
      <c r="F597" s="69">
        <v>73</v>
      </c>
      <c r="G597" s="69">
        <v>1301.8</v>
      </c>
      <c r="H597" s="69">
        <v>12979</v>
      </c>
      <c r="I597" s="67"/>
      <c r="J597" s="67"/>
      <c r="K597" s="67"/>
      <c r="L597" s="67"/>
      <c r="M597" s="67"/>
      <c r="N597" s="67"/>
      <c r="O597" s="67"/>
      <c r="P597" s="67"/>
      <c r="Q597" s="67"/>
      <c r="R597" s="67"/>
      <c r="S597" s="67"/>
      <c r="T597" s="67"/>
      <c r="U597" s="67"/>
      <c r="V597" s="67"/>
      <c r="W597" s="67"/>
      <c r="X597" s="67"/>
      <c r="Y597" s="67"/>
      <c r="Z597" s="67"/>
    </row>
    <row r="598" spans="1:26" ht="12.5">
      <c r="A598" s="68" t="s">
        <v>1409</v>
      </c>
      <c r="B598" s="68" t="s">
        <v>1439</v>
      </c>
      <c r="C598" s="68" t="s">
        <v>1460</v>
      </c>
      <c r="D598" s="68" t="s">
        <v>32</v>
      </c>
      <c r="E598" s="69">
        <v>2020</v>
      </c>
      <c r="F598" s="69">
        <v>51</v>
      </c>
      <c r="G598" s="69">
        <v>967.8</v>
      </c>
      <c r="H598" s="69">
        <v>14505</v>
      </c>
      <c r="I598" s="67"/>
      <c r="J598" s="67"/>
      <c r="K598" s="67"/>
      <c r="L598" s="67"/>
      <c r="M598" s="67"/>
      <c r="N598" s="67"/>
      <c r="O598" s="67"/>
      <c r="P598" s="67"/>
      <c r="Q598" s="67"/>
      <c r="R598" s="67"/>
      <c r="S598" s="67"/>
      <c r="T598" s="67"/>
      <c r="U598" s="67"/>
      <c r="V598" s="67"/>
      <c r="W598" s="67"/>
      <c r="X598" s="67"/>
      <c r="Y598" s="67"/>
      <c r="Z598" s="67"/>
    </row>
    <row r="599" spans="1:26" ht="12.5">
      <c r="A599" s="68" t="s">
        <v>1409</v>
      </c>
      <c r="B599" s="68" t="s">
        <v>1439</v>
      </c>
      <c r="C599" s="68" t="s">
        <v>1462</v>
      </c>
      <c r="D599" s="68" t="s">
        <v>20</v>
      </c>
      <c r="E599" s="69">
        <v>2020</v>
      </c>
      <c r="F599" s="69">
        <v>2</v>
      </c>
      <c r="G599" s="69">
        <v>105</v>
      </c>
      <c r="H599" s="69">
        <v>231162</v>
      </c>
      <c r="I599" s="67"/>
      <c r="J599" s="67"/>
      <c r="K599" s="67"/>
      <c r="L599" s="67"/>
      <c r="M599" s="67"/>
      <c r="N599" s="67"/>
      <c r="O599" s="67"/>
      <c r="P599" s="67"/>
      <c r="Q599" s="67"/>
      <c r="R599" s="67"/>
      <c r="S599" s="67"/>
      <c r="T599" s="67"/>
      <c r="U599" s="67"/>
      <c r="V599" s="67"/>
      <c r="W599" s="67"/>
      <c r="X599" s="67"/>
      <c r="Y599" s="67"/>
      <c r="Z599" s="67"/>
    </row>
    <row r="600" spans="1:26" ht="12.5">
      <c r="A600" s="68" t="s">
        <v>1409</v>
      </c>
      <c r="B600" s="68" t="s">
        <v>1439</v>
      </c>
      <c r="C600" s="68" t="s">
        <v>1465</v>
      </c>
      <c r="D600" s="68" t="s">
        <v>32</v>
      </c>
      <c r="E600" s="69">
        <v>2020</v>
      </c>
      <c r="F600" s="69">
        <v>27</v>
      </c>
      <c r="G600" s="69">
        <v>996.1</v>
      </c>
      <c r="H600" s="69">
        <v>14573</v>
      </c>
      <c r="I600" s="67"/>
      <c r="J600" s="67"/>
      <c r="K600" s="67"/>
      <c r="L600" s="67"/>
      <c r="M600" s="67"/>
      <c r="N600" s="67"/>
      <c r="O600" s="67"/>
      <c r="P600" s="67"/>
      <c r="Q600" s="67"/>
      <c r="R600" s="67"/>
      <c r="S600" s="67"/>
      <c r="T600" s="67"/>
      <c r="U600" s="67"/>
      <c r="V600" s="67"/>
      <c r="W600" s="67"/>
      <c r="X600" s="67"/>
      <c r="Y600" s="67"/>
      <c r="Z600" s="67"/>
    </row>
    <row r="601" spans="1:26" ht="12.5">
      <c r="A601" s="68" t="s">
        <v>1409</v>
      </c>
      <c r="B601" s="68" t="s">
        <v>1439</v>
      </c>
      <c r="C601" s="68" t="s">
        <v>523</v>
      </c>
      <c r="D601" s="68" t="s">
        <v>32</v>
      </c>
      <c r="E601" s="69">
        <v>2020</v>
      </c>
      <c r="F601" s="69">
        <v>53</v>
      </c>
      <c r="G601" s="69">
        <v>1155.3</v>
      </c>
      <c r="H601" s="69">
        <v>25281</v>
      </c>
      <c r="I601" s="67"/>
      <c r="J601" s="67"/>
      <c r="K601" s="67"/>
      <c r="L601" s="67"/>
      <c r="M601" s="67"/>
      <c r="N601" s="67"/>
      <c r="O601" s="67"/>
      <c r="P601" s="67"/>
      <c r="Q601" s="67"/>
      <c r="R601" s="67"/>
      <c r="S601" s="67"/>
      <c r="T601" s="67"/>
      <c r="U601" s="67"/>
      <c r="V601" s="67"/>
      <c r="W601" s="67"/>
      <c r="X601" s="67"/>
      <c r="Y601" s="67"/>
      <c r="Z601" s="67"/>
    </row>
    <row r="602" spans="1:26" ht="12.5">
      <c r="A602" s="68" t="s">
        <v>1409</v>
      </c>
      <c r="B602" s="68" t="s">
        <v>1439</v>
      </c>
      <c r="C602" s="68" t="s">
        <v>1470</v>
      </c>
      <c r="D602" s="68" t="s">
        <v>28</v>
      </c>
      <c r="E602" s="69">
        <v>2020</v>
      </c>
      <c r="F602" s="69">
        <v>19</v>
      </c>
      <c r="G602" s="69">
        <v>382.5</v>
      </c>
      <c r="H602" s="69">
        <v>8590</v>
      </c>
      <c r="I602" s="67"/>
      <c r="J602" s="67"/>
      <c r="K602" s="67"/>
      <c r="L602" s="67"/>
      <c r="M602" s="67"/>
      <c r="N602" s="67"/>
      <c r="O602" s="67"/>
      <c r="P602" s="67"/>
      <c r="Q602" s="67"/>
      <c r="R602" s="67"/>
      <c r="S602" s="67"/>
      <c r="T602" s="67"/>
      <c r="U602" s="67"/>
      <c r="V602" s="67"/>
      <c r="W602" s="67"/>
      <c r="X602" s="67"/>
      <c r="Y602" s="67"/>
      <c r="Z602" s="67"/>
    </row>
    <row r="603" spans="1:26" ht="12.5">
      <c r="A603" s="68" t="s">
        <v>1409</v>
      </c>
      <c r="B603" s="68" t="s">
        <v>1439</v>
      </c>
      <c r="C603" s="68" t="s">
        <v>1472</v>
      </c>
      <c r="D603" s="68" t="s">
        <v>28</v>
      </c>
      <c r="E603" s="69">
        <v>2020</v>
      </c>
      <c r="F603" s="69">
        <v>22</v>
      </c>
      <c r="G603" s="69">
        <v>399.9</v>
      </c>
      <c r="H603" s="69">
        <v>10173</v>
      </c>
      <c r="I603" s="67"/>
      <c r="J603" s="67"/>
      <c r="K603" s="67"/>
      <c r="L603" s="67"/>
      <c r="M603" s="67"/>
      <c r="N603" s="67"/>
      <c r="O603" s="67"/>
      <c r="P603" s="67"/>
      <c r="Q603" s="67"/>
      <c r="R603" s="67"/>
      <c r="S603" s="67"/>
      <c r="T603" s="67"/>
      <c r="U603" s="67"/>
      <c r="V603" s="67"/>
      <c r="W603" s="67"/>
      <c r="X603" s="67"/>
      <c r="Y603" s="67"/>
      <c r="Z603" s="67"/>
    </row>
    <row r="604" spans="1:26" ht="12.5">
      <c r="A604" s="68" t="s">
        <v>1409</v>
      </c>
      <c r="B604" s="68" t="s">
        <v>1439</v>
      </c>
      <c r="C604" s="68" t="s">
        <v>1474</v>
      </c>
      <c r="D604" s="68" t="s">
        <v>28</v>
      </c>
      <c r="E604" s="69">
        <v>2020</v>
      </c>
      <c r="F604" s="69">
        <v>23</v>
      </c>
      <c r="G604" s="69">
        <v>532.6</v>
      </c>
      <c r="H604" s="69">
        <v>11832</v>
      </c>
      <c r="I604" s="67"/>
      <c r="J604" s="67"/>
      <c r="K604" s="67"/>
      <c r="L604" s="67"/>
      <c r="M604" s="67"/>
      <c r="N604" s="67"/>
      <c r="O604" s="67"/>
      <c r="P604" s="67"/>
      <c r="Q604" s="67"/>
      <c r="R604" s="67"/>
      <c r="S604" s="67"/>
      <c r="T604" s="67"/>
      <c r="U604" s="67"/>
      <c r="V604" s="67"/>
      <c r="W604" s="67"/>
      <c r="X604" s="67"/>
      <c r="Y604" s="67"/>
      <c r="Z604" s="67"/>
    </row>
    <row r="605" spans="1:26" ht="12.5">
      <c r="A605" s="68" t="s">
        <v>1409</v>
      </c>
      <c r="B605" s="68" t="s">
        <v>1439</v>
      </c>
      <c r="C605" s="68" t="s">
        <v>1477</v>
      </c>
      <c r="D605" s="68" t="s">
        <v>32</v>
      </c>
      <c r="E605" s="69">
        <v>2020</v>
      </c>
      <c r="F605" s="69">
        <v>36</v>
      </c>
      <c r="G605" s="69">
        <v>941.6</v>
      </c>
      <c r="H605" s="69">
        <v>12015</v>
      </c>
      <c r="I605" s="67"/>
      <c r="J605" s="67"/>
      <c r="K605" s="67"/>
      <c r="L605" s="67"/>
      <c r="M605" s="67"/>
      <c r="N605" s="67"/>
      <c r="O605" s="67"/>
      <c r="P605" s="67"/>
      <c r="Q605" s="67"/>
      <c r="R605" s="67"/>
      <c r="S605" s="67"/>
      <c r="T605" s="67"/>
      <c r="U605" s="67"/>
      <c r="V605" s="67"/>
      <c r="W605" s="67"/>
      <c r="X605" s="67"/>
      <c r="Y605" s="67"/>
      <c r="Z605" s="67"/>
    </row>
    <row r="606" spans="1:26" ht="12.5">
      <c r="A606" s="68" t="s">
        <v>1409</v>
      </c>
      <c r="B606" s="68" t="s">
        <v>1480</v>
      </c>
      <c r="C606" s="68" t="s">
        <v>1481</v>
      </c>
      <c r="D606" s="68" t="s">
        <v>28</v>
      </c>
      <c r="E606" s="69">
        <v>2020</v>
      </c>
      <c r="F606" s="69">
        <v>14</v>
      </c>
      <c r="G606" s="69">
        <v>295.3</v>
      </c>
      <c r="H606" s="69">
        <v>3549</v>
      </c>
      <c r="I606" s="67"/>
      <c r="J606" s="67"/>
      <c r="K606" s="67"/>
      <c r="L606" s="67"/>
      <c r="M606" s="67"/>
      <c r="N606" s="67"/>
      <c r="O606" s="67"/>
      <c r="P606" s="67"/>
      <c r="Q606" s="67"/>
      <c r="R606" s="67"/>
      <c r="S606" s="67"/>
      <c r="T606" s="67"/>
      <c r="U606" s="67"/>
      <c r="V606" s="67"/>
      <c r="W606" s="67"/>
      <c r="X606" s="67"/>
      <c r="Y606" s="67"/>
      <c r="Z606" s="67"/>
    </row>
    <row r="607" spans="1:26" ht="12.5">
      <c r="A607" s="68" t="s">
        <v>1409</v>
      </c>
      <c r="B607" s="68" t="s">
        <v>1480</v>
      </c>
      <c r="C607" s="68" t="s">
        <v>1484</v>
      </c>
      <c r="D607" s="68" t="s">
        <v>28</v>
      </c>
      <c r="E607" s="69">
        <v>2020</v>
      </c>
      <c r="F607" s="69">
        <v>11</v>
      </c>
      <c r="G607" s="69">
        <v>244.5</v>
      </c>
      <c r="H607" s="69">
        <v>4146</v>
      </c>
      <c r="I607" s="67"/>
      <c r="J607" s="67"/>
      <c r="K607" s="67"/>
      <c r="L607" s="67"/>
      <c r="M607" s="67"/>
      <c r="N607" s="67"/>
      <c r="O607" s="67"/>
      <c r="P607" s="67"/>
      <c r="Q607" s="67"/>
      <c r="R607" s="67"/>
      <c r="S607" s="67"/>
      <c r="T607" s="67"/>
      <c r="U607" s="67"/>
      <c r="V607" s="67"/>
      <c r="W607" s="67"/>
      <c r="X607" s="67"/>
      <c r="Y607" s="67"/>
      <c r="Z607" s="67"/>
    </row>
    <row r="608" spans="1:26" ht="12.5">
      <c r="A608" s="68" t="s">
        <v>1409</v>
      </c>
      <c r="B608" s="68" t="s">
        <v>1480</v>
      </c>
      <c r="C608" s="68" t="s">
        <v>1486</v>
      </c>
      <c r="D608" s="68" t="s">
        <v>32</v>
      </c>
      <c r="E608" s="69">
        <v>2020</v>
      </c>
      <c r="F608" s="69">
        <v>31</v>
      </c>
      <c r="G608" s="69">
        <v>591.20000000000005</v>
      </c>
      <c r="H608" s="69">
        <v>13458</v>
      </c>
      <c r="I608" s="67"/>
      <c r="J608" s="67"/>
      <c r="K608" s="67"/>
      <c r="L608" s="67"/>
      <c r="M608" s="67"/>
      <c r="N608" s="67"/>
      <c r="O608" s="67"/>
      <c r="P608" s="67"/>
      <c r="Q608" s="67"/>
      <c r="R608" s="67"/>
      <c r="S608" s="67"/>
      <c r="T608" s="67"/>
      <c r="U608" s="67"/>
      <c r="V608" s="67"/>
      <c r="W608" s="67"/>
      <c r="X608" s="67"/>
      <c r="Y608" s="67"/>
      <c r="Z608" s="67"/>
    </row>
    <row r="609" spans="1:26" ht="12.5">
      <c r="A609" s="68" t="s">
        <v>1409</v>
      </c>
      <c r="B609" s="68" t="s">
        <v>1480</v>
      </c>
      <c r="C609" s="68" t="s">
        <v>1488</v>
      </c>
      <c r="D609" s="68" t="s">
        <v>28</v>
      </c>
      <c r="E609" s="69">
        <v>2020</v>
      </c>
      <c r="F609" s="69">
        <v>6</v>
      </c>
      <c r="G609" s="69">
        <v>274</v>
      </c>
      <c r="H609" s="69">
        <v>5725</v>
      </c>
      <c r="I609" s="67"/>
      <c r="J609" s="67"/>
      <c r="K609" s="67"/>
      <c r="L609" s="67"/>
      <c r="M609" s="67"/>
      <c r="N609" s="67"/>
      <c r="O609" s="67"/>
      <c r="P609" s="67"/>
      <c r="Q609" s="67"/>
      <c r="R609" s="67"/>
      <c r="S609" s="67"/>
      <c r="T609" s="67"/>
      <c r="U609" s="67"/>
      <c r="V609" s="67"/>
      <c r="W609" s="67"/>
      <c r="X609" s="67"/>
      <c r="Y609" s="67"/>
      <c r="Z609" s="67"/>
    </row>
    <row r="610" spans="1:26" ht="12.5">
      <c r="A610" s="68" t="s">
        <v>1409</v>
      </c>
      <c r="B610" s="68" t="s">
        <v>1480</v>
      </c>
      <c r="C610" s="68" t="s">
        <v>1490</v>
      </c>
      <c r="D610" s="68" t="s">
        <v>20</v>
      </c>
      <c r="E610" s="69">
        <v>2020</v>
      </c>
      <c r="F610" s="69">
        <v>16</v>
      </c>
      <c r="G610" s="69">
        <v>384.3</v>
      </c>
      <c r="H610" s="69">
        <v>15107</v>
      </c>
      <c r="I610" s="67"/>
      <c r="J610" s="67"/>
      <c r="K610" s="67"/>
      <c r="L610" s="67"/>
      <c r="M610" s="67"/>
      <c r="N610" s="67"/>
      <c r="O610" s="67"/>
      <c r="P610" s="67"/>
      <c r="Q610" s="67"/>
      <c r="R610" s="67"/>
      <c r="S610" s="67"/>
      <c r="T610" s="67"/>
      <c r="U610" s="67"/>
      <c r="V610" s="67"/>
      <c r="W610" s="67"/>
      <c r="X610" s="67"/>
      <c r="Y610" s="67"/>
      <c r="Z610" s="67"/>
    </row>
    <row r="611" spans="1:26" ht="12.5">
      <c r="A611" s="68" t="s">
        <v>1409</v>
      </c>
      <c r="B611" s="68" t="s">
        <v>1480</v>
      </c>
      <c r="C611" s="68" t="s">
        <v>1492</v>
      </c>
      <c r="D611" s="68" t="s">
        <v>28</v>
      </c>
      <c r="E611" s="69">
        <v>2020</v>
      </c>
      <c r="F611" s="69">
        <v>15</v>
      </c>
      <c r="G611" s="69">
        <v>299.10000000000002</v>
      </c>
      <c r="H611" s="69">
        <v>5161</v>
      </c>
      <c r="I611" s="67"/>
      <c r="J611" s="67"/>
      <c r="K611" s="67"/>
      <c r="L611" s="67"/>
      <c r="M611" s="67"/>
      <c r="N611" s="67"/>
      <c r="O611" s="67"/>
      <c r="P611" s="67"/>
      <c r="Q611" s="67"/>
      <c r="R611" s="67"/>
      <c r="S611" s="67"/>
      <c r="T611" s="67"/>
      <c r="U611" s="67"/>
      <c r="V611" s="67"/>
      <c r="W611" s="67"/>
      <c r="X611" s="67"/>
      <c r="Y611" s="67"/>
      <c r="Z611" s="67"/>
    </row>
    <row r="612" spans="1:26" ht="12.5">
      <c r="A612" s="68" t="s">
        <v>1409</v>
      </c>
      <c r="B612" s="68" t="s">
        <v>1480</v>
      </c>
      <c r="C612" s="68" t="s">
        <v>1494</v>
      </c>
      <c r="D612" s="68" t="s">
        <v>20</v>
      </c>
      <c r="E612" s="69">
        <v>2020</v>
      </c>
      <c r="F612" s="69">
        <v>47</v>
      </c>
      <c r="G612" s="69">
        <v>1004.9</v>
      </c>
      <c r="H612" s="69">
        <v>26749</v>
      </c>
      <c r="I612" s="67"/>
      <c r="J612" s="67"/>
      <c r="K612" s="67"/>
      <c r="L612" s="67"/>
      <c r="M612" s="67"/>
      <c r="N612" s="67"/>
      <c r="O612" s="67"/>
      <c r="P612" s="67"/>
      <c r="Q612" s="67"/>
      <c r="R612" s="67"/>
      <c r="S612" s="67"/>
      <c r="T612" s="67"/>
      <c r="U612" s="67"/>
      <c r="V612" s="67"/>
      <c r="W612" s="67"/>
      <c r="X612" s="67"/>
      <c r="Y612" s="67"/>
      <c r="Z612" s="67"/>
    </row>
    <row r="613" spans="1:26" ht="12.5">
      <c r="A613" s="68" t="s">
        <v>1409</v>
      </c>
      <c r="B613" s="68" t="s">
        <v>1480</v>
      </c>
      <c r="C613" s="68" t="s">
        <v>1497</v>
      </c>
      <c r="D613" s="68" t="s">
        <v>20</v>
      </c>
      <c r="E613" s="69">
        <v>2020</v>
      </c>
      <c r="F613" s="69">
        <v>16</v>
      </c>
      <c r="G613" s="69">
        <v>449.5</v>
      </c>
      <c r="H613" s="69">
        <v>19760</v>
      </c>
      <c r="I613" s="67"/>
      <c r="J613" s="67"/>
      <c r="K613" s="67"/>
      <c r="L613" s="67"/>
      <c r="M613" s="67"/>
      <c r="N613" s="67"/>
      <c r="O613" s="67"/>
      <c r="P613" s="67"/>
      <c r="Q613" s="67"/>
      <c r="R613" s="67"/>
      <c r="S613" s="67"/>
      <c r="T613" s="67"/>
      <c r="U613" s="67"/>
      <c r="V613" s="67"/>
      <c r="W613" s="67"/>
      <c r="X613" s="67"/>
      <c r="Y613" s="67"/>
      <c r="Z613" s="67"/>
    </row>
    <row r="614" spans="1:26" ht="12.5">
      <c r="A614" s="68" t="s">
        <v>1409</v>
      </c>
      <c r="B614" s="68" t="s">
        <v>1480</v>
      </c>
      <c r="C614" s="68" t="s">
        <v>1499</v>
      </c>
      <c r="D614" s="68" t="s">
        <v>20</v>
      </c>
      <c r="E614" s="69">
        <v>2020</v>
      </c>
      <c r="F614" s="69">
        <v>4</v>
      </c>
      <c r="G614" s="69">
        <v>77.400000000000006</v>
      </c>
      <c r="H614" s="69">
        <v>9904</v>
      </c>
      <c r="I614" s="67"/>
      <c r="J614" s="67"/>
      <c r="K614" s="67"/>
      <c r="L614" s="67"/>
      <c r="M614" s="67"/>
      <c r="N614" s="67"/>
      <c r="O614" s="67"/>
      <c r="P614" s="67"/>
      <c r="Q614" s="67"/>
      <c r="R614" s="67"/>
      <c r="S614" s="67"/>
      <c r="T614" s="67"/>
      <c r="U614" s="67"/>
      <c r="V614" s="67"/>
      <c r="W614" s="67"/>
      <c r="X614" s="67"/>
      <c r="Y614" s="67"/>
      <c r="Z614" s="67"/>
    </row>
    <row r="615" spans="1:26" ht="12.5">
      <c r="A615" s="68" t="s">
        <v>1409</v>
      </c>
      <c r="B615" s="68" t="s">
        <v>1480</v>
      </c>
      <c r="C615" s="68" t="s">
        <v>1501</v>
      </c>
      <c r="D615" s="68" t="s">
        <v>28</v>
      </c>
      <c r="E615" s="69">
        <v>2020</v>
      </c>
      <c r="F615" s="69">
        <v>20</v>
      </c>
      <c r="G615" s="69">
        <v>424.2</v>
      </c>
      <c r="H615" s="69">
        <v>5996</v>
      </c>
      <c r="I615" s="67"/>
      <c r="J615" s="67"/>
      <c r="K615" s="67"/>
      <c r="L615" s="67"/>
      <c r="M615" s="67"/>
      <c r="N615" s="67"/>
      <c r="O615" s="67"/>
      <c r="P615" s="67"/>
      <c r="Q615" s="67"/>
      <c r="R615" s="67"/>
      <c r="S615" s="67"/>
      <c r="T615" s="67"/>
      <c r="U615" s="67"/>
      <c r="V615" s="67"/>
      <c r="W615" s="67"/>
      <c r="X615" s="67"/>
      <c r="Y615" s="67"/>
      <c r="Z615" s="67"/>
    </row>
    <row r="616" spans="1:26" ht="12.5">
      <c r="A616" s="68" t="s">
        <v>1409</v>
      </c>
      <c r="B616" s="68" t="s">
        <v>1480</v>
      </c>
      <c r="C616" s="68" t="s">
        <v>1503</v>
      </c>
      <c r="D616" s="68" t="s">
        <v>28</v>
      </c>
      <c r="E616" s="69">
        <v>2020</v>
      </c>
      <c r="F616" s="69">
        <v>29</v>
      </c>
      <c r="G616" s="69">
        <v>569.5</v>
      </c>
      <c r="H616" s="69">
        <v>10252</v>
      </c>
      <c r="I616" s="67"/>
      <c r="J616" s="67"/>
      <c r="K616" s="67"/>
      <c r="L616" s="67"/>
      <c r="M616" s="67"/>
      <c r="N616" s="67"/>
      <c r="O616" s="67"/>
      <c r="P616" s="67"/>
      <c r="Q616" s="67"/>
      <c r="R616" s="67"/>
      <c r="S616" s="67"/>
      <c r="T616" s="67"/>
      <c r="U616" s="67"/>
      <c r="V616" s="67"/>
      <c r="W616" s="67"/>
      <c r="X616" s="67"/>
      <c r="Y616" s="67"/>
      <c r="Z616" s="67"/>
    </row>
    <row r="617" spans="1:26" ht="12.5">
      <c r="A617" s="68" t="s">
        <v>1409</v>
      </c>
      <c r="B617" s="68" t="s">
        <v>1480</v>
      </c>
      <c r="C617" s="68" t="s">
        <v>1506</v>
      </c>
      <c r="D617" s="68" t="s">
        <v>32</v>
      </c>
      <c r="E617" s="69">
        <v>2020</v>
      </c>
      <c r="F617" s="69">
        <v>22</v>
      </c>
      <c r="G617" s="69">
        <v>317.3</v>
      </c>
      <c r="H617" s="69">
        <v>14884</v>
      </c>
      <c r="I617" s="67"/>
      <c r="J617" s="67"/>
      <c r="K617" s="67"/>
      <c r="L617" s="67"/>
      <c r="M617" s="67"/>
      <c r="N617" s="67"/>
      <c r="O617" s="67"/>
      <c r="P617" s="67"/>
      <c r="Q617" s="67"/>
      <c r="R617" s="67"/>
      <c r="S617" s="67"/>
      <c r="T617" s="67"/>
      <c r="U617" s="67"/>
      <c r="V617" s="67"/>
      <c r="W617" s="67"/>
      <c r="X617" s="67"/>
      <c r="Y617" s="67"/>
      <c r="Z617" s="67"/>
    </row>
    <row r="618" spans="1:26" ht="12.5">
      <c r="A618" s="68" t="s">
        <v>1409</v>
      </c>
      <c r="B618" s="68" t="s">
        <v>1480</v>
      </c>
      <c r="C618" s="68" t="s">
        <v>1508</v>
      </c>
      <c r="D618" s="68" t="s">
        <v>28</v>
      </c>
      <c r="E618" s="69">
        <v>2020</v>
      </c>
      <c r="F618" s="69">
        <v>11</v>
      </c>
      <c r="G618" s="69">
        <v>271.7</v>
      </c>
      <c r="H618" s="69">
        <v>3818</v>
      </c>
      <c r="I618" s="67"/>
      <c r="J618" s="67"/>
      <c r="K618" s="67"/>
      <c r="L618" s="67"/>
      <c r="M618" s="67"/>
      <c r="N618" s="67"/>
      <c r="O618" s="67"/>
      <c r="P618" s="67"/>
      <c r="Q618" s="67"/>
      <c r="R618" s="67"/>
      <c r="S618" s="67"/>
      <c r="T618" s="67"/>
      <c r="U618" s="67"/>
      <c r="V618" s="67"/>
      <c r="W618" s="67"/>
      <c r="X618" s="67"/>
      <c r="Y618" s="67"/>
      <c r="Z618" s="67"/>
    </row>
    <row r="619" spans="1:26" ht="12.5">
      <c r="A619" s="68" t="s">
        <v>1409</v>
      </c>
      <c r="B619" s="68" t="s">
        <v>1510</v>
      </c>
      <c r="C619" s="68" t="s">
        <v>1511</v>
      </c>
      <c r="D619" s="68" t="s">
        <v>28</v>
      </c>
      <c r="E619" s="69">
        <v>2020</v>
      </c>
      <c r="F619" s="69">
        <v>25</v>
      </c>
      <c r="G619" s="69">
        <v>964</v>
      </c>
      <c r="H619" s="69">
        <v>7834</v>
      </c>
      <c r="I619" s="67"/>
      <c r="J619" s="67"/>
      <c r="K619" s="67"/>
      <c r="L619" s="67"/>
      <c r="M619" s="67"/>
      <c r="N619" s="67"/>
      <c r="O619" s="67"/>
      <c r="P619" s="67"/>
      <c r="Q619" s="67"/>
      <c r="R619" s="67"/>
      <c r="S619" s="67"/>
      <c r="T619" s="67"/>
      <c r="U619" s="67"/>
      <c r="V619" s="67"/>
      <c r="W619" s="67"/>
      <c r="X619" s="67"/>
      <c r="Y619" s="67"/>
      <c r="Z619" s="67"/>
    </row>
    <row r="620" spans="1:26" ht="12.5">
      <c r="A620" s="68" t="s">
        <v>1409</v>
      </c>
      <c r="B620" s="68" t="s">
        <v>1510</v>
      </c>
      <c r="C620" s="68" t="s">
        <v>1513</v>
      </c>
      <c r="D620" s="68" t="s">
        <v>32</v>
      </c>
      <c r="E620" s="69">
        <v>2020</v>
      </c>
      <c r="F620" s="69">
        <v>12</v>
      </c>
      <c r="G620" s="69">
        <v>380.6</v>
      </c>
      <c r="H620" s="69">
        <v>8832</v>
      </c>
      <c r="I620" s="67"/>
      <c r="J620" s="67"/>
      <c r="K620" s="67"/>
      <c r="L620" s="67"/>
      <c r="M620" s="67"/>
      <c r="N620" s="67"/>
      <c r="O620" s="67"/>
      <c r="P620" s="67"/>
      <c r="Q620" s="67"/>
      <c r="R620" s="67"/>
      <c r="S620" s="67"/>
      <c r="T620" s="67"/>
      <c r="U620" s="67"/>
      <c r="V620" s="67"/>
      <c r="W620" s="67"/>
      <c r="X620" s="67"/>
      <c r="Y620" s="67"/>
      <c r="Z620" s="67"/>
    </row>
    <row r="621" spans="1:26" ht="12.5">
      <c r="A621" s="68" t="s">
        <v>1409</v>
      </c>
      <c r="B621" s="68" t="s">
        <v>1510</v>
      </c>
      <c r="C621" s="68" t="s">
        <v>1515</v>
      </c>
      <c r="D621" s="68" t="s">
        <v>20</v>
      </c>
      <c r="E621" s="69">
        <v>2020</v>
      </c>
      <c r="F621" s="69">
        <v>14</v>
      </c>
      <c r="G621" s="69">
        <v>260.3</v>
      </c>
      <c r="H621" s="69">
        <v>86677</v>
      </c>
      <c r="I621" s="67"/>
      <c r="J621" s="67"/>
      <c r="K621" s="67"/>
      <c r="L621" s="67"/>
      <c r="M621" s="67"/>
      <c r="N621" s="67"/>
      <c r="O621" s="67"/>
      <c r="P621" s="67"/>
      <c r="Q621" s="67"/>
      <c r="R621" s="67"/>
      <c r="S621" s="67"/>
      <c r="T621" s="67"/>
      <c r="U621" s="67"/>
      <c r="V621" s="67"/>
      <c r="W621" s="67"/>
      <c r="X621" s="67"/>
      <c r="Y621" s="67"/>
      <c r="Z621" s="67"/>
    </row>
    <row r="622" spans="1:26" ht="12.5">
      <c r="A622" s="68" t="s">
        <v>1409</v>
      </c>
      <c r="B622" s="68" t="s">
        <v>1510</v>
      </c>
      <c r="C622" s="68" t="s">
        <v>1518</v>
      </c>
      <c r="D622" s="68" t="s">
        <v>32</v>
      </c>
      <c r="E622" s="69">
        <v>2020</v>
      </c>
      <c r="F622" s="69">
        <v>28</v>
      </c>
      <c r="G622" s="69">
        <v>889.4</v>
      </c>
      <c r="H622" s="69">
        <v>16945</v>
      </c>
      <c r="I622" s="67"/>
      <c r="J622" s="67"/>
      <c r="K622" s="67"/>
      <c r="L622" s="67"/>
      <c r="M622" s="67"/>
      <c r="N622" s="67"/>
      <c r="O622" s="67"/>
      <c r="P622" s="67"/>
      <c r="Q622" s="67"/>
      <c r="R622" s="67"/>
      <c r="S622" s="67"/>
      <c r="T622" s="67"/>
      <c r="U622" s="67"/>
      <c r="V622" s="67"/>
      <c r="W622" s="67"/>
      <c r="X622" s="67"/>
      <c r="Y622" s="67"/>
      <c r="Z622" s="67"/>
    </row>
    <row r="623" spans="1:26" ht="12.5">
      <c r="A623" s="68" t="s">
        <v>1409</v>
      </c>
      <c r="B623" s="68" t="s">
        <v>1510</v>
      </c>
      <c r="C623" s="68" t="s">
        <v>1521</v>
      </c>
      <c r="D623" s="68" t="s">
        <v>32</v>
      </c>
      <c r="E623" s="69">
        <v>2020</v>
      </c>
      <c r="F623" s="69">
        <v>6</v>
      </c>
      <c r="G623" s="69">
        <v>173</v>
      </c>
      <c r="H623" s="69">
        <v>5149</v>
      </c>
      <c r="I623" s="67"/>
      <c r="J623" s="67"/>
      <c r="K623" s="67"/>
      <c r="L623" s="67"/>
      <c r="M623" s="67"/>
      <c r="N623" s="67"/>
      <c r="O623" s="67"/>
      <c r="P623" s="67"/>
      <c r="Q623" s="67"/>
      <c r="R623" s="67"/>
      <c r="S623" s="67"/>
      <c r="T623" s="67"/>
      <c r="U623" s="67"/>
      <c r="V623" s="67"/>
      <c r="W623" s="67"/>
      <c r="X623" s="67"/>
      <c r="Y623" s="67"/>
      <c r="Z623" s="67"/>
    </row>
    <row r="624" spans="1:26" ht="12.5">
      <c r="A624" s="68" t="s">
        <v>1409</v>
      </c>
      <c r="B624" s="68" t="s">
        <v>1510</v>
      </c>
      <c r="C624" s="68" t="s">
        <v>1351</v>
      </c>
      <c r="D624" s="68" t="s">
        <v>32</v>
      </c>
      <c r="E624" s="69">
        <v>2020</v>
      </c>
      <c r="F624" s="69">
        <v>38</v>
      </c>
      <c r="G624" s="69">
        <v>1196</v>
      </c>
      <c r="H624" s="69">
        <v>22562</v>
      </c>
      <c r="I624" s="67"/>
      <c r="J624" s="67"/>
      <c r="K624" s="67"/>
      <c r="L624" s="67"/>
      <c r="M624" s="67"/>
      <c r="N624" s="67"/>
      <c r="O624" s="67"/>
      <c r="P624" s="67"/>
      <c r="Q624" s="67"/>
      <c r="R624" s="67"/>
      <c r="S624" s="67"/>
      <c r="T624" s="67"/>
      <c r="U624" s="67"/>
      <c r="V624" s="67"/>
      <c r="W624" s="67"/>
      <c r="X624" s="67"/>
      <c r="Y624" s="67"/>
      <c r="Z624" s="67"/>
    </row>
    <row r="625" spans="1:26" ht="12.5">
      <c r="A625" s="68" t="s">
        <v>1409</v>
      </c>
      <c r="B625" s="68" t="s">
        <v>1510</v>
      </c>
      <c r="C625" s="68" t="s">
        <v>1525</v>
      </c>
      <c r="D625" s="68" t="s">
        <v>28</v>
      </c>
      <c r="E625" s="69">
        <v>2020</v>
      </c>
      <c r="F625" s="69">
        <v>30</v>
      </c>
      <c r="G625" s="69">
        <v>742.1</v>
      </c>
      <c r="H625" s="69">
        <v>8408</v>
      </c>
      <c r="I625" s="67"/>
      <c r="J625" s="67"/>
      <c r="K625" s="67"/>
      <c r="L625" s="67"/>
      <c r="M625" s="67"/>
      <c r="N625" s="67"/>
      <c r="O625" s="67"/>
      <c r="P625" s="67"/>
      <c r="Q625" s="67"/>
      <c r="R625" s="67"/>
      <c r="S625" s="67"/>
      <c r="T625" s="67"/>
      <c r="U625" s="67"/>
      <c r="V625" s="67"/>
      <c r="W625" s="67"/>
      <c r="X625" s="67"/>
      <c r="Y625" s="67"/>
      <c r="Z625" s="67"/>
    </row>
    <row r="626" spans="1:26" ht="12.5">
      <c r="A626" s="68" t="s">
        <v>1409</v>
      </c>
      <c r="B626" s="68" t="s">
        <v>1510</v>
      </c>
      <c r="C626" s="68" t="s">
        <v>1527</v>
      </c>
      <c r="D626" s="68" t="s">
        <v>32</v>
      </c>
      <c r="E626" s="69">
        <v>2020</v>
      </c>
      <c r="F626" s="69">
        <v>25</v>
      </c>
      <c r="G626" s="69">
        <v>519.9</v>
      </c>
      <c r="H626" s="69">
        <v>12459</v>
      </c>
      <c r="I626" s="67"/>
      <c r="J626" s="67"/>
      <c r="K626" s="67"/>
      <c r="L626" s="67"/>
      <c r="M626" s="67"/>
      <c r="N626" s="67"/>
      <c r="O626" s="67"/>
      <c r="P626" s="67"/>
      <c r="Q626" s="67"/>
      <c r="R626" s="67"/>
      <c r="S626" s="67"/>
      <c r="T626" s="67"/>
      <c r="U626" s="67"/>
      <c r="V626" s="67"/>
      <c r="W626" s="67"/>
      <c r="X626" s="67"/>
      <c r="Y626" s="67"/>
      <c r="Z626" s="67"/>
    </row>
    <row r="627" spans="1:26" ht="12.5">
      <c r="A627" s="68" t="s">
        <v>1409</v>
      </c>
      <c r="B627" s="68" t="s">
        <v>1510</v>
      </c>
      <c r="C627" s="68" t="s">
        <v>1529</v>
      </c>
      <c r="D627" s="68" t="s">
        <v>20</v>
      </c>
      <c r="E627" s="69">
        <v>2020</v>
      </c>
      <c r="F627" s="69">
        <v>10</v>
      </c>
      <c r="G627" s="69">
        <v>292.60000000000002</v>
      </c>
      <c r="H627" s="69">
        <v>54570</v>
      </c>
      <c r="I627" s="67"/>
      <c r="J627" s="67"/>
      <c r="K627" s="67"/>
      <c r="L627" s="67"/>
      <c r="M627" s="67"/>
      <c r="N627" s="67"/>
      <c r="O627" s="67"/>
      <c r="P627" s="67"/>
      <c r="Q627" s="67"/>
      <c r="R627" s="67"/>
      <c r="S627" s="67"/>
      <c r="T627" s="67"/>
      <c r="U627" s="67"/>
      <c r="V627" s="67"/>
      <c r="W627" s="67"/>
      <c r="X627" s="67"/>
      <c r="Y627" s="67"/>
      <c r="Z627" s="67"/>
    </row>
    <row r="628" spans="1:26" ht="12.5">
      <c r="A628" s="68" t="s">
        <v>1532</v>
      </c>
      <c r="B628" s="68" t="s">
        <v>1533</v>
      </c>
      <c r="C628" s="68" t="s">
        <v>1534</v>
      </c>
      <c r="D628" s="68" t="s">
        <v>32</v>
      </c>
      <c r="E628" s="69">
        <v>2020</v>
      </c>
      <c r="F628" s="69">
        <v>38</v>
      </c>
      <c r="G628" s="69">
        <v>1124.3</v>
      </c>
      <c r="H628" s="69">
        <v>15005</v>
      </c>
      <c r="I628" s="67"/>
      <c r="J628" s="67"/>
      <c r="K628" s="67"/>
      <c r="L628" s="67"/>
      <c r="M628" s="67"/>
      <c r="N628" s="67"/>
      <c r="O628" s="67"/>
      <c r="P628" s="67"/>
      <c r="Q628" s="67"/>
      <c r="R628" s="67"/>
      <c r="S628" s="67"/>
      <c r="T628" s="67"/>
      <c r="U628" s="67"/>
      <c r="V628" s="67"/>
      <c r="W628" s="67"/>
      <c r="X628" s="67"/>
      <c r="Y628" s="67"/>
      <c r="Z628" s="67"/>
    </row>
    <row r="629" spans="1:26" ht="12.5">
      <c r="A629" s="68" t="s">
        <v>1532</v>
      </c>
      <c r="B629" s="68" t="s">
        <v>1533</v>
      </c>
      <c r="C629" s="68" t="s">
        <v>1536</v>
      </c>
      <c r="D629" s="68" t="s">
        <v>28</v>
      </c>
      <c r="E629" s="69">
        <v>2020</v>
      </c>
      <c r="F629" s="69">
        <v>21</v>
      </c>
      <c r="G629" s="69">
        <v>390.6</v>
      </c>
      <c r="H629" s="69">
        <v>3211</v>
      </c>
      <c r="I629" s="67"/>
      <c r="J629" s="67"/>
      <c r="K629" s="67"/>
      <c r="L629" s="67"/>
      <c r="M629" s="67"/>
      <c r="N629" s="67"/>
      <c r="O629" s="67"/>
      <c r="P629" s="67"/>
      <c r="Q629" s="67"/>
      <c r="R629" s="67"/>
      <c r="S629" s="67"/>
      <c r="T629" s="67"/>
      <c r="U629" s="67"/>
      <c r="V629" s="67"/>
      <c r="W629" s="67"/>
      <c r="X629" s="67"/>
      <c r="Y629" s="67"/>
      <c r="Z629" s="67"/>
    </row>
    <row r="630" spans="1:26" ht="12.5">
      <c r="A630" s="68" t="s">
        <v>1532</v>
      </c>
      <c r="B630" s="68" t="s">
        <v>1533</v>
      </c>
      <c r="C630" s="68" t="s">
        <v>1538</v>
      </c>
      <c r="D630" s="68" t="s">
        <v>32</v>
      </c>
      <c r="E630" s="69">
        <v>2020</v>
      </c>
      <c r="F630" s="69">
        <v>10</v>
      </c>
      <c r="G630" s="69">
        <v>443</v>
      </c>
      <c r="H630" s="69">
        <v>7977</v>
      </c>
      <c r="I630" s="67"/>
      <c r="J630" s="67"/>
      <c r="K630" s="67"/>
      <c r="L630" s="67"/>
      <c r="M630" s="67"/>
      <c r="N630" s="67"/>
      <c r="O630" s="67"/>
      <c r="P630" s="67"/>
      <c r="Q630" s="67"/>
      <c r="R630" s="67"/>
      <c r="S630" s="67"/>
      <c r="T630" s="67"/>
      <c r="U630" s="67"/>
      <c r="V630" s="67"/>
      <c r="W630" s="67"/>
      <c r="X630" s="67"/>
      <c r="Y630" s="67"/>
      <c r="Z630" s="67"/>
    </row>
    <row r="631" spans="1:26" ht="12.5">
      <c r="A631" s="68" t="s">
        <v>1532</v>
      </c>
      <c r="B631" s="68" t="s">
        <v>1533</v>
      </c>
      <c r="C631" s="68" t="s">
        <v>1540</v>
      </c>
      <c r="D631" s="68" t="s">
        <v>32</v>
      </c>
      <c r="E631" s="69">
        <v>2020</v>
      </c>
      <c r="F631" s="69">
        <v>25</v>
      </c>
      <c r="G631" s="69">
        <v>533.9</v>
      </c>
      <c r="H631" s="69">
        <v>4405</v>
      </c>
      <c r="I631" s="67"/>
      <c r="J631" s="67"/>
      <c r="K631" s="67"/>
      <c r="L631" s="67"/>
      <c r="M631" s="67"/>
      <c r="N631" s="67"/>
      <c r="O631" s="67"/>
      <c r="P631" s="67"/>
      <c r="Q631" s="67"/>
      <c r="R631" s="67"/>
      <c r="S631" s="67"/>
      <c r="T631" s="67"/>
      <c r="U631" s="67"/>
      <c r="V631" s="67"/>
      <c r="W631" s="67"/>
      <c r="X631" s="67"/>
      <c r="Y631" s="67"/>
      <c r="Z631" s="67"/>
    </row>
    <row r="632" spans="1:26" ht="12.5">
      <c r="A632" s="68" t="s">
        <v>1532</v>
      </c>
      <c r="B632" s="68" t="s">
        <v>1533</v>
      </c>
      <c r="C632" s="68" t="s">
        <v>1542</v>
      </c>
      <c r="D632" s="68" t="s">
        <v>32</v>
      </c>
      <c r="E632" s="69">
        <v>2020</v>
      </c>
      <c r="F632" s="69">
        <v>17</v>
      </c>
      <c r="G632" s="69">
        <v>561.4</v>
      </c>
      <c r="H632" s="69">
        <v>5307</v>
      </c>
      <c r="I632" s="67"/>
      <c r="J632" s="67"/>
      <c r="K632" s="67"/>
      <c r="L632" s="67"/>
      <c r="M632" s="67"/>
      <c r="N632" s="67"/>
      <c r="O632" s="67"/>
      <c r="P632" s="67"/>
      <c r="Q632" s="67"/>
      <c r="R632" s="67"/>
      <c r="S632" s="67"/>
      <c r="T632" s="67"/>
      <c r="U632" s="67"/>
      <c r="V632" s="67"/>
      <c r="W632" s="67"/>
      <c r="X632" s="67"/>
      <c r="Y632" s="67"/>
      <c r="Z632" s="67"/>
    </row>
    <row r="633" spans="1:26" ht="12.5">
      <c r="A633" s="68" t="s">
        <v>1532</v>
      </c>
      <c r="B633" s="68" t="s">
        <v>1533</v>
      </c>
      <c r="C633" s="68" t="s">
        <v>1545</v>
      </c>
      <c r="D633" s="68" t="s">
        <v>20</v>
      </c>
      <c r="E633" s="69">
        <v>2020</v>
      </c>
      <c r="F633" s="69">
        <v>24</v>
      </c>
      <c r="G633" s="69">
        <v>1038.7</v>
      </c>
      <c r="H633" s="69">
        <v>26425</v>
      </c>
      <c r="I633" s="67"/>
      <c r="J633" s="67"/>
      <c r="K633" s="67"/>
      <c r="L633" s="67"/>
      <c r="M633" s="67"/>
      <c r="N633" s="67"/>
      <c r="O633" s="67"/>
      <c r="P633" s="67"/>
      <c r="Q633" s="67"/>
      <c r="R633" s="67"/>
      <c r="S633" s="67"/>
      <c r="T633" s="67"/>
      <c r="U633" s="67"/>
      <c r="V633" s="67"/>
      <c r="W633" s="67"/>
      <c r="X633" s="67"/>
      <c r="Y633" s="67"/>
      <c r="Z633" s="67"/>
    </row>
    <row r="634" spans="1:26" ht="12.5">
      <c r="A634" s="68" t="s">
        <v>1532</v>
      </c>
      <c r="B634" s="68" t="s">
        <v>1533</v>
      </c>
      <c r="C634" s="68" t="s">
        <v>425</v>
      </c>
      <c r="D634" s="68" t="s">
        <v>32</v>
      </c>
      <c r="E634" s="69">
        <v>2020</v>
      </c>
      <c r="F634" s="69">
        <v>46</v>
      </c>
      <c r="G634" s="69">
        <v>1222.2</v>
      </c>
      <c r="H634" s="69">
        <v>15948</v>
      </c>
      <c r="I634" s="67"/>
      <c r="J634" s="67"/>
      <c r="K634" s="67"/>
      <c r="L634" s="67"/>
      <c r="M634" s="67"/>
      <c r="N634" s="67"/>
      <c r="O634" s="67"/>
      <c r="P634" s="67"/>
      <c r="Q634" s="67"/>
      <c r="R634" s="67"/>
      <c r="S634" s="67"/>
      <c r="T634" s="67"/>
      <c r="U634" s="67"/>
      <c r="V634" s="67"/>
      <c r="W634" s="67"/>
      <c r="X634" s="67"/>
      <c r="Y634" s="67"/>
      <c r="Z634" s="67"/>
    </row>
    <row r="635" spans="1:26" ht="12.5">
      <c r="A635" s="68" t="s">
        <v>1532</v>
      </c>
      <c r="B635" s="68" t="s">
        <v>1549</v>
      </c>
      <c r="C635" s="68" t="s">
        <v>1550</v>
      </c>
      <c r="D635" s="68" t="s">
        <v>32</v>
      </c>
      <c r="E635" s="69">
        <v>2020</v>
      </c>
      <c r="F635" s="69">
        <v>33</v>
      </c>
      <c r="G635" s="69">
        <v>1596</v>
      </c>
      <c r="H635" s="69">
        <v>22610</v>
      </c>
      <c r="I635" s="67"/>
      <c r="J635" s="67"/>
      <c r="K635" s="67"/>
      <c r="L635" s="67"/>
      <c r="M635" s="67"/>
      <c r="N635" s="67"/>
      <c r="O635" s="67"/>
      <c r="P635" s="67"/>
      <c r="Q635" s="67"/>
      <c r="R635" s="67"/>
      <c r="S635" s="67"/>
      <c r="T635" s="67"/>
      <c r="U635" s="67"/>
      <c r="V635" s="67"/>
      <c r="W635" s="67"/>
      <c r="X635" s="67"/>
      <c r="Y635" s="67"/>
      <c r="Z635" s="67"/>
    </row>
    <row r="636" spans="1:26" ht="12.5">
      <c r="A636" s="68" t="s">
        <v>1532</v>
      </c>
      <c r="B636" s="68" t="s">
        <v>1549</v>
      </c>
      <c r="C636" s="68" t="s">
        <v>1552</v>
      </c>
      <c r="D636" s="68" t="s">
        <v>32</v>
      </c>
      <c r="E636" s="69">
        <v>2020</v>
      </c>
      <c r="F636" s="69">
        <v>18</v>
      </c>
      <c r="G636" s="69">
        <v>641.20000000000005</v>
      </c>
      <c r="H636" s="69">
        <v>9662</v>
      </c>
      <c r="I636" s="67"/>
      <c r="J636" s="67"/>
      <c r="K636" s="67"/>
      <c r="L636" s="67"/>
      <c r="M636" s="67"/>
      <c r="N636" s="67"/>
      <c r="O636" s="67"/>
      <c r="P636" s="67"/>
      <c r="Q636" s="67"/>
      <c r="R636" s="67"/>
      <c r="S636" s="67"/>
      <c r="T636" s="67"/>
      <c r="U636" s="67"/>
      <c r="V636" s="67"/>
      <c r="W636" s="67"/>
      <c r="X636" s="67"/>
      <c r="Y636" s="67"/>
      <c r="Z636" s="67"/>
    </row>
    <row r="637" spans="1:26" ht="12.5">
      <c r="A637" s="68" t="s">
        <v>1532</v>
      </c>
      <c r="B637" s="68" t="s">
        <v>1549</v>
      </c>
      <c r="C637" s="68" t="s">
        <v>1555</v>
      </c>
      <c r="D637" s="68" t="s">
        <v>32</v>
      </c>
      <c r="E637" s="69">
        <v>2020</v>
      </c>
      <c r="F637" s="69">
        <v>34</v>
      </c>
      <c r="G637" s="69">
        <v>1166.8</v>
      </c>
      <c r="H637" s="69">
        <v>14020</v>
      </c>
      <c r="I637" s="67"/>
      <c r="J637" s="67"/>
      <c r="K637" s="67"/>
      <c r="L637" s="67"/>
      <c r="M637" s="67"/>
      <c r="N637" s="67"/>
      <c r="O637" s="67"/>
      <c r="P637" s="67"/>
      <c r="Q637" s="67"/>
      <c r="R637" s="67"/>
      <c r="S637" s="67"/>
      <c r="T637" s="67"/>
      <c r="U637" s="67"/>
      <c r="V637" s="67"/>
      <c r="W637" s="67"/>
      <c r="X637" s="67"/>
      <c r="Y637" s="67"/>
      <c r="Z637" s="67"/>
    </row>
    <row r="638" spans="1:26" ht="12.5">
      <c r="A638" s="68" t="s">
        <v>1532</v>
      </c>
      <c r="B638" s="68" t="s">
        <v>1549</v>
      </c>
      <c r="C638" s="68" t="s">
        <v>1557</v>
      </c>
      <c r="D638" s="68" t="s">
        <v>32</v>
      </c>
      <c r="E638" s="69">
        <v>2020</v>
      </c>
      <c r="F638" s="69">
        <v>29</v>
      </c>
      <c r="G638" s="69">
        <v>970.8</v>
      </c>
      <c r="H638" s="69">
        <v>14755</v>
      </c>
      <c r="I638" s="67"/>
      <c r="J638" s="67"/>
      <c r="K638" s="67"/>
      <c r="L638" s="67"/>
      <c r="M638" s="67"/>
      <c r="N638" s="67"/>
      <c r="O638" s="67"/>
      <c r="P638" s="67"/>
      <c r="Q638" s="67"/>
      <c r="R638" s="67"/>
      <c r="S638" s="67"/>
      <c r="T638" s="67"/>
      <c r="U638" s="67"/>
      <c r="V638" s="67"/>
      <c r="W638" s="67"/>
      <c r="X638" s="67"/>
      <c r="Y638" s="67"/>
      <c r="Z638" s="67"/>
    </row>
    <row r="639" spans="1:26" ht="12.5">
      <c r="A639" s="68" t="s">
        <v>1532</v>
      </c>
      <c r="B639" s="68" t="s">
        <v>1549</v>
      </c>
      <c r="C639" s="68" t="s">
        <v>1560</v>
      </c>
      <c r="D639" s="68" t="s">
        <v>32</v>
      </c>
      <c r="E639" s="69">
        <v>2020</v>
      </c>
      <c r="F639" s="69">
        <v>21</v>
      </c>
      <c r="G639" s="69">
        <v>982.3</v>
      </c>
      <c r="H639" s="69">
        <v>23142</v>
      </c>
      <c r="I639" s="67"/>
      <c r="J639" s="67"/>
      <c r="K639" s="67"/>
      <c r="L639" s="67"/>
      <c r="M639" s="67"/>
      <c r="N639" s="67"/>
      <c r="O639" s="67"/>
      <c r="P639" s="67"/>
      <c r="Q639" s="67"/>
      <c r="R639" s="67"/>
      <c r="S639" s="67"/>
      <c r="T639" s="67"/>
      <c r="U639" s="67"/>
      <c r="V639" s="67"/>
      <c r="W639" s="67"/>
      <c r="X639" s="67"/>
      <c r="Y639" s="67"/>
      <c r="Z639" s="67"/>
    </row>
    <row r="640" spans="1:26" ht="12.5">
      <c r="A640" s="68" t="s">
        <v>1532</v>
      </c>
      <c r="B640" s="68" t="s">
        <v>1549</v>
      </c>
      <c r="C640" s="68" t="s">
        <v>1562</v>
      </c>
      <c r="D640" s="68" t="s">
        <v>20</v>
      </c>
      <c r="E640" s="69">
        <v>2020</v>
      </c>
      <c r="F640" s="69">
        <v>25</v>
      </c>
      <c r="G640" s="69">
        <v>731.6</v>
      </c>
      <c r="H640" s="69">
        <v>28458</v>
      </c>
      <c r="I640" s="67"/>
      <c r="J640" s="67"/>
      <c r="K640" s="67"/>
      <c r="L640" s="67"/>
      <c r="M640" s="67"/>
      <c r="N640" s="67"/>
      <c r="O640" s="67"/>
      <c r="P640" s="67"/>
      <c r="Q640" s="67"/>
      <c r="R640" s="67"/>
      <c r="S640" s="67"/>
      <c r="T640" s="67"/>
      <c r="U640" s="67"/>
      <c r="V640" s="67"/>
      <c r="W640" s="67"/>
      <c r="X640" s="67"/>
      <c r="Y640" s="67"/>
      <c r="Z640" s="67"/>
    </row>
    <row r="641" spans="1:26" ht="12.5">
      <c r="A641" s="68" t="s">
        <v>1532</v>
      </c>
      <c r="B641" s="68" t="s">
        <v>1549</v>
      </c>
      <c r="C641" s="68" t="s">
        <v>1565</v>
      </c>
      <c r="D641" s="68" t="s">
        <v>28</v>
      </c>
      <c r="E641" s="69">
        <v>2020</v>
      </c>
      <c r="F641" s="69">
        <v>22</v>
      </c>
      <c r="G641" s="69">
        <v>512.6</v>
      </c>
      <c r="H641" s="69">
        <v>9077</v>
      </c>
      <c r="I641" s="67"/>
      <c r="J641" s="67"/>
      <c r="K641" s="67"/>
      <c r="L641" s="67"/>
      <c r="M641" s="67"/>
      <c r="N641" s="67"/>
      <c r="O641" s="67"/>
      <c r="P641" s="67"/>
      <c r="Q641" s="67"/>
      <c r="R641" s="67"/>
      <c r="S641" s="67"/>
      <c r="T641" s="67"/>
      <c r="U641" s="67"/>
      <c r="V641" s="67"/>
      <c r="W641" s="67"/>
      <c r="X641" s="67"/>
      <c r="Y641" s="67"/>
      <c r="Z641" s="67"/>
    </row>
    <row r="642" spans="1:26" ht="12.5">
      <c r="A642" s="68" t="s">
        <v>1532</v>
      </c>
      <c r="B642" s="68" t="s">
        <v>1549</v>
      </c>
      <c r="C642" s="68" t="s">
        <v>1567</v>
      </c>
      <c r="D642" s="68" t="s">
        <v>28</v>
      </c>
      <c r="E642" s="69">
        <v>2020</v>
      </c>
      <c r="F642" s="69">
        <v>12</v>
      </c>
      <c r="G642" s="69">
        <v>337.6</v>
      </c>
      <c r="H642" s="69">
        <v>4286</v>
      </c>
      <c r="I642" s="67"/>
      <c r="J642" s="67"/>
      <c r="K642" s="67"/>
      <c r="L642" s="67"/>
      <c r="M642" s="67"/>
      <c r="N642" s="67"/>
      <c r="O642" s="67"/>
      <c r="P642" s="67"/>
      <c r="Q642" s="67"/>
      <c r="R642" s="67"/>
      <c r="S642" s="67"/>
      <c r="T642" s="67"/>
      <c r="U642" s="67"/>
      <c r="V642" s="67"/>
      <c r="W642" s="67"/>
      <c r="X642" s="67"/>
      <c r="Y642" s="67"/>
      <c r="Z642" s="67"/>
    </row>
    <row r="643" spans="1:26" ht="12.5">
      <c r="A643" s="68" t="s">
        <v>1532</v>
      </c>
      <c r="B643" s="68" t="s">
        <v>1569</v>
      </c>
      <c r="C643" s="68" t="s">
        <v>1228</v>
      </c>
      <c r="D643" s="68" t="s">
        <v>20</v>
      </c>
      <c r="E643" s="69">
        <v>2020</v>
      </c>
      <c r="F643" s="69">
        <v>11</v>
      </c>
      <c r="G643" s="69">
        <v>169.8</v>
      </c>
      <c r="H643" s="69">
        <v>33125</v>
      </c>
      <c r="I643" s="67"/>
      <c r="J643" s="67"/>
      <c r="K643" s="67"/>
      <c r="L643" s="67"/>
      <c r="M643" s="67"/>
      <c r="N643" s="67"/>
      <c r="O643" s="67"/>
      <c r="P643" s="67"/>
      <c r="Q643" s="67"/>
      <c r="R643" s="67"/>
      <c r="S643" s="67"/>
      <c r="T643" s="67"/>
      <c r="U643" s="67"/>
      <c r="V643" s="67"/>
      <c r="W643" s="67"/>
      <c r="X643" s="67"/>
      <c r="Y643" s="67"/>
      <c r="Z643" s="67"/>
    </row>
    <row r="644" spans="1:26" ht="12.5">
      <c r="A644" s="68" t="s">
        <v>1532</v>
      </c>
      <c r="B644" s="68" t="s">
        <v>1569</v>
      </c>
      <c r="C644" s="68" t="s">
        <v>1571</v>
      </c>
      <c r="D644" s="68" t="s">
        <v>20</v>
      </c>
      <c r="E644" s="69">
        <v>2020</v>
      </c>
      <c r="F644" s="69">
        <v>11</v>
      </c>
      <c r="G644" s="69">
        <v>532.9</v>
      </c>
      <c r="H644" s="69">
        <v>21968</v>
      </c>
      <c r="I644" s="67"/>
      <c r="J644" s="67"/>
      <c r="K644" s="67"/>
      <c r="L644" s="67"/>
      <c r="M644" s="67"/>
      <c r="N644" s="67"/>
      <c r="O644" s="67"/>
      <c r="P644" s="67"/>
      <c r="Q644" s="67"/>
      <c r="R644" s="67"/>
      <c r="S644" s="67"/>
      <c r="T644" s="67"/>
      <c r="U644" s="67"/>
      <c r="V644" s="67"/>
      <c r="W644" s="67"/>
      <c r="X644" s="67"/>
      <c r="Y644" s="67"/>
      <c r="Z644" s="67"/>
    </row>
    <row r="645" spans="1:26" ht="12.5">
      <c r="A645" s="68" t="s">
        <v>1532</v>
      </c>
      <c r="B645" s="68" t="s">
        <v>1569</v>
      </c>
      <c r="C645" s="68" t="s">
        <v>1574</v>
      </c>
      <c r="D645" s="68" t="s">
        <v>20</v>
      </c>
      <c r="E645" s="69">
        <v>2020</v>
      </c>
      <c r="F645" s="69">
        <v>17</v>
      </c>
      <c r="G645" s="69">
        <v>407.6</v>
      </c>
      <c r="H645" s="69">
        <v>113782</v>
      </c>
      <c r="I645" s="67"/>
      <c r="J645" s="67"/>
      <c r="K645" s="67"/>
      <c r="L645" s="67"/>
      <c r="M645" s="67"/>
      <c r="N645" s="67"/>
      <c r="O645" s="67"/>
      <c r="P645" s="67"/>
      <c r="Q645" s="67"/>
      <c r="R645" s="67"/>
      <c r="S645" s="67"/>
      <c r="T645" s="67"/>
      <c r="U645" s="67"/>
      <c r="V645" s="67"/>
      <c r="W645" s="67"/>
      <c r="X645" s="67"/>
      <c r="Y645" s="67"/>
      <c r="Z645" s="67"/>
    </row>
    <row r="646" spans="1:26" ht="12.5">
      <c r="A646" s="68" t="s">
        <v>1532</v>
      </c>
      <c r="B646" s="68" t="s">
        <v>1569</v>
      </c>
      <c r="C646" s="68" t="s">
        <v>1577</v>
      </c>
      <c r="D646" s="68" t="s">
        <v>20</v>
      </c>
      <c r="E646" s="69">
        <v>2020</v>
      </c>
      <c r="F646" s="69">
        <v>13</v>
      </c>
      <c r="G646" s="69">
        <v>468.6</v>
      </c>
      <c r="H646" s="69">
        <v>25180</v>
      </c>
      <c r="I646" s="67"/>
      <c r="J646" s="67"/>
      <c r="K646" s="67"/>
      <c r="L646" s="67"/>
      <c r="M646" s="67"/>
      <c r="N646" s="67"/>
      <c r="O646" s="67"/>
      <c r="P646" s="67"/>
      <c r="Q646" s="67"/>
      <c r="R646" s="67"/>
      <c r="S646" s="67"/>
      <c r="T646" s="67"/>
      <c r="U646" s="67"/>
      <c r="V646" s="67"/>
      <c r="W646" s="67"/>
      <c r="X646" s="67"/>
      <c r="Y646" s="67"/>
      <c r="Z646" s="67"/>
    </row>
    <row r="647" spans="1:26" ht="12.5">
      <c r="A647" s="68" t="s">
        <v>1532</v>
      </c>
      <c r="B647" s="68" t="s">
        <v>1569</v>
      </c>
      <c r="C647" s="68" t="s">
        <v>1580</v>
      </c>
      <c r="D647" s="68" t="s">
        <v>20</v>
      </c>
      <c r="E647" s="69">
        <v>2020</v>
      </c>
      <c r="F647" s="69">
        <v>14</v>
      </c>
      <c r="G647" s="69">
        <v>401.5</v>
      </c>
      <c r="H647" s="69">
        <v>59725</v>
      </c>
      <c r="I647" s="67"/>
      <c r="J647" s="67"/>
      <c r="K647" s="67"/>
      <c r="L647" s="67"/>
      <c r="M647" s="67"/>
      <c r="N647" s="67"/>
      <c r="O647" s="67"/>
      <c r="P647" s="67"/>
      <c r="Q647" s="67"/>
      <c r="R647" s="67"/>
      <c r="S647" s="67"/>
      <c r="T647" s="67"/>
      <c r="U647" s="67"/>
      <c r="V647" s="67"/>
      <c r="W647" s="67"/>
      <c r="X647" s="67"/>
      <c r="Y647" s="67"/>
      <c r="Z647" s="67"/>
    </row>
    <row r="648" spans="1:26" ht="12.5">
      <c r="A648" s="68" t="s">
        <v>1532</v>
      </c>
      <c r="B648" s="68" t="s">
        <v>1569</v>
      </c>
      <c r="C648" s="68" t="s">
        <v>1583</v>
      </c>
      <c r="D648" s="68" t="s">
        <v>20</v>
      </c>
      <c r="E648" s="69">
        <v>2020</v>
      </c>
      <c r="F648" s="69">
        <v>20</v>
      </c>
      <c r="G648" s="69">
        <v>712.8</v>
      </c>
      <c r="H648" s="69">
        <v>115641</v>
      </c>
      <c r="I648" s="67"/>
      <c r="J648" s="67"/>
      <c r="K648" s="67"/>
      <c r="L648" s="67"/>
      <c r="M648" s="67"/>
      <c r="N648" s="67"/>
      <c r="O648" s="67"/>
      <c r="P648" s="67"/>
      <c r="Q648" s="67"/>
      <c r="R648" s="67"/>
      <c r="S648" s="67"/>
      <c r="T648" s="67"/>
      <c r="U648" s="67"/>
      <c r="V648" s="67"/>
      <c r="W648" s="67"/>
      <c r="X648" s="67"/>
      <c r="Y648" s="67"/>
      <c r="Z648" s="67"/>
    </row>
    <row r="649" spans="1:26" ht="12.5">
      <c r="A649" s="68" t="s">
        <v>1532</v>
      </c>
      <c r="B649" s="68" t="s">
        <v>1586</v>
      </c>
      <c r="C649" s="68" t="s">
        <v>1587</v>
      </c>
      <c r="D649" s="68" t="s">
        <v>28</v>
      </c>
      <c r="E649" s="69">
        <v>2020</v>
      </c>
      <c r="F649" s="69">
        <v>12</v>
      </c>
      <c r="G649" s="69">
        <v>492.4</v>
      </c>
      <c r="H649" s="69">
        <v>7149</v>
      </c>
      <c r="I649" s="67"/>
      <c r="J649" s="67"/>
      <c r="K649" s="67"/>
      <c r="L649" s="67"/>
      <c r="M649" s="67"/>
      <c r="N649" s="67"/>
      <c r="O649" s="67"/>
      <c r="P649" s="67"/>
      <c r="Q649" s="67"/>
      <c r="R649" s="67"/>
      <c r="S649" s="67"/>
      <c r="T649" s="67"/>
      <c r="U649" s="67"/>
      <c r="V649" s="67"/>
      <c r="W649" s="67"/>
      <c r="X649" s="67"/>
      <c r="Y649" s="67"/>
      <c r="Z649" s="67"/>
    </row>
    <row r="650" spans="1:26" ht="12.5">
      <c r="A650" s="68" t="s">
        <v>1532</v>
      </c>
      <c r="B650" s="68" t="s">
        <v>1586</v>
      </c>
      <c r="C650" s="68" t="s">
        <v>1589</v>
      </c>
      <c r="D650" s="68" t="s">
        <v>32</v>
      </c>
      <c r="E650" s="69">
        <v>2020</v>
      </c>
      <c r="F650" s="69">
        <v>32</v>
      </c>
      <c r="G650" s="69">
        <v>1312.1</v>
      </c>
      <c r="H650" s="69">
        <v>21007</v>
      </c>
      <c r="I650" s="67"/>
      <c r="J650" s="67"/>
      <c r="K650" s="67"/>
      <c r="L650" s="67"/>
      <c r="M650" s="67"/>
      <c r="N650" s="67"/>
      <c r="O650" s="67"/>
      <c r="P650" s="67"/>
      <c r="Q650" s="67"/>
      <c r="R650" s="67"/>
      <c r="S650" s="67"/>
      <c r="T650" s="67"/>
      <c r="U650" s="67"/>
      <c r="V650" s="67"/>
      <c r="W650" s="67"/>
      <c r="X650" s="67"/>
      <c r="Y650" s="67"/>
      <c r="Z650" s="67"/>
    </row>
    <row r="651" spans="1:26" ht="12.5">
      <c r="A651" s="68" t="s">
        <v>1532</v>
      </c>
      <c r="B651" s="68" t="s">
        <v>1586</v>
      </c>
      <c r="C651" s="68" t="s">
        <v>1591</v>
      </c>
      <c r="D651" s="68" t="s">
        <v>32</v>
      </c>
      <c r="E651" s="69">
        <v>2020</v>
      </c>
      <c r="F651" s="69">
        <v>14</v>
      </c>
      <c r="G651" s="69">
        <v>514.29999999999995</v>
      </c>
      <c r="H651" s="69">
        <v>23237</v>
      </c>
      <c r="I651" s="67"/>
      <c r="J651" s="67"/>
      <c r="K651" s="67"/>
      <c r="L651" s="67"/>
      <c r="M651" s="67"/>
      <c r="N651" s="67"/>
      <c r="O651" s="67"/>
      <c r="P651" s="67"/>
      <c r="Q651" s="67"/>
      <c r="R651" s="67"/>
      <c r="S651" s="67"/>
      <c r="T651" s="67"/>
      <c r="U651" s="67"/>
      <c r="V651" s="67"/>
      <c r="W651" s="67"/>
      <c r="X651" s="67"/>
      <c r="Y651" s="67"/>
      <c r="Z651" s="67"/>
    </row>
    <row r="652" spans="1:26" ht="12.5">
      <c r="A652" s="68" t="s">
        <v>1532</v>
      </c>
      <c r="B652" s="68" t="s">
        <v>1586</v>
      </c>
      <c r="C652" s="68" t="s">
        <v>377</v>
      </c>
      <c r="D652" s="68" t="s">
        <v>28</v>
      </c>
      <c r="E652" s="69">
        <v>2020</v>
      </c>
      <c r="F652" s="69">
        <v>14</v>
      </c>
      <c r="G652" s="69">
        <v>580.4</v>
      </c>
      <c r="H652" s="69">
        <v>6652</v>
      </c>
      <c r="I652" s="67"/>
      <c r="J652" s="67"/>
      <c r="K652" s="67"/>
      <c r="L652" s="67"/>
      <c r="M652" s="67"/>
      <c r="N652" s="67"/>
      <c r="O652" s="67"/>
      <c r="P652" s="67"/>
      <c r="Q652" s="67"/>
      <c r="R652" s="67"/>
      <c r="S652" s="67"/>
      <c r="T652" s="67"/>
      <c r="U652" s="67"/>
      <c r="V652" s="67"/>
      <c r="W652" s="67"/>
      <c r="X652" s="67"/>
      <c r="Y652" s="67"/>
      <c r="Z652" s="67"/>
    </row>
    <row r="653" spans="1:26" ht="12.5">
      <c r="A653" s="68" t="s">
        <v>1532</v>
      </c>
      <c r="B653" s="68" t="s">
        <v>1586</v>
      </c>
      <c r="C653" s="68" t="s">
        <v>1595</v>
      </c>
      <c r="D653" s="68" t="s">
        <v>20</v>
      </c>
      <c r="E653" s="69">
        <v>2020</v>
      </c>
      <c r="F653" s="69">
        <v>11</v>
      </c>
      <c r="G653" s="69">
        <v>409.2</v>
      </c>
      <c r="H653" s="69">
        <v>20922</v>
      </c>
      <c r="I653" s="67"/>
      <c r="J653" s="67"/>
      <c r="K653" s="67"/>
      <c r="L653" s="67"/>
      <c r="M653" s="67"/>
      <c r="N653" s="67"/>
      <c r="O653" s="67"/>
      <c r="P653" s="67"/>
      <c r="Q653" s="67"/>
      <c r="R653" s="67"/>
      <c r="S653" s="67"/>
      <c r="T653" s="67"/>
      <c r="U653" s="67"/>
      <c r="V653" s="67"/>
      <c r="W653" s="67"/>
      <c r="X653" s="67"/>
      <c r="Y653" s="67"/>
      <c r="Z653" s="67"/>
    </row>
    <row r="654" spans="1:26" ht="12.5">
      <c r="A654" s="68" t="s">
        <v>1597</v>
      </c>
      <c r="B654" s="68" t="s">
        <v>1598</v>
      </c>
      <c r="C654" s="68" t="s">
        <v>1599</v>
      </c>
      <c r="D654" s="68" t="s">
        <v>20</v>
      </c>
      <c r="E654" s="69">
        <v>2020</v>
      </c>
      <c r="F654" s="69">
        <v>7</v>
      </c>
      <c r="G654" s="69">
        <v>159.19999999999999</v>
      </c>
      <c r="H654" s="69">
        <v>39199</v>
      </c>
      <c r="I654" s="67"/>
      <c r="J654" s="67"/>
      <c r="K654" s="67"/>
      <c r="L654" s="67"/>
      <c r="M654" s="67"/>
      <c r="N654" s="67"/>
      <c r="O654" s="67"/>
      <c r="P654" s="67"/>
      <c r="Q654" s="67"/>
      <c r="R654" s="67"/>
      <c r="S654" s="67"/>
      <c r="T654" s="67"/>
      <c r="U654" s="67"/>
      <c r="V654" s="67"/>
      <c r="W654" s="67"/>
      <c r="X654" s="67"/>
      <c r="Y654" s="67"/>
      <c r="Z654" s="67"/>
    </row>
    <row r="655" spans="1:26" ht="12.5">
      <c r="A655" s="68" t="s">
        <v>1597</v>
      </c>
      <c r="B655" s="68" t="s">
        <v>1598</v>
      </c>
      <c r="C655" s="68" t="s">
        <v>1602</v>
      </c>
      <c r="D655" s="68" t="s">
        <v>20</v>
      </c>
      <c r="E655" s="69">
        <v>2020</v>
      </c>
      <c r="F655" s="69">
        <v>34</v>
      </c>
      <c r="G655" s="69">
        <v>426.2</v>
      </c>
      <c r="H655" s="69">
        <v>121778</v>
      </c>
      <c r="I655" s="67"/>
      <c r="J655" s="67"/>
      <c r="K655" s="67"/>
      <c r="L655" s="67"/>
      <c r="M655" s="67"/>
      <c r="N655" s="67"/>
      <c r="O655" s="67"/>
      <c r="P655" s="67"/>
      <c r="Q655" s="67"/>
      <c r="R655" s="67"/>
      <c r="S655" s="67"/>
      <c r="T655" s="67"/>
      <c r="U655" s="67"/>
      <c r="V655" s="67"/>
      <c r="W655" s="67"/>
      <c r="X655" s="67"/>
      <c r="Y655" s="67"/>
      <c r="Z655" s="67"/>
    </row>
    <row r="656" spans="1:26" ht="12.5">
      <c r="A656" s="68" t="s">
        <v>1597</v>
      </c>
      <c r="B656" s="68" t="s">
        <v>1598</v>
      </c>
      <c r="C656" s="68" t="s">
        <v>1605</v>
      </c>
      <c r="D656" s="68" t="s">
        <v>32</v>
      </c>
      <c r="E656" s="69">
        <v>2020</v>
      </c>
      <c r="F656" s="69">
        <v>18</v>
      </c>
      <c r="G656" s="69">
        <v>285.8</v>
      </c>
      <c r="H656" s="69">
        <v>18693</v>
      </c>
      <c r="I656" s="67"/>
      <c r="J656" s="67"/>
      <c r="K656" s="67"/>
      <c r="L656" s="67"/>
      <c r="M656" s="67"/>
      <c r="N656" s="67"/>
      <c r="O656" s="67"/>
      <c r="P656" s="67"/>
      <c r="Q656" s="67"/>
      <c r="R656" s="67"/>
      <c r="S656" s="67"/>
      <c r="T656" s="67"/>
      <c r="U656" s="67"/>
      <c r="V656" s="67"/>
      <c r="W656" s="67"/>
      <c r="X656" s="67"/>
      <c r="Y656" s="67"/>
      <c r="Z656" s="67"/>
    </row>
    <row r="657" spans="1:26" ht="12.5">
      <c r="A657" s="68" t="s">
        <v>1597</v>
      </c>
      <c r="B657" s="68" t="s">
        <v>1598</v>
      </c>
      <c r="C657" s="68" t="s">
        <v>1607</v>
      </c>
      <c r="D657" s="68" t="s">
        <v>32</v>
      </c>
      <c r="E657" s="69">
        <v>2020</v>
      </c>
      <c r="F657" s="69">
        <v>22</v>
      </c>
      <c r="G657" s="69">
        <v>414.3</v>
      </c>
      <c r="H657" s="69">
        <v>16360</v>
      </c>
      <c r="I657" s="67"/>
      <c r="J657" s="67"/>
      <c r="K657" s="67"/>
      <c r="L657" s="67"/>
      <c r="M657" s="67"/>
      <c r="N657" s="67"/>
      <c r="O657" s="67"/>
      <c r="P657" s="67"/>
      <c r="Q657" s="67"/>
      <c r="R657" s="67"/>
      <c r="S657" s="67"/>
      <c r="T657" s="67"/>
      <c r="U657" s="67"/>
      <c r="V657" s="67"/>
      <c r="W657" s="67"/>
      <c r="X657" s="67"/>
      <c r="Y657" s="67"/>
      <c r="Z657" s="67"/>
    </row>
    <row r="658" spans="1:26" ht="12.5">
      <c r="A658" s="68" t="s">
        <v>1597</v>
      </c>
      <c r="B658" s="68" t="s">
        <v>1598</v>
      </c>
      <c r="C658" s="68" t="s">
        <v>1610</v>
      </c>
      <c r="D658" s="68" t="s">
        <v>20</v>
      </c>
      <c r="E658" s="69">
        <v>2020</v>
      </c>
      <c r="F658" s="69">
        <v>8</v>
      </c>
      <c r="G658" s="69">
        <v>207.9</v>
      </c>
      <c r="H658" s="69">
        <v>39375</v>
      </c>
      <c r="I658" s="67"/>
      <c r="J658" s="67"/>
      <c r="K658" s="67"/>
      <c r="L658" s="67"/>
      <c r="M658" s="67"/>
      <c r="N658" s="67"/>
      <c r="O658" s="67"/>
      <c r="P658" s="67"/>
      <c r="Q658" s="67"/>
      <c r="R658" s="67"/>
      <c r="S658" s="67"/>
      <c r="T658" s="67"/>
      <c r="U658" s="67"/>
      <c r="V658" s="67"/>
      <c r="W658" s="67"/>
      <c r="X658" s="67"/>
      <c r="Y658" s="67"/>
      <c r="Z658" s="67"/>
    </row>
    <row r="659" spans="1:26" ht="12.5">
      <c r="A659" s="68" t="s">
        <v>1597</v>
      </c>
      <c r="B659" s="68" t="s">
        <v>1613</v>
      </c>
      <c r="C659" s="68" t="s">
        <v>1614</v>
      </c>
      <c r="D659" s="68" t="s">
        <v>20</v>
      </c>
      <c r="E659" s="69">
        <v>2020</v>
      </c>
      <c r="F659" s="69">
        <v>51</v>
      </c>
      <c r="G659" s="69">
        <v>609.6</v>
      </c>
      <c r="H659" s="69">
        <v>39471</v>
      </c>
      <c r="I659" s="67"/>
      <c r="J659" s="67"/>
      <c r="K659" s="67"/>
      <c r="L659" s="67"/>
      <c r="M659" s="67"/>
      <c r="N659" s="67"/>
      <c r="O659" s="67"/>
      <c r="P659" s="67"/>
      <c r="Q659" s="67"/>
      <c r="R659" s="67"/>
      <c r="S659" s="67"/>
      <c r="T659" s="67"/>
      <c r="U659" s="67"/>
      <c r="V659" s="67"/>
      <c r="W659" s="67"/>
      <c r="X659" s="67"/>
      <c r="Y659" s="67"/>
      <c r="Z659" s="67"/>
    </row>
    <row r="660" spans="1:26" ht="12.5">
      <c r="A660" s="68" t="s">
        <v>1597</v>
      </c>
      <c r="B660" s="68" t="s">
        <v>1613</v>
      </c>
      <c r="C660" s="68" t="s">
        <v>1617</v>
      </c>
      <c r="D660" s="68" t="s">
        <v>20</v>
      </c>
      <c r="E660" s="69">
        <v>2020</v>
      </c>
      <c r="F660" s="69">
        <v>68</v>
      </c>
      <c r="G660" s="69">
        <v>670.4</v>
      </c>
      <c r="H660" s="69">
        <v>30102</v>
      </c>
      <c r="I660" s="67"/>
      <c r="J660" s="67"/>
      <c r="K660" s="67"/>
      <c r="L660" s="67"/>
      <c r="M660" s="67"/>
      <c r="N660" s="67"/>
      <c r="O660" s="67"/>
      <c r="P660" s="67"/>
      <c r="Q660" s="67"/>
      <c r="R660" s="67"/>
      <c r="S660" s="67"/>
      <c r="T660" s="67"/>
      <c r="U660" s="67"/>
      <c r="V660" s="67"/>
      <c r="W660" s="67"/>
      <c r="X660" s="67"/>
      <c r="Y660" s="67"/>
      <c r="Z660" s="67"/>
    </row>
    <row r="661" spans="1:26" ht="12.5">
      <c r="A661" s="68" t="s">
        <v>1597</v>
      </c>
      <c r="B661" s="68" t="s">
        <v>1613</v>
      </c>
      <c r="C661" s="68" t="s">
        <v>1620</v>
      </c>
      <c r="D661" s="68" t="s">
        <v>28</v>
      </c>
      <c r="E661" s="69">
        <v>2020</v>
      </c>
      <c r="F661" s="69">
        <v>19</v>
      </c>
      <c r="G661" s="69">
        <v>235.3</v>
      </c>
      <c r="H661" s="69">
        <v>6242</v>
      </c>
      <c r="I661" s="67"/>
      <c r="J661" s="67"/>
      <c r="K661" s="67"/>
      <c r="L661" s="67"/>
      <c r="M661" s="67"/>
      <c r="N661" s="67"/>
      <c r="O661" s="67"/>
      <c r="P661" s="67"/>
      <c r="Q661" s="67"/>
      <c r="R661" s="67"/>
      <c r="S661" s="67"/>
      <c r="T661" s="67"/>
      <c r="U661" s="67"/>
      <c r="V661" s="67"/>
      <c r="W661" s="67"/>
      <c r="X661" s="67"/>
      <c r="Y661" s="67"/>
      <c r="Z661" s="67"/>
    </row>
    <row r="662" spans="1:26" ht="12.5">
      <c r="A662" s="68" t="s">
        <v>1597</v>
      </c>
      <c r="B662" s="68" t="s">
        <v>1613</v>
      </c>
      <c r="C662" s="68" t="s">
        <v>1233</v>
      </c>
      <c r="D662" s="68" t="s">
        <v>20</v>
      </c>
      <c r="E662" s="69">
        <v>2020</v>
      </c>
      <c r="F662" s="69">
        <v>67</v>
      </c>
      <c r="G662" s="69">
        <v>630.70000000000005</v>
      </c>
      <c r="H662" s="69">
        <v>49243</v>
      </c>
      <c r="I662" s="67"/>
      <c r="J662" s="67"/>
      <c r="K662" s="67"/>
      <c r="L662" s="67"/>
      <c r="M662" s="67"/>
      <c r="N662" s="67"/>
      <c r="O662" s="67"/>
      <c r="P662" s="67"/>
      <c r="Q662" s="67"/>
      <c r="R662" s="67"/>
      <c r="S662" s="67"/>
      <c r="T662" s="67"/>
      <c r="U662" s="67"/>
      <c r="V662" s="67"/>
      <c r="W662" s="67"/>
      <c r="X662" s="67"/>
      <c r="Y662" s="67"/>
      <c r="Z662" s="67"/>
    </row>
    <row r="663" spans="1:26" ht="12.5">
      <c r="A663" s="68" t="s">
        <v>1597</v>
      </c>
      <c r="B663" s="68" t="s">
        <v>1613</v>
      </c>
      <c r="C663" s="68" t="s">
        <v>1624</v>
      </c>
      <c r="D663" s="68" t="s">
        <v>32</v>
      </c>
      <c r="E663" s="69">
        <v>2020</v>
      </c>
      <c r="F663" s="69">
        <v>18</v>
      </c>
      <c r="G663" s="69">
        <v>215.7</v>
      </c>
      <c r="H663" s="69">
        <v>16951</v>
      </c>
      <c r="I663" s="67"/>
      <c r="J663" s="67"/>
      <c r="K663" s="67"/>
      <c r="L663" s="67"/>
      <c r="M663" s="67"/>
      <c r="N663" s="67"/>
      <c r="O663" s="67"/>
      <c r="P663" s="67"/>
      <c r="Q663" s="67"/>
      <c r="R663" s="67"/>
      <c r="S663" s="67"/>
      <c r="T663" s="67"/>
      <c r="U663" s="67"/>
      <c r="V663" s="67"/>
      <c r="W663" s="67"/>
      <c r="X663" s="67"/>
      <c r="Y663" s="67"/>
      <c r="Z663" s="67"/>
    </row>
    <row r="664" spans="1:26" ht="12.5">
      <c r="A664" s="68" t="s">
        <v>1597</v>
      </c>
      <c r="B664" s="68" t="s">
        <v>1613</v>
      </c>
      <c r="C664" s="68" t="s">
        <v>1627</v>
      </c>
      <c r="D664" s="68" t="s">
        <v>32</v>
      </c>
      <c r="E664" s="69">
        <v>2020</v>
      </c>
      <c r="F664" s="69">
        <v>21</v>
      </c>
      <c r="G664" s="69">
        <v>207.4</v>
      </c>
      <c r="H664" s="69">
        <v>7469</v>
      </c>
      <c r="I664" s="67"/>
      <c r="J664" s="67"/>
      <c r="K664" s="67"/>
      <c r="L664" s="67"/>
      <c r="M664" s="67"/>
      <c r="N664" s="67"/>
      <c r="O664" s="67"/>
      <c r="P664" s="67"/>
      <c r="Q664" s="67"/>
      <c r="R664" s="67"/>
      <c r="S664" s="67"/>
      <c r="T664" s="67"/>
      <c r="U664" s="67"/>
      <c r="V664" s="67"/>
      <c r="W664" s="67"/>
      <c r="X664" s="67"/>
      <c r="Y664" s="67"/>
      <c r="Z664" s="67"/>
    </row>
    <row r="665" spans="1:26" ht="12.5">
      <c r="A665" s="68" t="s">
        <v>1597</v>
      </c>
      <c r="B665" s="68" t="s">
        <v>1613</v>
      </c>
      <c r="C665" s="68" t="s">
        <v>1630</v>
      </c>
      <c r="D665" s="68" t="s">
        <v>32</v>
      </c>
      <c r="E665" s="69">
        <v>2020</v>
      </c>
      <c r="F665" s="69">
        <v>33</v>
      </c>
      <c r="G665" s="69">
        <v>318.8</v>
      </c>
      <c r="H665" s="69">
        <v>11186</v>
      </c>
      <c r="I665" s="67"/>
      <c r="J665" s="67"/>
      <c r="K665" s="67"/>
      <c r="L665" s="67"/>
      <c r="M665" s="67"/>
      <c r="N665" s="67"/>
      <c r="O665" s="67"/>
      <c r="P665" s="67"/>
      <c r="Q665" s="67"/>
      <c r="R665" s="67"/>
      <c r="S665" s="67"/>
      <c r="T665" s="67"/>
      <c r="U665" s="67"/>
      <c r="V665" s="67"/>
      <c r="W665" s="67"/>
      <c r="X665" s="67"/>
      <c r="Y665" s="67"/>
      <c r="Z665" s="67"/>
    </row>
    <row r="666" spans="1:26" ht="12.5">
      <c r="A666" s="68" t="s">
        <v>1597</v>
      </c>
      <c r="B666" s="68" t="s">
        <v>1633</v>
      </c>
      <c r="C666" s="68" t="s">
        <v>1634</v>
      </c>
      <c r="D666" s="68" t="s">
        <v>20</v>
      </c>
      <c r="E666" s="69">
        <v>2020</v>
      </c>
      <c r="F666" s="69">
        <v>46</v>
      </c>
      <c r="G666" s="69">
        <v>435.4</v>
      </c>
      <c r="H666" s="69">
        <v>16694</v>
      </c>
      <c r="I666" s="67"/>
      <c r="J666" s="67"/>
      <c r="K666" s="67"/>
      <c r="L666" s="67"/>
      <c r="M666" s="67"/>
      <c r="N666" s="67"/>
      <c r="O666" s="67"/>
      <c r="P666" s="67"/>
      <c r="Q666" s="67"/>
      <c r="R666" s="67"/>
      <c r="S666" s="67"/>
      <c r="T666" s="67"/>
      <c r="U666" s="67"/>
      <c r="V666" s="67"/>
      <c r="W666" s="67"/>
      <c r="X666" s="67"/>
      <c r="Y666" s="67"/>
      <c r="Z666" s="67"/>
    </row>
    <row r="667" spans="1:26" ht="12.5">
      <c r="A667" s="68" t="s">
        <v>1597</v>
      </c>
      <c r="B667" s="68" t="s">
        <v>1633</v>
      </c>
      <c r="C667" s="68" t="s">
        <v>1636</v>
      </c>
      <c r="D667" s="68" t="s">
        <v>32</v>
      </c>
      <c r="E667" s="69">
        <v>2020</v>
      </c>
      <c r="F667" s="69">
        <v>16</v>
      </c>
      <c r="G667" s="69">
        <v>132.4</v>
      </c>
      <c r="H667" s="69">
        <v>9473</v>
      </c>
      <c r="I667" s="67"/>
      <c r="J667" s="67"/>
      <c r="K667" s="67"/>
      <c r="L667" s="67"/>
      <c r="M667" s="67"/>
      <c r="N667" s="67"/>
      <c r="O667" s="67"/>
      <c r="P667" s="67"/>
      <c r="Q667" s="67"/>
      <c r="R667" s="67"/>
      <c r="S667" s="67"/>
      <c r="T667" s="67"/>
      <c r="U667" s="67"/>
      <c r="V667" s="67"/>
      <c r="W667" s="67"/>
      <c r="X667" s="67"/>
      <c r="Y667" s="67"/>
      <c r="Z667" s="67"/>
    </row>
    <row r="668" spans="1:26" ht="12.5">
      <c r="A668" s="68" t="s">
        <v>1597</v>
      </c>
      <c r="B668" s="68" t="s">
        <v>1633</v>
      </c>
      <c r="C668" s="68" t="s">
        <v>1638</v>
      </c>
      <c r="D668" s="68" t="s">
        <v>20</v>
      </c>
      <c r="E668" s="69">
        <v>2020</v>
      </c>
      <c r="F668" s="69">
        <v>19</v>
      </c>
      <c r="G668" s="69">
        <v>223</v>
      </c>
      <c r="H668" s="69">
        <v>9621</v>
      </c>
      <c r="I668" s="67"/>
      <c r="J668" s="67"/>
      <c r="K668" s="67"/>
      <c r="L668" s="67"/>
      <c r="M668" s="67"/>
      <c r="N668" s="67"/>
      <c r="O668" s="67"/>
      <c r="P668" s="67"/>
      <c r="Q668" s="67"/>
      <c r="R668" s="67"/>
      <c r="S668" s="67"/>
      <c r="T668" s="67"/>
      <c r="U668" s="67"/>
      <c r="V668" s="67"/>
      <c r="W668" s="67"/>
      <c r="X668" s="67"/>
      <c r="Y668" s="67"/>
      <c r="Z668" s="67"/>
    </row>
    <row r="669" spans="1:26" ht="12.5">
      <c r="A669" s="68" t="s">
        <v>1597</v>
      </c>
      <c r="B669" s="68" t="s">
        <v>1633</v>
      </c>
      <c r="C669" s="68" t="s">
        <v>626</v>
      </c>
      <c r="D669" s="68" t="s">
        <v>20</v>
      </c>
      <c r="E669" s="69">
        <v>2020</v>
      </c>
      <c r="F669" s="69">
        <v>39</v>
      </c>
      <c r="G669" s="69">
        <v>375.9</v>
      </c>
      <c r="H669" s="69">
        <v>39691</v>
      </c>
      <c r="I669" s="67"/>
      <c r="J669" s="67"/>
      <c r="K669" s="67"/>
      <c r="L669" s="67"/>
      <c r="M669" s="67"/>
      <c r="N669" s="67"/>
      <c r="O669" s="67"/>
      <c r="P669" s="67"/>
      <c r="Q669" s="67"/>
      <c r="R669" s="67"/>
      <c r="S669" s="67"/>
      <c r="T669" s="67"/>
      <c r="U669" s="67"/>
      <c r="V669" s="67"/>
      <c r="W669" s="67"/>
      <c r="X669" s="67"/>
      <c r="Y669" s="67"/>
      <c r="Z669" s="67"/>
    </row>
    <row r="670" spans="1:26" ht="12.5">
      <c r="A670" s="68" t="s">
        <v>1597</v>
      </c>
      <c r="B670" s="68" t="s">
        <v>1633</v>
      </c>
      <c r="C670" s="68" t="s">
        <v>1642</v>
      </c>
      <c r="D670" s="68" t="s">
        <v>28</v>
      </c>
      <c r="E670" s="69">
        <v>2020</v>
      </c>
      <c r="F670" s="69">
        <v>23</v>
      </c>
      <c r="G670" s="69">
        <v>226.2</v>
      </c>
      <c r="H670" s="69">
        <v>20696</v>
      </c>
      <c r="I670" s="67"/>
      <c r="J670" s="67"/>
      <c r="K670" s="67"/>
      <c r="L670" s="67"/>
      <c r="M670" s="67"/>
      <c r="N670" s="67"/>
      <c r="O670" s="67"/>
      <c r="P670" s="67"/>
      <c r="Q670" s="67"/>
      <c r="R670" s="67"/>
      <c r="S670" s="67"/>
      <c r="T670" s="67"/>
      <c r="U670" s="67"/>
      <c r="V670" s="67"/>
      <c r="W670" s="67"/>
      <c r="X670" s="67"/>
      <c r="Y670" s="67"/>
      <c r="Z670" s="67"/>
    </row>
    <row r="671" spans="1:26" ht="12.5">
      <c r="A671" s="68" t="s">
        <v>1597</v>
      </c>
      <c r="B671" s="68" t="s">
        <v>1633</v>
      </c>
      <c r="C671" s="68" t="s">
        <v>1644</v>
      </c>
      <c r="D671" s="68" t="s">
        <v>28</v>
      </c>
      <c r="E671" s="69">
        <v>2020</v>
      </c>
      <c r="F671" s="69">
        <v>36</v>
      </c>
      <c r="G671" s="69">
        <v>233.9</v>
      </c>
      <c r="H671" s="69">
        <v>16154</v>
      </c>
      <c r="I671" s="67"/>
      <c r="J671" s="67"/>
      <c r="K671" s="67"/>
      <c r="L671" s="67"/>
      <c r="M671" s="67"/>
      <c r="N671" s="67"/>
      <c r="O671" s="67"/>
      <c r="P671" s="67"/>
      <c r="Q671" s="67"/>
      <c r="R671" s="67"/>
      <c r="S671" s="67"/>
      <c r="T671" s="67"/>
      <c r="U671" s="67"/>
      <c r="V671" s="67"/>
      <c r="W671" s="67"/>
      <c r="X671" s="67"/>
      <c r="Y671" s="67"/>
      <c r="Z671" s="67"/>
    </row>
    <row r="672" spans="1:26" ht="12.5">
      <c r="A672" s="68" t="s">
        <v>1597</v>
      </c>
      <c r="B672" s="68" t="s">
        <v>1633</v>
      </c>
      <c r="C672" s="68" t="s">
        <v>1646</v>
      </c>
      <c r="D672" s="68" t="s">
        <v>20</v>
      </c>
      <c r="E672" s="69">
        <v>2020</v>
      </c>
      <c r="F672" s="69">
        <v>49</v>
      </c>
      <c r="G672" s="69">
        <v>453.6</v>
      </c>
      <c r="H672" s="69">
        <v>34560</v>
      </c>
      <c r="I672" s="67"/>
      <c r="J672" s="67"/>
      <c r="K672" s="67"/>
      <c r="L672" s="67"/>
      <c r="M672" s="67"/>
      <c r="N672" s="67"/>
      <c r="O672" s="67"/>
      <c r="P672" s="67"/>
      <c r="Q672" s="67"/>
      <c r="R672" s="67"/>
      <c r="S672" s="67"/>
      <c r="T672" s="67"/>
      <c r="U672" s="67"/>
      <c r="V672" s="67"/>
      <c r="W672" s="67"/>
      <c r="X672" s="67"/>
      <c r="Y672" s="67"/>
      <c r="Z672" s="67"/>
    </row>
    <row r="673" spans="1:26" ht="12.5">
      <c r="A673" s="68" t="s">
        <v>1597</v>
      </c>
      <c r="B673" s="68" t="s">
        <v>1633</v>
      </c>
      <c r="C673" s="68" t="s">
        <v>1649</v>
      </c>
      <c r="D673" s="68" t="s">
        <v>28</v>
      </c>
      <c r="E673" s="69">
        <v>2020</v>
      </c>
      <c r="F673" s="69">
        <v>14</v>
      </c>
      <c r="G673" s="69">
        <v>150.4</v>
      </c>
      <c r="H673" s="69">
        <v>10127</v>
      </c>
      <c r="I673" s="67"/>
      <c r="J673" s="67"/>
      <c r="K673" s="67"/>
      <c r="L673" s="67"/>
      <c r="M673" s="67"/>
      <c r="N673" s="67"/>
      <c r="O673" s="67"/>
      <c r="P673" s="67"/>
      <c r="Q673" s="67"/>
      <c r="R673" s="67"/>
      <c r="S673" s="67"/>
      <c r="T673" s="67"/>
      <c r="U673" s="67"/>
      <c r="V673" s="67"/>
      <c r="W673" s="67"/>
      <c r="X673" s="67"/>
      <c r="Y673" s="67"/>
      <c r="Z673" s="67"/>
    </row>
    <row r="674" spans="1:26" ht="12.5">
      <c r="A674" s="68" t="s">
        <v>1597</v>
      </c>
      <c r="B674" s="68" t="s">
        <v>1633</v>
      </c>
      <c r="C674" s="68" t="s">
        <v>1651</v>
      </c>
      <c r="D674" s="68" t="s">
        <v>28</v>
      </c>
      <c r="E674" s="69">
        <v>2020</v>
      </c>
      <c r="F674" s="69">
        <v>5</v>
      </c>
      <c r="G674" s="69">
        <v>30.9</v>
      </c>
      <c r="H674" s="69">
        <v>19658</v>
      </c>
      <c r="I674" s="67"/>
      <c r="J674" s="67"/>
      <c r="K674" s="67"/>
      <c r="L674" s="67"/>
      <c r="M674" s="67"/>
      <c r="N674" s="67"/>
      <c r="O674" s="67"/>
      <c r="P674" s="67"/>
      <c r="Q674" s="67"/>
      <c r="R674" s="67"/>
      <c r="S674" s="67"/>
      <c r="T674" s="67"/>
      <c r="U674" s="67"/>
      <c r="V674" s="67"/>
      <c r="W674" s="67"/>
      <c r="X674" s="67"/>
      <c r="Y674" s="67"/>
      <c r="Z674" s="67"/>
    </row>
    <row r="675" spans="1:26" ht="12.5">
      <c r="A675" s="68" t="s">
        <v>1597</v>
      </c>
      <c r="B675" s="68" t="s">
        <v>1633</v>
      </c>
      <c r="C675" s="68" t="s">
        <v>1653</v>
      </c>
      <c r="D675" s="68" t="s">
        <v>20</v>
      </c>
      <c r="E675" s="69">
        <v>2020</v>
      </c>
      <c r="F675" s="69">
        <v>29</v>
      </c>
      <c r="G675" s="69">
        <v>344.4</v>
      </c>
      <c r="H675" s="69">
        <v>21384</v>
      </c>
      <c r="I675" s="67"/>
      <c r="J675" s="67"/>
      <c r="K675" s="67"/>
      <c r="L675" s="67"/>
      <c r="M675" s="67"/>
      <c r="N675" s="67"/>
      <c r="O675" s="67"/>
      <c r="P675" s="67"/>
      <c r="Q675" s="67"/>
      <c r="R675" s="67"/>
      <c r="S675" s="67"/>
      <c r="T675" s="67"/>
      <c r="U675" s="67"/>
      <c r="V675" s="67"/>
      <c r="W675" s="67"/>
      <c r="X675" s="67"/>
      <c r="Y675" s="67"/>
      <c r="Z675" s="67"/>
    </row>
    <row r="676" spans="1:26" ht="12.5">
      <c r="A676" s="68" t="s">
        <v>1597</v>
      </c>
      <c r="B676" s="68" t="s">
        <v>1633</v>
      </c>
      <c r="C676" s="68" t="s">
        <v>1655</v>
      </c>
      <c r="D676" s="68" t="s">
        <v>20</v>
      </c>
      <c r="E676" s="69">
        <v>2020</v>
      </c>
      <c r="F676" s="69">
        <v>22</v>
      </c>
      <c r="G676" s="69">
        <v>186.9</v>
      </c>
      <c r="H676" s="69">
        <v>13779</v>
      </c>
      <c r="I676" s="67"/>
      <c r="J676" s="67"/>
      <c r="K676" s="67"/>
      <c r="L676" s="67"/>
      <c r="M676" s="67"/>
      <c r="N676" s="67"/>
      <c r="O676" s="67"/>
      <c r="P676" s="67"/>
      <c r="Q676" s="67"/>
      <c r="R676" s="67"/>
      <c r="S676" s="67"/>
      <c r="T676" s="67"/>
      <c r="U676" s="67"/>
      <c r="V676" s="67"/>
      <c r="W676" s="67"/>
      <c r="X676" s="67"/>
      <c r="Y676" s="67"/>
      <c r="Z676" s="67"/>
    </row>
    <row r="677" spans="1:26" ht="12.5">
      <c r="A677" s="68" t="s">
        <v>1597</v>
      </c>
      <c r="B677" s="68" t="s">
        <v>1633</v>
      </c>
      <c r="C677" s="68" t="s">
        <v>1658</v>
      </c>
      <c r="D677" s="68" t="s">
        <v>32</v>
      </c>
      <c r="E677" s="69">
        <v>2020</v>
      </c>
      <c r="F677" s="69">
        <v>17</v>
      </c>
      <c r="G677" s="69">
        <v>114.2</v>
      </c>
      <c r="H677" s="69">
        <v>11654</v>
      </c>
      <c r="I677" s="67"/>
      <c r="J677" s="67"/>
      <c r="K677" s="67"/>
      <c r="L677" s="67"/>
      <c r="M677" s="67"/>
      <c r="N677" s="67"/>
      <c r="O677" s="67"/>
      <c r="P677" s="67"/>
      <c r="Q677" s="67"/>
      <c r="R677" s="67"/>
      <c r="S677" s="67"/>
      <c r="T677" s="67"/>
      <c r="U677" s="67"/>
      <c r="V677" s="67"/>
      <c r="W677" s="67"/>
      <c r="X677" s="67"/>
      <c r="Y677" s="67"/>
      <c r="Z677" s="67"/>
    </row>
    <row r="678" spans="1:26" ht="12.5">
      <c r="A678" s="68" t="s">
        <v>1597</v>
      </c>
      <c r="B678" s="68" t="s">
        <v>1633</v>
      </c>
      <c r="C678" s="68" t="s">
        <v>1661</v>
      </c>
      <c r="D678" s="68" t="s">
        <v>20</v>
      </c>
      <c r="E678" s="69">
        <v>2020</v>
      </c>
      <c r="F678" s="69">
        <v>20</v>
      </c>
      <c r="G678" s="69">
        <v>311.39999999999998</v>
      </c>
      <c r="H678" s="69">
        <v>780804</v>
      </c>
      <c r="I678" s="67"/>
      <c r="J678" s="67"/>
      <c r="K678" s="67"/>
      <c r="L678" s="67"/>
      <c r="M678" s="67"/>
      <c r="N678" s="67"/>
      <c r="O678" s="67"/>
      <c r="P678" s="67"/>
      <c r="Q678" s="67"/>
      <c r="R678" s="67"/>
      <c r="S678" s="67"/>
      <c r="T678" s="67"/>
      <c r="U678" s="67"/>
      <c r="V678" s="67"/>
      <c r="W678" s="67"/>
      <c r="X678" s="67"/>
      <c r="Y678" s="67"/>
      <c r="Z678" s="67"/>
    </row>
    <row r="679" spans="1:26" ht="12.5">
      <c r="A679" s="68" t="s">
        <v>1597</v>
      </c>
      <c r="B679" s="68" t="s">
        <v>1633</v>
      </c>
      <c r="C679" s="68" t="s">
        <v>1664</v>
      </c>
      <c r="D679" s="68" t="s">
        <v>28</v>
      </c>
      <c r="E679" s="69">
        <v>2020</v>
      </c>
      <c r="F679" s="69">
        <v>5</v>
      </c>
      <c r="G679" s="69">
        <v>43.1</v>
      </c>
      <c r="H679" s="69">
        <v>9617</v>
      </c>
      <c r="I679" s="67"/>
      <c r="J679" s="67"/>
      <c r="K679" s="67"/>
      <c r="L679" s="67"/>
      <c r="M679" s="67"/>
      <c r="N679" s="67"/>
      <c r="O679" s="67"/>
      <c r="P679" s="67"/>
      <c r="Q679" s="67"/>
      <c r="R679" s="67"/>
      <c r="S679" s="67"/>
      <c r="T679" s="67"/>
      <c r="U679" s="67"/>
      <c r="V679" s="67"/>
      <c r="W679" s="67"/>
      <c r="X679" s="67"/>
      <c r="Y679" s="67"/>
      <c r="Z679" s="67"/>
    </row>
    <row r="680" spans="1:26" ht="12.5">
      <c r="A680" s="68" t="s">
        <v>1597</v>
      </c>
      <c r="B680" s="68" t="s">
        <v>1633</v>
      </c>
      <c r="C680" s="68" t="s">
        <v>1666</v>
      </c>
      <c r="D680" s="68" t="s">
        <v>32</v>
      </c>
      <c r="E680" s="69">
        <v>2020</v>
      </c>
      <c r="F680" s="69">
        <v>18</v>
      </c>
      <c r="G680" s="69">
        <v>221</v>
      </c>
      <c r="H680" s="69">
        <v>18542</v>
      </c>
      <c r="I680" s="67"/>
      <c r="J680" s="67"/>
      <c r="K680" s="67"/>
      <c r="L680" s="67"/>
      <c r="M680" s="67"/>
      <c r="N680" s="67"/>
      <c r="O680" s="67"/>
      <c r="P680" s="67"/>
      <c r="Q680" s="67"/>
      <c r="R680" s="67"/>
      <c r="S680" s="67"/>
      <c r="T680" s="67"/>
      <c r="U680" s="67"/>
      <c r="V680" s="67"/>
      <c r="W680" s="67"/>
      <c r="X680" s="67"/>
      <c r="Y680" s="67"/>
      <c r="Z680" s="67"/>
    </row>
    <row r="681" spans="1:26" ht="12.5">
      <c r="A681" s="68" t="s">
        <v>1597</v>
      </c>
      <c r="B681" s="68" t="s">
        <v>1633</v>
      </c>
      <c r="C681" s="68" t="s">
        <v>1669</v>
      </c>
      <c r="D681" s="68" t="s">
        <v>28</v>
      </c>
      <c r="E681" s="69">
        <v>2020</v>
      </c>
      <c r="F681" s="69">
        <v>6</v>
      </c>
      <c r="G681" s="69">
        <v>49.8</v>
      </c>
      <c r="H681" s="69">
        <v>7661</v>
      </c>
      <c r="I681" s="67"/>
      <c r="J681" s="67"/>
      <c r="K681" s="67"/>
      <c r="L681" s="67"/>
      <c r="M681" s="67"/>
      <c r="N681" s="67"/>
      <c r="O681" s="67"/>
      <c r="P681" s="67"/>
      <c r="Q681" s="67"/>
      <c r="R681" s="67"/>
      <c r="S681" s="67"/>
      <c r="T681" s="67"/>
      <c r="U681" s="67"/>
      <c r="V681" s="67"/>
      <c r="W681" s="67"/>
      <c r="X681" s="67"/>
      <c r="Y681" s="67"/>
      <c r="Z681" s="67"/>
    </row>
    <row r="682" spans="1:26" ht="12.5">
      <c r="A682" s="68" t="s">
        <v>1597</v>
      </c>
      <c r="B682" s="68" t="s">
        <v>1633</v>
      </c>
      <c r="C682" s="68" t="s">
        <v>1672</v>
      </c>
      <c r="D682" s="68" t="s">
        <v>20</v>
      </c>
      <c r="E682" s="69">
        <v>2020</v>
      </c>
      <c r="F682" s="69">
        <v>59</v>
      </c>
      <c r="G682" s="69">
        <v>584</v>
      </c>
      <c r="H682" s="69">
        <v>23787</v>
      </c>
      <c r="I682" s="67"/>
      <c r="J682" s="67"/>
      <c r="K682" s="67"/>
      <c r="L682" s="67"/>
      <c r="M682" s="67"/>
      <c r="N682" s="67"/>
      <c r="O682" s="67"/>
      <c r="P682" s="67"/>
      <c r="Q682" s="67"/>
      <c r="R682" s="67"/>
      <c r="S682" s="67"/>
      <c r="T682" s="67"/>
      <c r="U682" s="67"/>
      <c r="V682" s="67"/>
      <c r="W682" s="67"/>
      <c r="X682" s="67"/>
      <c r="Y682" s="67"/>
      <c r="Z682" s="67"/>
    </row>
    <row r="683" spans="1:26" ht="12.5">
      <c r="A683" s="68" t="s">
        <v>1597</v>
      </c>
      <c r="B683" s="68" t="s">
        <v>1633</v>
      </c>
      <c r="C683" s="68" t="s">
        <v>1675</v>
      </c>
      <c r="D683" s="68" t="s">
        <v>20</v>
      </c>
      <c r="E683" s="69">
        <v>2020</v>
      </c>
      <c r="F683" s="69">
        <v>10</v>
      </c>
      <c r="G683" s="69">
        <v>95.7</v>
      </c>
      <c r="H683" s="69">
        <v>15204</v>
      </c>
      <c r="I683" s="67"/>
      <c r="J683" s="67"/>
      <c r="K683" s="67"/>
      <c r="L683" s="67"/>
      <c r="M683" s="67"/>
      <c r="N683" s="67"/>
      <c r="O683" s="67"/>
      <c r="P683" s="67"/>
      <c r="Q683" s="67"/>
      <c r="R683" s="67"/>
      <c r="S683" s="67"/>
      <c r="T683" s="67"/>
      <c r="U683" s="67"/>
      <c r="V683" s="67"/>
      <c r="W683" s="67"/>
      <c r="X683" s="67"/>
      <c r="Y683" s="67"/>
      <c r="Z683" s="67"/>
    </row>
    <row r="684" spans="1:26" ht="12.5">
      <c r="A684" s="68" t="s">
        <v>1597</v>
      </c>
      <c r="B684" s="68" t="s">
        <v>1633</v>
      </c>
      <c r="C684" s="68" t="s">
        <v>1678</v>
      </c>
      <c r="D684" s="68" t="s">
        <v>28</v>
      </c>
      <c r="E684" s="69">
        <v>2020</v>
      </c>
      <c r="F684" s="69">
        <v>11</v>
      </c>
      <c r="G684" s="69">
        <v>124.1</v>
      </c>
      <c r="H684" s="69">
        <v>8203</v>
      </c>
      <c r="I684" s="67"/>
      <c r="J684" s="67"/>
      <c r="K684" s="67"/>
      <c r="L684" s="67"/>
      <c r="M684" s="67"/>
      <c r="N684" s="67"/>
      <c r="O684" s="67"/>
      <c r="P684" s="67"/>
      <c r="Q684" s="67"/>
      <c r="R684" s="67"/>
      <c r="S684" s="67"/>
      <c r="T684" s="67"/>
      <c r="U684" s="67"/>
      <c r="V684" s="67"/>
      <c r="W684" s="67"/>
      <c r="X684" s="67"/>
      <c r="Y684" s="67"/>
      <c r="Z684" s="67"/>
    </row>
    <row r="685" spans="1:26" ht="12.5">
      <c r="A685" s="68" t="s">
        <v>1597</v>
      </c>
      <c r="B685" s="68" t="s">
        <v>1633</v>
      </c>
      <c r="C685" s="68" t="s">
        <v>1680</v>
      </c>
      <c r="D685" s="68" t="s">
        <v>20</v>
      </c>
      <c r="E685" s="69">
        <v>2020</v>
      </c>
      <c r="F685" s="69">
        <v>46</v>
      </c>
      <c r="G685" s="69">
        <v>318.10000000000002</v>
      </c>
      <c r="H685" s="69">
        <v>25694</v>
      </c>
      <c r="I685" s="67"/>
      <c r="J685" s="67"/>
      <c r="K685" s="67"/>
      <c r="L685" s="67"/>
      <c r="M685" s="67"/>
      <c r="N685" s="67"/>
      <c r="O685" s="67"/>
      <c r="P685" s="67"/>
      <c r="Q685" s="67"/>
      <c r="R685" s="67"/>
      <c r="S685" s="67"/>
      <c r="T685" s="67"/>
      <c r="U685" s="67"/>
      <c r="V685" s="67"/>
      <c r="W685" s="67"/>
      <c r="X685" s="67"/>
      <c r="Y685" s="67"/>
      <c r="Z685" s="67"/>
    </row>
    <row r="686" spans="1:26" ht="12.5">
      <c r="A686" s="68" t="s">
        <v>1597</v>
      </c>
      <c r="B686" s="68" t="s">
        <v>1633</v>
      </c>
      <c r="C686" s="68" t="s">
        <v>1683</v>
      </c>
      <c r="D686" s="68" t="s">
        <v>28</v>
      </c>
      <c r="E686" s="69">
        <v>2020</v>
      </c>
      <c r="F686" s="69">
        <v>3</v>
      </c>
      <c r="G686" s="69">
        <v>32.9</v>
      </c>
      <c r="H686" s="69">
        <v>8448</v>
      </c>
      <c r="I686" s="67"/>
      <c r="J686" s="67"/>
      <c r="K686" s="67"/>
      <c r="L686" s="67"/>
      <c r="M686" s="67"/>
      <c r="N686" s="67"/>
      <c r="O686" s="67"/>
      <c r="P686" s="67"/>
      <c r="Q686" s="67"/>
      <c r="R686" s="67"/>
      <c r="S686" s="67"/>
      <c r="T686" s="67"/>
      <c r="U686" s="67"/>
      <c r="V686" s="67"/>
      <c r="W686" s="67"/>
      <c r="X686" s="67"/>
      <c r="Y686" s="67"/>
      <c r="Z686" s="67"/>
    </row>
    <row r="687" spans="1:26" ht="12.5">
      <c r="A687" s="68" t="s">
        <v>1597</v>
      </c>
      <c r="B687" s="68" t="s">
        <v>1633</v>
      </c>
      <c r="C687" s="68" t="s">
        <v>1686</v>
      </c>
      <c r="D687" s="68" t="s">
        <v>28</v>
      </c>
      <c r="E687" s="69">
        <v>2020</v>
      </c>
      <c r="F687" s="69">
        <v>21</v>
      </c>
      <c r="G687" s="69">
        <v>174.4</v>
      </c>
      <c r="H687" s="69">
        <v>13391</v>
      </c>
      <c r="I687" s="67"/>
      <c r="J687" s="67"/>
      <c r="K687" s="67"/>
      <c r="L687" s="67"/>
      <c r="M687" s="67"/>
      <c r="N687" s="67"/>
      <c r="O687" s="67"/>
      <c r="P687" s="67"/>
      <c r="Q687" s="67"/>
      <c r="R687" s="67"/>
      <c r="S687" s="67"/>
      <c r="T687" s="67"/>
      <c r="U687" s="67"/>
      <c r="V687" s="67"/>
      <c r="W687" s="67"/>
      <c r="X687" s="67"/>
      <c r="Y687" s="67"/>
      <c r="Z687" s="67"/>
    </row>
    <row r="688" spans="1:26" ht="12.5">
      <c r="A688" s="68" t="s">
        <v>1597</v>
      </c>
      <c r="B688" s="68" t="s">
        <v>1633</v>
      </c>
      <c r="C688" s="68" t="s">
        <v>1688</v>
      </c>
      <c r="D688" s="68" t="s">
        <v>32</v>
      </c>
      <c r="E688" s="69">
        <v>2020</v>
      </c>
      <c r="F688" s="69">
        <v>17</v>
      </c>
      <c r="G688" s="69">
        <v>114.5</v>
      </c>
      <c r="H688" s="69">
        <v>11696</v>
      </c>
      <c r="I688" s="67"/>
      <c r="J688" s="67"/>
      <c r="K688" s="67"/>
      <c r="L688" s="67"/>
      <c r="M688" s="67"/>
      <c r="N688" s="67"/>
      <c r="O688" s="67"/>
      <c r="P688" s="67"/>
      <c r="Q688" s="67"/>
      <c r="R688" s="67"/>
      <c r="S688" s="67"/>
      <c r="T688" s="67"/>
      <c r="U688" s="67"/>
      <c r="V688" s="67"/>
      <c r="W688" s="67"/>
      <c r="X688" s="67"/>
      <c r="Y688" s="67"/>
      <c r="Z688" s="67"/>
    </row>
    <row r="689" spans="1:26" ht="12.5">
      <c r="A689" s="68" t="s">
        <v>1597</v>
      </c>
      <c r="B689" s="68" t="s">
        <v>1690</v>
      </c>
      <c r="C689" s="68" t="s">
        <v>1691</v>
      </c>
      <c r="D689" s="68" t="s">
        <v>32</v>
      </c>
      <c r="E689" s="69">
        <v>2020</v>
      </c>
      <c r="F689" s="69">
        <v>33</v>
      </c>
      <c r="G689" s="69">
        <v>638</v>
      </c>
      <c r="H689" s="69">
        <v>23371</v>
      </c>
      <c r="I689" s="67"/>
      <c r="J689" s="67"/>
      <c r="K689" s="67"/>
      <c r="L689" s="67"/>
      <c r="M689" s="67"/>
      <c r="N689" s="67"/>
      <c r="O689" s="67"/>
      <c r="P689" s="67"/>
      <c r="Q689" s="67"/>
      <c r="R689" s="67"/>
      <c r="S689" s="67"/>
      <c r="T689" s="67"/>
      <c r="U689" s="67"/>
      <c r="V689" s="67"/>
      <c r="W689" s="67"/>
      <c r="X689" s="67"/>
      <c r="Y689" s="67"/>
      <c r="Z689" s="67"/>
    </row>
    <row r="690" spans="1:26" ht="12.5">
      <c r="A690" s="68" t="s">
        <v>1597</v>
      </c>
      <c r="B690" s="68" t="s">
        <v>1690</v>
      </c>
      <c r="C690" s="68" t="s">
        <v>1694</v>
      </c>
      <c r="D690" s="68" t="s">
        <v>28</v>
      </c>
      <c r="E690" s="69">
        <v>2020</v>
      </c>
      <c r="F690" s="69">
        <v>32</v>
      </c>
      <c r="G690" s="69">
        <v>215.8</v>
      </c>
      <c r="H690" s="69">
        <v>17999</v>
      </c>
      <c r="I690" s="67"/>
      <c r="J690" s="67"/>
      <c r="K690" s="67"/>
      <c r="L690" s="67"/>
      <c r="M690" s="67"/>
      <c r="N690" s="67"/>
      <c r="O690" s="67"/>
      <c r="P690" s="67"/>
      <c r="Q690" s="67"/>
      <c r="R690" s="67"/>
      <c r="S690" s="67"/>
      <c r="T690" s="67"/>
      <c r="U690" s="67"/>
      <c r="V690" s="67"/>
      <c r="W690" s="67"/>
      <c r="X690" s="67"/>
      <c r="Y690" s="67"/>
      <c r="Z690" s="67"/>
    </row>
    <row r="691" spans="1:26" ht="12.5">
      <c r="A691" s="68" t="s">
        <v>1597</v>
      </c>
      <c r="B691" s="68" t="s">
        <v>1690</v>
      </c>
      <c r="C691" s="68" t="s">
        <v>1696</v>
      </c>
      <c r="D691" s="68" t="s">
        <v>20</v>
      </c>
      <c r="E691" s="69">
        <v>2020</v>
      </c>
      <c r="F691" s="69">
        <v>37</v>
      </c>
      <c r="G691" s="69">
        <v>293.89999999999998</v>
      </c>
      <c r="H691" s="69">
        <v>19868</v>
      </c>
      <c r="I691" s="67"/>
      <c r="J691" s="67"/>
      <c r="K691" s="67"/>
      <c r="L691" s="67"/>
      <c r="M691" s="67"/>
      <c r="N691" s="67"/>
      <c r="O691" s="67"/>
      <c r="P691" s="67"/>
      <c r="Q691" s="67"/>
      <c r="R691" s="67"/>
      <c r="S691" s="67"/>
      <c r="T691" s="67"/>
      <c r="U691" s="67"/>
      <c r="V691" s="67"/>
      <c r="W691" s="67"/>
      <c r="X691" s="67"/>
      <c r="Y691" s="67"/>
      <c r="Z691" s="67"/>
    </row>
    <row r="692" spans="1:26" ht="12.5">
      <c r="A692" s="68" t="s">
        <v>1597</v>
      </c>
      <c r="B692" s="68" t="s">
        <v>1690</v>
      </c>
      <c r="C692" s="68" t="s">
        <v>1699</v>
      </c>
      <c r="D692" s="68" t="s">
        <v>20</v>
      </c>
      <c r="E692" s="69">
        <v>2020</v>
      </c>
      <c r="F692" s="69">
        <v>25</v>
      </c>
      <c r="G692" s="69">
        <v>252.1</v>
      </c>
      <c r="H692" s="69">
        <v>14227</v>
      </c>
      <c r="I692" s="67"/>
      <c r="J692" s="67"/>
      <c r="K692" s="67"/>
      <c r="L692" s="67"/>
      <c r="M692" s="67"/>
      <c r="N692" s="67"/>
      <c r="O692" s="67"/>
      <c r="P692" s="67"/>
      <c r="Q692" s="67"/>
      <c r="R692" s="67"/>
      <c r="S692" s="67"/>
      <c r="T692" s="67"/>
      <c r="U692" s="67"/>
      <c r="V692" s="67"/>
      <c r="W692" s="67"/>
      <c r="X692" s="67"/>
      <c r="Y692" s="67"/>
      <c r="Z692" s="67"/>
    </row>
    <row r="693" spans="1:26" ht="12.5">
      <c r="A693" s="68" t="s">
        <v>1597</v>
      </c>
      <c r="B693" s="68" t="s">
        <v>1690</v>
      </c>
      <c r="C693" s="68" t="s">
        <v>1701</v>
      </c>
      <c r="D693" s="68" t="s">
        <v>28</v>
      </c>
      <c r="E693" s="69">
        <v>2020</v>
      </c>
      <c r="F693" s="69">
        <v>23</v>
      </c>
      <c r="G693" s="69">
        <v>229.3</v>
      </c>
      <c r="H693" s="69">
        <v>13061</v>
      </c>
      <c r="I693" s="67"/>
      <c r="J693" s="67"/>
      <c r="K693" s="67"/>
      <c r="L693" s="67"/>
      <c r="M693" s="67"/>
      <c r="N693" s="67"/>
      <c r="O693" s="67"/>
      <c r="P693" s="67"/>
      <c r="Q693" s="67"/>
      <c r="R693" s="67"/>
      <c r="S693" s="67"/>
      <c r="T693" s="67"/>
      <c r="U693" s="67"/>
      <c r="V693" s="67"/>
      <c r="W693" s="67"/>
      <c r="X693" s="67"/>
      <c r="Y693" s="67"/>
      <c r="Z693" s="67"/>
    </row>
    <row r="694" spans="1:26" ht="12.5">
      <c r="A694" s="68" t="s">
        <v>1597</v>
      </c>
      <c r="B694" s="68" t="s">
        <v>1690</v>
      </c>
      <c r="C694" s="68" t="s">
        <v>1704</v>
      </c>
      <c r="D694" s="68" t="s">
        <v>20</v>
      </c>
      <c r="E694" s="69">
        <v>2020</v>
      </c>
      <c r="F694" s="69">
        <v>34</v>
      </c>
      <c r="G694" s="69">
        <v>302.8</v>
      </c>
      <c r="H694" s="69">
        <v>25339</v>
      </c>
      <c r="I694" s="67"/>
      <c r="J694" s="67"/>
      <c r="K694" s="67"/>
      <c r="L694" s="67"/>
      <c r="M694" s="67"/>
      <c r="N694" s="67"/>
      <c r="O694" s="67"/>
      <c r="P694" s="67"/>
      <c r="Q694" s="67"/>
      <c r="R694" s="67"/>
      <c r="S694" s="67"/>
      <c r="T694" s="67"/>
      <c r="U694" s="67"/>
      <c r="V694" s="67"/>
      <c r="W694" s="67"/>
      <c r="X694" s="67"/>
      <c r="Y694" s="67"/>
      <c r="Z694" s="67"/>
    </row>
    <row r="695" spans="1:26" ht="12.5">
      <c r="A695" s="68" t="s">
        <v>1597</v>
      </c>
      <c r="B695" s="68" t="s">
        <v>1690</v>
      </c>
      <c r="C695" s="68" t="s">
        <v>1706</v>
      </c>
      <c r="D695" s="68" t="s">
        <v>20</v>
      </c>
      <c r="E695" s="69">
        <v>2020</v>
      </c>
      <c r="F695" s="69">
        <v>5</v>
      </c>
      <c r="G695" s="69">
        <v>42.2</v>
      </c>
      <c r="H695" s="69">
        <v>36979</v>
      </c>
      <c r="I695" s="67"/>
      <c r="J695" s="67"/>
      <c r="K695" s="67"/>
      <c r="L695" s="67"/>
      <c r="M695" s="67"/>
      <c r="N695" s="67"/>
      <c r="O695" s="67"/>
      <c r="P695" s="67"/>
      <c r="Q695" s="67"/>
      <c r="R695" s="67"/>
      <c r="S695" s="67"/>
      <c r="T695" s="67"/>
      <c r="U695" s="67"/>
      <c r="V695" s="67"/>
      <c r="W695" s="67"/>
      <c r="X695" s="67"/>
      <c r="Y695" s="67"/>
      <c r="Z695" s="67"/>
    </row>
    <row r="696" spans="1:26" ht="12.5">
      <c r="A696" s="68" t="s">
        <v>1597</v>
      </c>
      <c r="B696" s="68" t="s">
        <v>1690</v>
      </c>
      <c r="C696" s="68" t="s">
        <v>1709</v>
      </c>
      <c r="D696" s="68" t="s">
        <v>20</v>
      </c>
      <c r="E696" s="69">
        <v>2020</v>
      </c>
      <c r="F696" s="69">
        <v>26</v>
      </c>
      <c r="G696" s="69">
        <v>335.8</v>
      </c>
      <c r="H696" s="69">
        <v>21173</v>
      </c>
      <c r="I696" s="67"/>
      <c r="J696" s="67"/>
      <c r="K696" s="67"/>
      <c r="L696" s="67"/>
      <c r="M696" s="67"/>
      <c r="N696" s="67"/>
      <c r="O696" s="67"/>
      <c r="P696" s="67"/>
      <c r="Q696" s="67"/>
      <c r="R696" s="67"/>
      <c r="S696" s="67"/>
      <c r="T696" s="67"/>
      <c r="U696" s="67"/>
      <c r="V696" s="67"/>
      <c r="W696" s="67"/>
      <c r="X696" s="67"/>
      <c r="Y696" s="67"/>
      <c r="Z696" s="67"/>
    </row>
    <row r="697" spans="1:26" ht="12.5">
      <c r="A697" s="68" t="s">
        <v>1597</v>
      </c>
      <c r="B697" s="68" t="s">
        <v>1690</v>
      </c>
      <c r="C697" s="68" t="s">
        <v>1712</v>
      </c>
      <c r="D697" s="68" t="s">
        <v>28</v>
      </c>
      <c r="E697" s="69">
        <v>2020</v>
      </c>
      <c r="F697" s="69">
        <v>21</v>
      </c>
      <c r="G697" s="69">
        <v>320.39999999999998</v>
      </c>
      <c r="H697" s="69">
        <v>14349</v>
      </c>
      <c r="I697" s="67"/>
      <c r="J697" s="67"/>
      <c r="K697" s="67"/>
      <c r="L697" s="67"/>
      <c r="M697" s="67"/>
      <c r="N697" s="67"/>
      <c r="O697" s="67"/>
      <c r="P697" s="67"/>
      <c r="Q697" s="67"/>
      <c r="R697" s="67"/>
      <c r="S697" s="67"/>
      <c r="T697" s="67"/>
      <c r="U697" s="67"/>
      <c r="V697" s="67"/>
      <c r="W697" s="67"/>
      <c r="X697" s="67"/>
      <c r="Y697" s="67"/>
      <c r="Z697" s="67"/>
    </row>
    <row r="698" spans="1:26" ht="12.5">
      <c r="A698" s="68" t="s">
        <v>1597</v>
      </c>
      <c r="B698" s="68" t="s">
        <v>1690</v>
      </c>
      <c r="C698" s="68" t="s">
        <v>1715</v>
      </c>
      <c r="D698" s="68" t="s">
        <v>20</v>
      </c>
      <c r="E698" s="69">
        <v>2020</v>
      </c>
      <c r="F698" s="69">
        <v>25</v>
      </c>
      <c r="G698" s="69">
        <v>398.8</v>
      </c>
      <c r="H698" s="69">
        <v>22529</v>
      </c>
      <c r="I698" s="67"/>
      <c r="J698" s="67"/>
      <c r="K698" s="67"/>
      <c r="L698" s="67"/>
      <c r="M698" s="67"/>
      <c r="N698" s="67"/>
      <c r="O698" s="67"/>
      <c r="P698" s="67"/>
      <c r="Q698" s="67"/>
      <c r="R698" s="67"/>
      <c r="S698" s="67"/>
      <c r="T698" s="67"/>
      <c r="U698" s="67"/>
      <c r="V698" s="67"/>
      <c r="W698" s="67"/>
      <c r="X698" s="67"/>
      <c r="Y698" s="67"/>
      <c r="Z698" s="67"/>
    </row>
    <row r="699" spans="1:26" ht="12.5">
      <c r="A699" s="68" t="s">
        <v>1597</v>
      </c>
      <c r="B699" s="68" t="s">
        <v>1690</v>
      </c>
      <c r="C699" s="68" t="s">
        <v>1718</v>
      </c>
      <c r="D699" s="68" t="s">
        <v>20</v>
      </c>
      <c r="E699" s="69">
        <v>2020</v>
      </c>
      <c r="F699" s="69">
        <v>25</v>
      </c>
      <c r="G699" s="69">
        <v>218</v>
      </c>
      <c r="H699" s="69">
        <v>15231</v>
      </c>
      <c r="I699" s="67"/>
      <c r="J699" s="67"/>
      <c r="K699" s="67"/>
      <c r="L699" s="67"/>
      <c r="M699" s="67"/>
      <c r="N699" s="67"/>
      <c r="O699" s="67"/>
      <c r="P699" s="67"/>
      <c r="Q699" s="67"/>
      <c r="R699" s="67"/>
      <c r="S699" s="67"/>
      <c r="T699" s="67"/>
      <c r="U699" s="67"/>
      <c r="V699" s="67"/>
      <c r="W699" s="67"/>
      <c r="X699" s="67"/>
      <c r="Y699" s="67"/>
      <c r="Z699" s="67"/>
    </row>
    <row r="700" spans="1:26" ht="12.5">
      <c r="A700" s="68" t="s">
        <v>1597</v>
      </c>
      <c r="B700" s="68" t="s">
        <v>1721</v>
      </c>
      <c r="C700" s="68" t="s">
        <v>1722</v>
      </c>
      <c r="D700" s="68" t="s">
        <v>32</v>
      </c>
      <c r="E700" s="69">
        <v>2020</v>
      </c>
      <c r="F700" s="69">
        <v>13</v>
      </c>
      <c r="G700" s="69">
        <v>105.9</v>
      </c>
      <c r="H700" s="69">
        <v>7118</v>
      </c>
      <c r="I700" s="67"/>
      <c r="J700" s="67"/>
      <c r="K700" s="67"/>
      <c r="L700" s="67"/>
      <c r="M700" s="67"/>
      <c r="N700" s="67"/>
      <c r="O700" s="67"/>
      <c r="P700" s="67"/>
      <c r="Q700" s="67"/>
      <c r="R700" s="67"/>
      <c r="S700" s="67"/>
      <c r="T700" s="67"/>
      <c r="U700" s="67"/>
      <c r="V700" s="67"/>
      <c r="W700" s="67"/>
      <c r="X700" s="67"/>
      <c r="Y700" s="67"/>
      <c r="Z700" s="67"/>
    </row>
    <row r="701" spans="1:26" ht="12.5">
      <c r="A701" s="68" t="s">
        <v>1597</v>
      </c>
      <c r="B701" s="68" t="s">
        <v>1721</v>
      </c>
      <c r="C701" s="68" t="s">
        <v>1724</v>
      </c>
      <c r="D701" s="68" t="s">
        <v>28</v>
      </c>
      <c r="E701" s="69">
        <v>2020</v>
      </c>
      <c r="F701" s="69">
        <v>12</v>
      </c>
      <c r="G701" s="69">
        <v>152.1</v>
      </c>
      <c r="H701" s="69">
        <v>12201</v>
      </c>
      <c r="I701" s="67"/>
      <c r="J701" s="67"/>
      <c r="K701" s="67"/>
      <c r="L701" s="67"/>
      <c r="M701" s="67"/>
      <c r="N701" s="67"/>
      <c r="O701" s="67"/>
      <c r="P701" s="67"/>
      <c r="Q701" s="67"/>
      <c r="R701" s="67"/>
      <c r="S701" s="67"/>
      <c r="T701" s="67"/>
      <c r="U701" s="67"/>
      <c r="V701" s="67"/>
      <c r="W701" s="67"/>
      <c r="X701" s="67"/>
      <c r="Y701" s="67"/>
      <c r="Z701" s="67"/>
    </row>
    <row r="702" spans="1:26" ht="12.5">
      <c r="A702" s="68" t="s">
        <v>1597</v>
      </c>
      <c r="B702" s="68" t="s">
        <v>1721</v>
      </c>
      <c r="C702" s="68" t="s">
        <v>1726</v>
      </c>
      <c r="D702" s="68" t="s">
        <v>20</v>
      </c>
      <c r="E702" s="69">
        <v>2020</v>
      </c>
      <c r="F702" s="69">
        <v>18</v>
      </c>
      <c r="G702" s="69">
        <v>178.4</v>
      </c>
      <c r="H702" s="69">
        <v>17682</v>
      </c>
      <c r="I702" s="67"/>
      <c r="J702" s="67"/>
      <c r="K702" s="67"/>
      <c r="L702" s="67"/>
      <c r="M702" s="67"/>
      <c r="N702" s="67"/>
      <c r="O702" s="67"/>
      <c r="P702" s="67"/>
      <c r="Q702" s="67"/>
      <c r="R702" s="67"/>
      <c r="S702" s="67"/>
      <c r="T702" s="67"/>
      <c r="U702" s="67"/>
      <c r="V702" s="67"/>
      <c r="W702" s="67"/>
      <c r="X702" s="67"/>
      <c r="Y702" s="67"/>
      <c r="Z702" s="67"/>
    </row>
    <row r="703" spans="1:26" ht="12.5">
      <c r="A703" s="68" t="s">
        <v>1597</v>
      </c>
      <c r="B703" s="68" t="s">
        <v>1721</v>
      </c>
      <c r="C703" s="68" t="s">
        <v>1729</v>
      </c>
      <c r="D703" s="68" t="s">
        <v>32</v>
      </c>
      <c r="E703" s="69">
        <v>2020</v>
      </c>
      <c r="F703" s="69">
        <v>27</v>
      </c>
      <c r="G703" s="69">
        <v>279.10000000000002</v>
      </c>
      <c r="H703" s="69">
        <v>11767</v>
      </c>
      <c r="I703" s="67"/>
      <c r="J703" s="67"/>
      <c r="K703" s="67"/>
      <c r="L703" s="67"/>
      <c r="M703" s="67"/>
      <c r="N703" s="67"/>
      <c r="O703" s="67"/>
      <c r="P703" s="67"/>
      <c r="Q703" s="67"/>
      <c r="R703" s="67"/>
      <c r="S703" s="67"/>
      <c r="T703" s="67"/>
      <c r="U703" s="67"/>
      <c r="V703" s="67"/>
      <c r="W703" s="67"/>
      <c r="X703" s="67"/>
      <c r="Y703" s="67"/>
      <c r="Z703" s="67"/>
    </row>
    <row r="704" spans="1:26" ht="12.5">
      <c r="A704" s="68" t="s">
        <v>1597</v>
      </c>
      <c r="B704" s="68" t="s">
        <v>1721</v>
      </c>
      <c r="C704" s="68" t="s">
        <v>1732</v>
      </c>
      <c r="D704" s="68" t="s">
        <v>28</v>
      </c>
      <c r="E704" s="69">
        <v>2020</v>
      </c>
      <c r="F704" s="69">
        <v>24</v>
      </c>
      <c r="G704" s="69">
        <v>420.9</v>
      </c>
      <c r="H704" s="69">
        <v>11471</v>
      </c>
      <c r="I704" s="67"/>
      <c r="J704" s="67"/>
      <c r="K704" s="67"/>
      <c r="L704" s="67"/>
      <c r="M704" s="67"/>
      <c r="N704" s="67"/>
      <c r="O704" s="67"/>
      <c r="P704" s="67"/>
      <c r="Q704" s="67"/>
      <c r="R704" s="67"/>
      <c r="S704" s="67"/>
      <c r="T704" s="67"/>
      <c r="U704" s="67"/>
      <c r="V704" s="67"/>
      <c r="W704" s="67"/>
      <c r="X704" s="67"/>
      <c r="Y704" s="67"/>
      <c r="Z704" s="67"/>
    </row>
    <row r="705" spans="1:26" ht="12.5">
      <c r="A705" s="68" t="s">
        <v>1597</v>
      </c>
      <c r="B705" s="68" t="s">
        <v>1721</v>
      </c>
      <c r="C705" s="68" t="s">
        <v>297</v>
      </c>
      <c r="D705" s="68" t="s">
        <v>20</v>
      </c>
      <c r="E705" s="69">
        <v>2020</v>
      </c>
      <c r="F705" s="69">
        <v>24</v>
      </c>
      <c r="G705" s="69">
        <v>304.60000000000002</v>
      </c>
      <c r="H705" s="69">
        <v>33307</v>
      </c>
      <c r="I705" s="67"/>
      <c r="J705" s="67"/>
      <c r="K705" s="67"/>
      <c r="L705" s="67"/>
      <c r="M705" s="67"/>
      <c r="N705" s="67"/>
      <c r="O705" s="67"/>
      <c r="P705" s="67"/>
      <c r="Q705" s="67"/>
      <c r="R705" s="67"/>
      <c r="S705" s="67"/>
      <c r="T705" s="67"/>
      <c r="U705" s="67"/>
      <c r="V705" s="67"/>
      <c r="W705" s="67"/>
      <c r="X705" s="67"/>
      <c r="Y705" s="67"/>
      <c r="Z705" s="67"/>
    </row>
    <row r="706" spans="1:26" ht="12.5">
      <c r="A706" s="68" t="s">
        <v>1597</v>
      </c>
      <c r="B706" s="68" t="s">
        <v>1721</v>
      </c>
      <c r="C706" s="68" t="s">
        <v>1737</v>
      </c>
      <c r="D706" s="68" t="s">
        <v>20</v>
      </c>
      <c r="E706" s="69">
        <v>2020</v>
      </c>
      <c r="F706" s="69">
        <v>14</v>
      </c>
      <c r="G706" s="69">
        <v>122.2</v>
      </c>
      <c r="H706" s="69">
        <v>14388</v>
      </c>
      <c r="I706" s="67"/>
      <c r="J706" s="67"/>
      <c r="K706" s="67"/>
      <c r="L706" s="67"/>
      <c r="M706" s="67"/>
      <c r="N706" s="67"/>
      <c r="O706" s="67"/>
      <c r="P706" s="67"/>
      <c r="Q706" s="67"/>
      <c r="R706" s="67"/>
      <c r="S706" s="67"/>
      <c r="T706" s="67"/>
      <c r="U706" s="67"/>
      <c r="V706" s="67"/>
      <c r="W706" s="67"/>
      <c r="X706" s="67"/>
      <c r="Y706" s="67"/>
      <c r="Z706" s="67"/>
    </row>
    <row r="707" spans="1:26" ht="12.5">
      <c r="A707" s="68" t="s">
        <v>1597</v>
      </c>
      <c r="B707" s="68" t="s">
        <v>1721</v>
      </c>
      <c r="C707" s="68" t="s">
        <v>1740</v>
      </c>
      <c r="D707" s="68" t="s">
        <v>20</v>
      </c>
      <c r="E707" s="69">
        <v>2020</v>
      </c>
      <c r="F707" s="69">
        <v>10</v>
      </c>
      <c r="G707" s="69">
        <v>100.8</v>
      </c>
      <c r="H707" s="69">
        <v>36945</v>
      </c>
      <c r="I707" s="67"/>
      <c r="J707" s="67"/>
      <c r="K707" s="67"/>
      <c r="L707" s="67"/>
      <c r="M707" s="67"/>
      <c r="N707" s="67"/>
      <c r="O707" s="67"/>
      <c r="P707" s="67"/>
      <c r="Q707" s="67"/>
      <c r="R707" s="67"/>
      <c r="S707" s="67"/>
      <c r="T707" s="67"/>
      <c r="U707" s="67"/>
      <c r="V707" s="67"/>
      <c r="W707" s="67"/>
      <c r="X707" s="67"/>
      <c r="Y707" s="67"/>
      <c r="Z707" s="67"/>
    </row>
    <row r="708" spans="1:26" ht="12.5">
      <c r="A708" s="68" t="s">
        <v>1597</v>
      </c>
      <c r="B708" s="68" t="s">
        <v>1721</v>
      </c>
      <c r="C708" s="68" t="s">
        <v>1743</v>
      </c>
      <c r="D708" s="68" t="s">
        <v>28</v>
      </c>
      <c r="E708" s="69">
        <v>2020</v>
      </c>
      <c r="F708" s="69">
        <v>9</v>
      </c>
      <c r="G708" s="69">
        <v>107.1</v>
      </c>
      <c r="H708" s="69">
        <v>12052</v>
      </c>
      <c r="I708" s="67"/>
      <c r="J708" s="67"/>
      <c r="K708" s="67"/>
      <c r="L708" s="67"/>
      <c r="M708" s="67"/>
      <c r="N708" s="67"/>
      <c r="O708" s="67"/>
      <c r="P708" s="67"/>
      <c r="Q708" s="67"/>
      <c r="R708" s="67"/>
      <c r="S708" s="67"/>
      <c r="T708" s="67"/>
      <c r="U708" s="67"/>
      <c r="V708" s="67"/>
      <c r="W708" s="67"/>
      <c r="X708" s="67"/>
      <c r="Y708" s="67"/>
      <c r="Z708" s="67"/>
    </row>
    <row r="709" spans="1:26" ht="12.5">
      <c r="A709" s="68" t="s">
        <v>1597</v>
      </c>
      <c r="B709" s="68" t="s">
        <v>1721</v>
      </c>
      <c r="C709" s="68" t="s">
        <v>1745</v>
      </c>
      <c r="D709" s="68" t="s">
        <v>20</v>
      </c>
      <c r="E709" s="69">
        <v>2020</v>
      </c>
      <c r="F709" s="69">
        <v>17</v>
      </c>
      <c r="G709" s="69">
        <v>581.29999999999995</v>
      </c>
      <c r="H709" s="69">
        <v>20262</v>
      </c>
      <c r="I709" s="67"/>
      <c r="J709" s="67"/>
      <c r="K709" s="67"/>
      <c r="L709" s="67"/>
      <c r="M709" s="67"/>
      <c r="N709" s="67"/>
      <c r="O709" s="67"/>
      <c r="P709" s="67"/>
      <c r="Q709" s="67"/>
      <c r="R709" s="67"/>
      <c r="S709" s="67"/>
      <c r="T709" s="67"/>
      <c r="U709" s="67"/>
      <c r="V709" s="67"/>
      <c r="W709" s="67"/>
      <c r="X709" s="67"/>
      <c r="Y709" s="67"/>
      <c r="Z709" s="67"/>
    </row>
    <row r="710" spans="1:26" ht="12.5">
      <c r="A710" s="68" t="s">
        <v>1597</v>
      </c>
      <c r="B710" s="68" t="s">
        <v>1721</v>
      </c>
      <c r="C710" s="68" t="s">
        <v>1748</v>
      </c>
      <c r="D710" s="68" t="s">
        <v>32</v>
      </c>
      <c r="E710" s="69">
        <v>2020</v>
      </c>
      <c r="F710" s="69">
        <v>16</v>
      </c>
      <c r="G710" s="69">
        <v>429.9</v>
      </c>
      <c r="H710" s="69">
        <v>14217</v>
      </c>
      <c r="I710" s="67"/>
      <c r="J710" s="67"/>
      <c r="K710" s="67"/>
      <c r="L710" s="67"/>
      <c r="M710" s="67"/>
      <c r="N710" s="67"/>
      <c r="O710" s="67"/>
      <c r="P710" s="67"/>
      <c r="Q710" s="67"/>
      <c r="R710" s="67"/>
      <c r="S710" s="67"/>
      <c r="T710" s="67"/>
      <c r="U710" s="67"/>
      <c r="V710" s="67"/>
      <c r="W710" s="67"/>
      <c r="X710" s="67"/>
      <c r="Y710" s="67"/>
      <c r="Z710" s="67"/>
    </row>
    <row r="711" spans="1:26" ht="12.5">
      <c r="A711" s="68" t="s">
        <v>1597</v>
      </c>
      <c r="B711" s="68" t="s">
        <v>1721</v>
      </c>
      <c r="C711" s="68" t="s">
        <v>1750</v>
      </c>
      <c r="D711" s="68" t="s">
        <v>20</v>
      </c>
      <c r="E711" s="69">
        <v>2020</v>
      </c>
      <c r="F711" s="69">
        <v>47</v>
      </c>
      <c r="G711" s="69">
        <v>551.1</v>
      </c>
      <c r="H711" s="69">
        <v>99050</v>
      </c>
      <c r="I711" s="67"/>
      <c r="J711" s="67"/>
      <c r="K711" s="67"/>
      <c r="L711" s="67"/>
      <c r="M711" s="67"/>
      <c r="N711" s="67"/>
      <c r="O711" s="67"/>
      <c r="P711" s="67"/>
      <c r="Q711" s="67"/>
      <c r="R711" s="67"/>
      <c r="S711" s="67"/>
      <c r="T711" s="67"/>
      <c r="U711" s="67"/>
      <c r="V711" s="67"/>
      <c r="W711" s="67"/>
      <c r="X711" s="67"/>
      <c r="Y711" s="67"/>
      <c r="Z711" s="67"/>
    </row>
    <row r="712" spans="1:26" ht="12.5">
      <c r="A712" s="68" t="s">
        <v>1597</v>
      </c>
      <c r="B712" s="68" t="s">
        <v>1721</v>
      </c>
      <c r="C712" s="68" t="s">
        <v>92</v>
      </c>
      <c r="D712" s="68" t="s">
        <v>28</v>
      </c>
      <c r="E712" s="69">
        <v>2020</v>
      </c>
      <c r="F712" s="69">
        <v>17</v>
      </c>
      <c r="G712" s="69">
        <v>187.6</v>
      </c>
      <c r="H712" s="69">
        <v>7991</v>
      </c>
      <c r="I712" s="67"/>
      <c r="J712" s="67"/>
      <c r="K712" s="67"/>
      <c r="L712" s="67"/>
      <c r="M712" s="67"/>
      <c r="N712" s="67"/>
      <c r="O712" s="67"/>
      <c r="P712" s="67"/>
      <c r="Q712" s="67"/>
      <c r="R712" s="67"/>
      <c r="S712" s="67"/>
      <c r="T712" s="67"/>
      <c r="U712" s="67"/>
      <c r="V712" s="67"/>
      <c r="W712" s="67"/>
      <c r="X712" s="67"/>
      <c r="Y712" s="67"/>
      <c r="Z712" s="67"/>
    </row>
    <row r="713" spans="1:26" ht="12.5">
      <c r="A713" s="68" t="s">
        <v>1597</v>
      </c>
      <c r="B713" s="68" t="s">
        <v>1721</v>
      </c>
      <c r="C713" s="68" t="s">
        <v>1754</v>
      </c>
      <c r="D713" s="68" t="s">
        <v>20</v>
      </c>
      <c r="E713" s="69">
        <v>2020</v>
      </c>
      <c r="F713" s="69">
        <v>44</v>
      </c>
      <c r="G713" s="69">
        <v>333</v>
      </c>
      <c r="H713" s="69">
        <v>24402</v>
      </c>
      <c r="I713" s="67"/>
      <c r="J713" s="67"/>
      <c r="K713" s="67"/>
      <c r="L713" s="67"/>
      <c r="M713" s="67"/>
      <c r="N713" s="67"/>
      <c r="O713" s="67"/>
      <c r="P713" s="67"/>
      <c r="Q713" s="67"/>
      <c r="R713" s="67"/>
      <c r="S713" s="67"/>
      <c r="T713" s="67"/>
      <c r="U713" s="67"/>
      <c r="V713" s="67"/>
      <c r="W713" s="67"/>
      <c r="X713" s="67"/>
      <c r="Y713" s="67"/>
      <c r="Z713" s="67"/>
    </row>
    <row r="714" spans="1:26" ht="12.5">
      <c r="A714" s="68" t="s">
        <v>1597</v>
      </c>
      <c r="B714" s="68" t="s">
        <v>1756</v>
      </c>
      <c r="C714" s="68" t="s">
        <v>1757</v>
      </c>
      <c r="D714" s="68" t="s">
        <v>20</v>
      </c>
      <c r="E714" s="69">
        <v>2020</v>
      </c>
      <c r="F714" s="69">
        <v>24</v>
      </c>
      <c r="G714" s="69">
        <v>464.5</v>
      </c>
      <c r="H714" s="69">
        <v>14664</v>
      </c>
      <c r="I714" s="67"/>
      <c r="J714" s="67"/>
      <c r="K714" s="67"/>
      <c r="L714" s="67"/>
      <c r="M714" s="67"/>
      <c r="N714" s="67"/>
      <c r="O714" s="67"/>
      <c r="P714" s="67"/>
      <c r="Q714" s="67"/>
      <c r="R714" s="67"/>
      <c r="S714" s="67"/>
      <c r="T714" s="67"/>
      <c r="U714" s="67"/>
      <c r="V714" s="67"/>
      <c r="W714" s="67"/>
      <c r="X714" s="67"/>
      <c r="Y714" s="67"/>
      <c r="Z714" s="67"/>
    </row>
    <row r="715" spans="1:26" ht="12.5">
      <c r="A715" s="68" t="s">
        <v>1597</v>
      </c>
      <c r="B715" s="68" t="s">
        <v>1756</v>
      </c>
      <c r="C715" s="68" t="s">
        <v>1760</v>
      </c>
      <c r="D715" s="68" t="s">
        <v>20</v>
      </c>
      <c r="E715" s="69">
        <v>2020</v>
      </c>
      <c r="F715" s="69">
        <v>17</v>
      </c>
      <c r="G715" s="69">
        <v>314.5</v>
      </c>
      <c r="H715" s="69">
        <v>16055</v>
      </c>
      <c r="I715" s="67"/>
      <c r="J715" s="67"/>
      <c r="K715" s="67"/>
      <c r="L715" s="67"/>
      <c r="M715" s="67"/>
      <c r="N715" s="67"/>
      <c r="O715" s="67"/>
      <c r="P715" s="67"/>
      <c r="Q715" s="67"/>
      <c r="R715" s="67"/>
      <c r="S715" s="67"/>
      <c r="T715" s="67"/>
      <c r="U715" s="67"/>
      <c r="V715" s="67"/>
      <c r="W715" s="67"/>
      <c r="X715" s="67"/>
      <c r="Y715" s="67"/>
      <c r="Z715" s="67"/>
    </row>
    <row r="716" spans="1:26" ht="12.5">
      <c r="A716" s="68" t="s">
        <v>1597</v>
      </c>
      <c r="B716" s="68" t="s">
        <v>1756</v>
      </c>
      <c r="C716" s="68" t="s">
        <v>1762</v>
      </c>
      <c r="D716" s="68" t="s">
        <v>32</v>
      </c>
      <c r="E716" s="69">
        <v>2020</v>
      </c>
      <c r="F716" s="69">
        <v>20</v>
      </c>
      <c r="G716" s="69">
        <v>199</v>
      </c>
      <c r="H716" s="69">
        <v>11368</v>
      </c>
      <c r="I716" s="67"/>
      <c r="J716" s="67"/>
      <c r="K716" s="67"/>
      <c r="L716" s="67"/>
      <c r="M716" s="67"/>
      <c r="N716" s="67"/>
      <c r="O716" s="67"/>
      <c r="P716" s="67"/>
      <c r="Q716" s="67"/>
      <c r="R716" s="67"/>
      <c r="S716" s="67"/>
      <c r="T716" s="67"/>
      <c r="U716" s="67"/>
      <c r="V716" s="67"/>
      <c r="W716" s="67"/>
      <c r="X716" s="67"/>
      <c r="Y716" s="67"/>
      <c r="Z716" s="67"/>
    </row>
    <row r="717" spans="1:26" ht="12.5">
      <c r="A717" s="68" t="s">
        <v>1597</v>
      </c>
      <c r="B717" s="68" t="s">
        <v>1756</v>
      </c>
      <c r="C717" s="68" t="s">
        <v>1765</v>
      </c>
      <c r="D717" s="68" t="s">
        <v>32</v>
      </c>
      <c r="E717" s="69">
        <v>2020</v>
      </c>
      <c r="F717" s="69">
        <v>28</v>
      </c>
      <c r="G717" s="69">
        <v>410</v>
      </c>
      <c r="H717" s="69">
        <v>12198</v>
      </c>
      <c r="I717" s="67"/>
      <c r="J717" s="67"/>
      <c r="K717" s="67"/>
      <c r="L717" s="67"/>
      <c r="M717" s="67"/>
      <c r="N717" s="67"/>
      <c r="O717" s="67"/>
      <c r="P717" s="67"/>
      <c r="Q717" s="67"/>
      <c r="R717" s="67"/>
      <c r="S717" s="67"/>
      <c r="T717" s="67"/>
      <c r="U717" s="67"/>
      <c r="V717" s="67"/>
      <c r="W717" s="67"/>
      <c r="X717" s="67"/>
      <c r="Y717" s="67"/>
      <c r="Z717" s="67"/>
    </row>
    <row r="718" spans="1:26" ht="12.5">
      <c r="A718" s="68" t="s">
        <v>1597</v>
      </c>
      <c r="B718" s="68" t="s">
        <v>1756</v>
      </c>
      <c r="C718" s="68" t="s">
        <v>1767</v>
      </c>
      <c r="D718" s="68" t="s">
        <v>20</v>
      </c>
      <c r="E718" s="69">
        <v>2020</v>
      </c>
      <c r="F718" s="69">
        <v>42</v>
      </c>
      <c r="G718" s="69">
        <v>708.6</v>
      </c>
      <c r="H718" s="69">
        <v>33264</v>
      </c>
      <c r="I718" s="67"/>
      <c r="J718" s="67"/>
      <c r="K718" s="67"/>
      <c r="L718" s="67"/>
      <c r="M718" s="67"/>
      <c r="N718" s="67"/>
      <c r="O718" s="67"/>
      <c r="P718" s="67"/>
      <c r="Q718" s="67"/>
      <c r="R718" s="67"/>
      <c r="S718" s="67"/>
      <c r="T718" s="67"/>
      <c r="U718" s="67"/>
      <c r="V718" s="67"/>
      <c r="W718" s="67"/>
      <c r="X718" s="67"/>
      <c r="Y718" s="67"/>
      <c r="Z718" s="67"/>
    </row>
    <row r="719" spans="1:26" ht="12.5">
      <c r="A719" s="68" t="s">
        <v>1597</v>
      </c>
      <c r="B719" s="68" t="s">
        <v>1756</v>
      </c>
      <c r="C719" s="68" t="s">
        <v>1769</v>
      </c>
      <c r="D719" s="68" t="s">
        <v>20</v>
      </c>
      <c r="E719" s="69">
        <v>2020</v>
      </c>
      <c r="F719" s="69">
        <v>60</v>
      </c>
      <c r="G719" s="69">
        <v>676.5</v>
      </c>
      <c r="H719" s="69">
        <v>52081</v>
      </c>
      <c r="I719" s="67"/>
      <c r="J719" s="67"/>
      <c r="K719" s="67"/>
      <c r="L719" s="67"/>
      <c r="M719" s="67"/>
      <c r="N719" s="67"/>
      <c r="O719" s="67"/>
      <c r="P719" s="67"/>
      <c r="Q719" s="67"/>
      <c r="R719" s="67"/>
      <c r="S719" s="67"/>
      <c r="T719" s="67"/>
      <c r="U719" s="67"/>
      <c r="V719" s="67"/>
      <c r="W719" s="67"/>
      <c r="X719" s="67"/>
      <c r="Y719" s="67"/>
      <c r="Z719" s="67"/>
    </row>
    <row r="720" spans="1:26" ht="12.5">
      <c r="A720" s="68" t="s">
        <v>1597</v>
      </c>
      <c r="B720" s="68" t="s">
        <v>1756</v>
      </c>
      <c r="C720" s="68" t="s">
        <v>1772</v>
      </c>
      <c r="D720" s="68" t="s">
        <v>20</v>
      </c>
      <c r="E720" s="69">
        <v>2020</v>
      </c>
      <c r="F720" s="69">
        <v>14</v>
      </c>
      <c r="G720" s="69">
        <v>228.1</v>
      </c>
      <c r="H720" s="69">
        <v>89315</v>
      </c>
      <c r="I720" s="67"/>
      <c r="J720" s="67"/>
      <c r="K720" s="67"/>
      <c r="L720" s="67"/>
      <c r="M720" s="67"/>
      <c r="N720" s="67"/>
      <c r="O720" s="67"/>
      <c r="P720" s="67"/>
      <c r="Q720" s="67"/>
      <c r="R720" s="67"/>
      <c r="S720" s="67"/>
      <c r="T720" s="67"/>
      <c r="U720" s="67"/>
      <c r="V720" s="67"/>
      <c r="W720" s="67"/>
      <c r="X720" s="67"/>
      <c r="Y720" s="67"/>
      <c r="Z720" s="67"/>
    </row>
    <row r="721" spans="1:26" ht="12.5">
      <c r="A721" s="68" t="s">
        <v>1597</v>
      </c>
      <c r="B721" s="68" t="s">
        <v>1775</v>
      </c>
      <c r="C721" s="68" t="s">
        <v>1069</v>
      </c>
      <c r="D721" s="68" t="s">
        <v>32</v>
      </c>
      <c r="E721" s="69">
        <v>2020</v>
      </c>
      <c r="F721" s="69">
        <v>32</v>
      </c>
      <c r="G721" s="69">
        <v>420.6</v>
      </c>
      <c r="H721" s="69">
        <v>19814</v>
      </c>
      <c r="I721" s="67"/>
      <c r="J721" s="67"/>
      <c r="K721" s="67"/>
      <c r="L721" s="67"/>
      <c r="M721" s="67"/>
      <c r="N721" s="67"/>
      <c r="O721" s="67"/>
      <c r="P721" s="67"/>
      <c r="Q721" s="67"/>
      <c r="R721" s="67"/>
      <c r="S721" s="67"/>
      <c r="T721" s="67"/>
      <c r="U721" s="67"/>
      <c r="V721" s="67"/>
      <c r="W721" s="67"/>
      <c r="X721" s="67"/>
      <c r="Y721" s="67"/>
      <c r="Z721" s="67"/>
    </row>
    <row r="722" spans="1:26" ht="12.5">
      <c r="A722" s="68" t="s">
        <v>1597</v>
      </c>
      <c r="B722" s="68" t="s">
        <v>1775</v>
      </c>
      <c r="C722" s="68" t="s">
        <v>1778</v>
      </c>
      <c r="D722" s="68" t="s">
        <v>20</v>
      </c>
      <c r="E722" s="69">
        <v>2020</v>
      </c>
      <c r="F722" s="69">
        <v>63</v>
      </c>
      <c r="G722" s="69">
        <v>436.6</v>
      </c>
      <c r="H722" s="69">
        <v>32055</v>
      </c>
      <c r="I722" s="67"/>
      <c r="J722" s="67"/>
      <c r="K722" s="67"/>
      <c r="L722" s="67"/>
      <c r="M722" s="67"/>
      <c r="N722" s="67"/>
      <c r="O722" s="67"/>
      <c r="P722" s="67"/>
      <c r="Q722" s="67"/>
      <c r="R722" s="67"/>
      <c r="S722" s="67"/>
      <c r="T722" s="67"/>
      <c r="U722" s="67"/>
      <c r="V722" s="67"/>
      <c r="W722" s="67"/>
      <c r="X722" s="67"/>
      <c r="Y722" s="67"/>
      <c r="Z722" s="67"/>
    </row>
    <row r="723" spans="1:26" ht="12.5">
      <c r="A723" s="68" t="s">
        <v>1597</v>
      </c>
      <c r="B723" s="68" t="s">
        <v>1775</v>
      </c>
      <c r="C723" s="68" t="s">
        <v>1780</v>
      </c>
      <c r="D723" s="68" t="s">
        <v>20</v>
      </c>
      <c r="E723" s="69">
        <v>2020</v>
      </c>
      <c r="F723" s="69">
        <v>22</v>
      </c>
      <c r="G723" s="69">
        <v>273.39999999999998</v>
      </c>
      <c r="H723" s="69">
        <v>51564</v>
      </c>
      <c r="I723" s="67"/>
      <c r="J723" s="67"/>
      <c r="K723" s="67"/>
      <c r="L723" s="67"/>
      <c r="M723" s="67"/>
      <c r="N723" s="67"/>
      <c r="O723" s="67"/>
      <c r="P723" s="67"/>
      <c r="Q723" s="67"/>
      <c r="R723" s="67"/>
      <c r="S723" s="67"/>
      <c r="T723" s="67"/>
      <c r="U723" s="67"/>
      <c r="V723" s="67"/>
      <c r="W723" s="67"/>
      <c r="X723" s="67"/>
      <c r="Y723" s="67"/>
      <c r="Z723" s="67"/>
    </row>
    <row r="724" spans="1:26" ht="12.5">
      <c r="A724" s="68" t="s">
        <v>1597</v>
      </c>
      <c r="B724" s="68" t="s">
        <v>1775</v>
      </c>
      <c r="C724" s="68" t="s">
        <v>1781</v>
      </c>
      <c r="D724" s="68" t="s">
        <v>20</v>
      </c>
      <c r="E724" s="69">
        <v>2020</v>
      </c>
      <c r="F724" s="69">
        <v>19</v>
      </c>
      <c r="G724" s="69">
        <v>142.69999999999999</v>
      </c>
      <c r="H724" s="69">
        <v>12776</v>
      </c>
      <c r="I724" s="67"/>
      <c r="J724" s="67"/>
      <c r="K724" s="67"/>
      <c r="L724" s="67"/>
      <c r="M724" s="67"/>
      <c r="N724" s="67"/>
      <c r="O724" s="67"/>
      <c r="P724" s="67"/>
      <c r="Q724" s="67"/>
      <c r="R724" s="67"/>
      <c r="S724" s="67"/>
      <c r="T724" s="67"/>
      <c r="U724" s="67"/>
      <c r="V724" s="67"/>
      <c r="W724" s="67"/>
      <c r="X724" s="67"/>
      <c r="Y724" s="67"/>
      <c r="Z724" s="67"/>
    </row>
    <row r="725" spans="1:26" ht="12.5">
      <c r="A725" s="68" t="s">
        <v>1597</v>
      </c>
      <c r="B725" s="68" t="s">
        <v>1775</v>
      </c>
      <c r="C725" s="68" t="s">
        <v>1783</v>
      </c>
      <c r="D725" s="68" t="s">
        <v>28</v>
      </c>
      <c r="E725" s="69">
        <v>2020</v>
      </c>
      <c r="F725" s="69">
        <v>30</v>
      </c>
      <c r="G725" s="69">
        <v>265.2</v>
      </c>
      <c r="H725" s="69">
        <v>10778</v>
      </c>
      <c r="I725" s="67"/>
      <c r="J725" s="67"/>
      <c r="K725" s="67"/>
      <c r="L725" s="67"/>
      <c r="M725" s="67"/>
      <c r="N725" s="67"/>
      <c r="O725" s="67"/>
      <c r="P725" s="67"/>
      <c r="Q725" s="67"/>
      <c r="R725" s="67"/>
      <c r="S725" s="67"/>
      <c r="T725" s="67"/>
      <c r="U725" s="67"/>
      <c r="V725" s="67"/>
      <c r="W725" s="67"/>
      <c r="X725" s="67"/>
      <c r="Y725" s="67"/>
      <c r="Z725" s="67"/>
    </row>
    <row r="726" spans="1:26" ht="12.5">
      <c r="A726" s="68" t="s">
        <v>1597</v>
      </c>
      <c r="B726" s="68" t="s">
        <v>1775</v>
      </c>
      <c r="C726" s="68" t="s">
        <v>1785</v>
      </c>
      <c r="D726" s="68" t="s">
        <v>20</v>
      </c>
      <c r="E726" s="69">
        <v>2020</v>
      </c>
      <c r="F726" s="69">
        <v>82</v>
      </c>
      <c r="G726" s="69">
        <v>834.7</v>
      </c>
      <c r="H726" s="69">
        <v>52232</v>
      </c>
      <c r="I726" s="67"/>
      <c r="J726" s="67"/>
      <c r="K726" s="67"/>
      <c r="L726" s="67"/>
      <c r="M726" s="67"/>
      <c r="N726" s="67"/>
      <c r="O726" s="67"/>
      <c r="P726" s="67"/>
      <c r="Q726" s="67"/>
      <c r="R726" s="67"/>
      <c r="S726" s="67"/>
      <c r="T726" s="67"/>
      <c r="U726" s="67"/>
      <c r="V726" s="67"/>
      <c r="W726" s="67"/>
      <c r="X726" s="67"/>
      <c r="Y726" s="67"/>
      <c r="Z726" s="67"/>
    </row>
    <row r="727" spans="1:26" ht="12.5">
      <c r="A727" s="68" t="s">
        <v>1788</v>
      </c>
      <c r="B727" s="68" t="s">
        <v>1789</v>
      </c>
      <c r="C727" s="68" t="s">
        <v>1790</v>
      </c>
      <c r="D727" s="68" t="s">
        <v>28</v>
      </c>
      <c r="E727" s="69">
        <v>2020</v>
      </c>
      <c r="F727" s="69">
        <v>15</v>
      </c>
      <c r="G727" s="69">
        <v>477.6</v>
      </c>
      <c r="H727" s="69">
        <v>8434</v>
      </c>
      <c r="I727" s="67"/>
      <c r="J727" s="67"/>
      <c r="K727" s="67"/>
      <c r="L727" s="67"/>
      <c r="M727" s="67"/>
      <c r="N727" s="67"/>
      <c r="O727" s="67"/>
      <c r="P727" s="67"/>
      <c r="Q727" s="67"/>
      <c r="R727" s="67"/>
      <c r="S727" s="67"/>
      <c r="T727" s="67"/>
      <c r="U727" s="67"/>
      <c r="V727" s="67"/>
      <c r="W727" s="67"/>
      <c r="X727" s="67"/>
      <c r="Y727" s="67"/>
      <c r="Z727" s="67"/>
    </row>
    <row r="728" spans="1:26" ht="12.5">
      <c r="A728" s="68" t="s">
        <v>1788</v>
      </c>
      <c r="B728" s="68" t="s">
        <v>1789</v>
      </c>
      <c r="C728" s="68" t="s">
        <v>1793</v>
      </c>
      <c r="D728" s="68" t="s">
        <v>20</v>
      </c>
      <c r="E728" s="69">
        <v>2020</v>
      </c>
      <c r="F728" s="69">
        <v>26</v>
      </c>
      <c r="G728" s="69">
        <v>760.3</v>
      </c>
      <c r="H728" s="69">
        <v>21940</v>
      </c>
      <c r="I728" s="67"/>
      <c r="J728" s="67"/>
      <c r="K728" s="67"/>
      <c r="L728" s="67"/>
      <c r="M728" s="67"/>
      <c r="N728" s="67"/>
      <c r="O728" s="67"/>
      <c r="P728" s="67"/>
      <c r="Q728" s="67"/>
      <c r="R728" s="67"/>
      <c r="S728" s="67"/>
      <c r="T728" s="67"/>
      <c r="U728" s="67"/>
      <c r="V728" s="67"/>
      <c r="W728" s="67"/>
      <c r="X728" s="67"/>
      <c r="Y728" s="67"/>
      <c r="Z728" s="67"/>
    </row>
    <row r="729" spans="1:26" ht="12.5">
      <c r="A729" s="68" t="s">
        <v>1788</v>
      </c>
      <c r="B729" s="68" t="s">
        <v>1789</v>
      </c>
      <c r="C729" s="68" t="s">
        <v>1795</v>
      </c>
      <c r="D729" s="68" t="s">
        <v>32</v>
      </c>
      <c r="E729" s="69">
        <v>2020</v>
      </c>
      <c r="F729" s="69">
        <v>41</v>
      </c>
      <c r="G729" s="69">
        <v>1261.7</v>
      </c>
      <c r="H729" s="69">
        <v>19059</v>
      </c>
      <c r="I729" s="67"/>
      <c r="J729" s="67"/>
      <c r="K729" s="67"/>
      <c r="L729" s="67"/>
      <c r="M729" s="67"/>
      <c r="N729" s="67"/>
      <c r="O729" s="67"/>
      <c r="P729" s="67"/>
      <c r="Q729" s="67"/>
      <c r="R729" s="67"/>
      <c r="S729" s="67"/>
      <c r="T729" s="67"/>
      <c r="U729" s="67"/>
      <c r="V729" s="67"/>
      <c r="W729" s="67"/>
      <c r="X729" s="67"/>
      <c r="Y729" s="67"/>
      <c r="Z729" s="67"/>
    </row>
    <row r="730" spans="1:26" ht="12.5">
      <c r="A730" s="68" t="s">
        <v>1788</v>
      </c>
      <c r="B730" s="68" t="s">
        <v>1789</v>
      </c>
      <c r="C730" s="68" t="s">
        <v>1797</v>
      </c>
      <c r="D730" s="68" t="s">
        <v>28</v>
      </c>
      <c r="E730" s="69">
        <v>2020</v>
      </c>
      <c r="F730" s="69">
        <v>17</v>
      </c>
      <c r="G730" s="69">
        <v>346.7</v>
      </c>
      <c r="H730" s="69">
        <v>3358</v>
      </c>
      <c r="I730" s="67"/>
      <c r="J730" s="67"/>
      <c r="K730" s="67"/>
      <c r="L730" s="67"/>
      <c r="M730" s="67"/>
      <c r="N730" s="67"/>
      <c r="O730" s="67"/>
      <c r="P730" s="67"/>
      <c r="Q730" s="67"/>
      <c r="R730" s="67"/>
      <c r="S730" s="67"/>
      <c r="T730" s="67"/>
      <c r="U730" s="67"/>
      <c r="V730" s="67"/>
      <c r="W730" s="67"/>
      <c r="X730" s="67"/>
      <c r="Y730" s="67"/>
      <c r="Z730" s="67"/>
    </row>
    <row r="731" spans="1:26" ht="12.5">
      <c r="A731" s="68" t="s">
        <v>1788</v>
      </c>
      <c r="B731" s="68" t="s">
        <v>1789</v>
      </c>
      <c r="C731" s="68" t="s">
        <v>1799</v>
      </c>
      <c r="D731" s="68" t="s">
        <v>28</v>
      </c>
      <c r="E731" s="69">
        <v>2020</v>
      </c>
      <c r="F731" s="69">
        <v>22</v>
      </c>
      <c r="G731" s="69">
        <v>365.6</v>
      </c>
      <c r="H731" s="69">
        <v>5527</v>
      </c>
      <c r="I731" s="67"/>
      <c r="J731" s="67"/>
      <c r="K731" s="67"/>
      <c r="L731" s="67"/>
      <c r="M731" s="67"/>
      <c r="N731" s="67"/>
      <c r="O731" s="67"/>
      <c r="P731" s="67"/>
      <c r="Q731" s="67"/>
      <c r="R731" s="67"/>
      <c r="S731" s="67"/>
      <c r="T731" s="67"/>
      <c r="U731" s="67"/>
      <c r="V731" s="67"/>
      <c r="W731" s="67"/>
      <c r="X731" s="67"/>
      <c r="Y731" s="67"/>
      <c r="Z731" s="67"/>
    </row>
    <row r="732" spans="1:26" ht="12.5">
      <c r="A732" s="68" t="s">
        <v>1788</v>
      </c>
      <c r="B732" s="68" t="s">
        <v>1789</v>
      </c>
      <c r="C732" s="68" t="s">
        <v>263</v>
      </c>
      <c r="D732" s="68" t="s">
        <v>28</v>
      </c>
      <c r="E732" s="69">
        <v>2020</v>
      </c>
      <c r="F732" s="69">
        <v>19</v>
      </c>
      <c r="G732" s="69">
        <v>300</v>
      </c>
      <c r="H732" s="69">
        <v>7272</v>
      </c>
      <c r="I732" s="67"/>
      <c r="J732" s="67"/>
      <c r="K732" s="67"/>
      <c r="L732" s="67"/>
      <c r="M732" s="67"/>
      <c r="N732" s="67"/>
      <c r="O732" s="67"/>
      <c r="P732" s="67"/>
      <c r="Q732" s="67"/>
      <c r="R732" s="67"/>
      <c r="S732" s="67"/>
      <c r="T732" s="67"/>
      <c r="U732" s="67"/>
      <c r="V732" s="67"/>
      <c r="W732" s="67"/>
      <c r="X732" s="67"/>
      <c r="Y732" s="67"/>
      <c r="Z732" s="67"/>
    </row>
    <row r="733" spans="1:26" ht="12.5">
      <c r="A733" s="68" t="s">
        <v>1788</v>
      </c>
      <c r="B733" s="68" t="s">
        <v>1789</v>
      </c>
      <c r="C733" s="68" t="s">
        <v>1802</v>
      </c>
      <c r="D733" s="68" t="s">
        <v>32</v>
      </c>
      <c r="E733" s="69">
        <v>2020</v>
      </c>
      <c r="F733" s="69">
        <v>54</v>
      </c>
      <c r="G733" s="69">
        <v>1000.3</v>
      </c>
      <c r="H733" s="69">
        <v>14836</v>
      </c>
      <c r="I733" s="67"/>
      <c r="J733" s="67"/>
      <c r="K733" s="67"/>
      <c r="L733" s="67"/>
      <c r="M733" s="67"/>
      <c r="N733" s="67"/>
      <c r="O733" s="67"/>
      <c r="P733" s="67"/>
      <c r="Q733" s="67"/>
      <c r="R733" s="67"/>
      <c r="S733" s="67"/>
      <c r="T733" s="67"/>
      <c r="U733" s="67"/>
      <c r="V733" s="67"/>
      <c r="W733" s="67"/>
      <c r="X733" s="67"/>
      <c r="Y733" s="67"/>
      <c r="Z733" s="67"/>
    </row>
    <row r="734" spans="1:26" ht="12.5">
      <c r="A734" s="68" t="s">
        <v>1788</v>
      </c>
      <c r="B734" s="68" t="s">
        <v>1789</v>
      </c>
      <c r="C734" s="68" t="s">
        <v>1804</v>
      </c>
      <c r="D734" s="68" t="s">
        <v>20</v>
      </c>
      <c r="E734" s="69">
        <v>2020</v>
      </c>
      <c r="F734" s="69">
        <v>12</v>
      </c>
      <c r="G734" s="69">
        <v>452.1</v>
      </c>
      <c r="H734" s="69">
        <v>18365</v>
      </c>
      <c r="I734" s="67"/>
      <c r="J734" s="67"/>
      <c r="K734" s="67"/>
      <c r="L734" s="67"/>
      <c r="M734" s="67"/>
      <c r="N734" s="67"/>
      <c r="O734" s="67"/>
      <c r="P734" s="67"/>
      <c r="Q734" s="67"/>
      <c r="R734" s="67"/>
      <c r="S734" s="67"/>
      <c r="T734" s="67"/>
      <c r="U734" s="67"/>
      <c r="V734" s="67"/>
      <c r="W734" s="67"/>
      <c r="X734" s="67"/>
      <c r="Y734" s="67"/>
      <c r="Z734" s="67"/>
    </row>
    <row r="735" spans="1:26" ht="12.5">
      <c r="A735" s="68" t="s">
        <v>1788</v>
      </c>
      <c r="B735" s="68" t="s">
        <v>1789</v>
      </c>
      <c r="C735" s="68" t="s">
        <v>1806</v>
      </c>
      <c r="D735" s="68" t="s">
        <v>28</v>
      </c>
      <c r="E735" s="69">
        <v>2020</v>
      </c>
      <c r="F735" s="69">
        <v>19</v>
      </c>
      <c r="G735" s="69">
        <v>465.2</v>
      </c>
      <c r="H735" s="69">
        <v>5674</v>
      </c>
      <c r="I735" s="67"/>
      <c r="J735" s="67"/>
      <c r="K735" s="67"/>
      <c r="L735" s="67"/>
      <c r="M735" s="67"/>
      <c r="N735" s="67"/>
      <c r="O735" s="67"/>
      <c r="P735" s="67"/>
      <c r="Q735" s="67"/>
      <c r="R735" s="67"/>
      <c r="S735" s="67"/>
      <c r="T735" s="67"/>
      <c r="U735" s="67"/>
      <c r="V735" s="67"/>
      <c r="W735" s="67"/>
      <c r="X735" s="67"/>
      <c r="Y735" s="67"/>
      <c r="Z735" s="67"/>
    </row>
    <row r="736" spans="1:26" ht="12.5">
      <c r="A736" s="68" t="s">
        <v>1788</v>
      </c>
      <c r="B736" s="68" t="s">
        <v>1789</v>
      </c>
      <c r="C736" s="68" t="s">
        <v>1809</v>
      </c>
      <c r="D736" s="68" t="s">
        <v>20</v>
      </c>
      <c r="E736" s="69">
        <v>2020</v>
      </c>
      <c r="F736" s="69">
        <v>23</v>
      </c>
      <c r="G736" s="69">
        <v>634.4</v>
      </c>
      <c r="H736" s="69">
        <v>23199</v>
      </c>
      <c r="I736" s="67"/>
      <c r="J736" s="67"/>
      <c r="K736" s="67"/>
      <c r="L736" s="67"/>
      <c r="M736" s="67"/>
      <c r="N736" s="67"/>
      <c r="O736" s="67"/>
      <c r="P736" s="67"/>
      <c r="Q736" s="67"/>
      <c r="R736" s="67"/>
      <c r="S736" s="67"/>
      <c r="T736" s="67"/>
      <c r="U736" s="67"/>
      <c r="V736" s="67"/>
      <c r="W736" s="67"/>
      <c r="X736" s="67"/>
      <c r="Y736" s="67"/>
      <c r="Z736" s="67"/>
    </row>
    <row r="737" spans="1:26" ht="12.5">
      <c r="A737" s="68" t="s">
        <v>1788</v>
      </c>
      <c r="B737" s="68" t="s">
        <v>1789</v>
      </c>
      <c r="C737" s="68" t="s">
        <v>375</v>
      </c>
      <c r="D737" s="68" t="s">
        <v>28</v>
      </c>
      <c r="E737" s="69">
        <v>2020</v>
      </c>
      <c r="F737" s="69">
        <v>24</v>
      </c>
      <c r="G737" s="69">
        <v>426.5</v>
      </c>
      <c r="H737" s="69">
        <v>5650</v>
      </c>
      <c r="I737" s="67"/>
      <c r="J737" s="67"/>
      <c r="K737" s="67"/>
      <c r="L737" s="67"/>
      <c r="M737" s="67"/>
      <c r="N737" s="67"/>
      <c r="O737" s="67"/>
      <c r="P737" s="67"/>
      <c r="Q737" s="67"/>
      <c r="R737" s="67"/>
      <c r="S737" s="67"/>
      <c r="T737" s="67"/>
      <c r="U737" s="67"/>
      <c r="V737" s="67"/>
      <c r="W737" s="67"/>
      <c r="X737" s="67"/>
      <c r="Y737" s="67"/>
      <c r="Z737" s="67"/>
    </row>
    <row r="738" spans="1:26" ht="12.5">
      <c r="A738" s="68" t="s">
        <v>1788</v>
      </c>
      <c r="B738" s="68" t="s">
        <v>1789</v>
      </c>
      <c r="C738" s="68" t="s">
        <v>377</v>
      </c>
      <c r="D738" s="68" t="s">
        <v>28</v>
      </c>
      <c r="E738" s="69">
        <v>2020</v>
      </c>
      <c r="F738" s="69">
        <v>7</v>
      </c>
      <c r="G738" s="69">
        <v>216</v>
      </c>
      <c r="H738" s="69">
        <v>3425</v>
      </c>
      <c r="I738" s="67"/>
      <c r="J738" s="67"/>
      <c r="K738" s="67"/>
      <c r="L738" s="67"/>
      <c r="M738" s="67"/>
      <c r="N738" s="67"/>
      <c r="O738" s="67"/>
      <c r="P738" s="67"/>
      <c r="Q738" s="67"/>
      <c r="R738" s="67"/>
      <c r="S738" s="67"/>
      <c r="T738" s="67"/>
      <c r="U738" s="67"/>
      <c r="V738" s="67"/>
      <c r="W738" s="67"/>
      <c r="X738" s="67"/>
      <c r="Y738" s="67"/>
      <c r="Z738" s="67"/>
    </row>
    <row r="739" spans="1:26" ht="12.5">
      <c r="A739" s="68" t="s">
        <v>1788</v>
      </c>
      <c r="B739" s="68" t="s">
        <v>1813</v>
      </c>
      <c r="C739" s="68" t="s">
        <v>1814</v>
      </c>
      <c r="D739" s="68" t="s">
        <v>32</v>
      </c>
      <c r="E739" s="69">
        <v>2020</v>
      </c>
      <c r="F739" s="69">
        <v>34</v>
      </c>
      <c r="G739" s="69">
        <v>1018.1</v>
      </c>
      <c r="H739" s="69">
        <v>14624</v>
      </c>
      <c r="I739" s="67"/>
      <c r="J739" s="67"/>
      <c r="K739" s="67"/>
      <c r="L739" s="67"/>
      <c r="M739" s="67"/>
      <c r="N739" s="67"/>
      <c r="O739" s="67"/>
      <c r="P739" s="67"/>
      <c r="Q739" s="67"/>
      <c r="R739" s="67"/>
      <c r="S739" s="67"/>
      <c r="T739" s="67"/>
      <c r="U739" s="67"/>
      <c r="V739" s="67"/>
      <c r="W739" s="67"/>
      <c r="X739" s="67"/>
      <c r="Y739" s="67"/>
      <c r="Z739" s="67"/>
    </row>
    <row r="740" spans="1:26" ht="12.5">
      <c r="A740" s="68" t="s">
        <v>1788</v>
      </c>
      <c r="B740" s="68" t="s">
        <v>1813</v>
      </c>
      <c r="C740" s="68" t="s">
        <v>1817</v>
      </c>
      <c r="D740" s="68" t="s">
        <v>32</v>
      </c>
      <c r="E740" s="69">
        <v>2020</v>
      </c>
      <c r="F740" s="69">
        <v>34</v>
      </c>
      <c r="G740" s="69">
        <v>706.5</v>
      </c>
      <c r="H740" s="69">
        <v>11983</v>
      </c>
      <c r="I740" s="67"/>
      <c r="J740" s="67"/>
      <c r="K740" s="67"/>
      <c r="L740" s="67"/>
      <c r="M740" s="67"/>
      <c r="N740" s="67"/>
      <c r="O740" s="67"/>
      <c r="P740" s="67"/>
      <c r="Q740" s="67"/>
      <c r="R740" s="67"/>
      <c r="S740" s="67"/>
      <c r="T740" s="67"/>
      <c r="U740" s="67"/>
      <c r="V740" s="67"/>
      <c r="W740" s="67"/>
      <c r="X740" s="67"/>
      <c r="Y740" s="67"/>
      <c r="Z740" s="67"/>
    </row>
    <row r="741" spans="1:26" ht="12.5">
      <c r="A741" s="68" t="s">
        <v>1788</v>
      </c>
      <c r="B741" s="68" t="s">
        <v>1813</v>
      </c>
      <c r="C741" s="68" t="s">
        <v>1820</v>
      </c>
      <c r="D741" s="68" t="s">
        <v>28</v>
      </c>
      <c r="E741" s="69">
        <v>2020</v>
      </c>
      <c r="F741" s="69">
        <v>9</v>
      </c>
      <c r="G741" s="69">
        <v>306.39999999999998</v>
      </c>
      <c r="H741" s="69">
        <v>5306</v>
      </c>
      <c r="I741" s="67"/>
      <c r="J741" s="67"/>
      <c r="K741" s="67"/>
      <c r="L741" s="67"/>
      <c r="M741" s="67"/>
      <c r="N741" s="67"/>
      <c r="O741" s="67"/>
      <c r="P741" s="67"/>
      <c r="Q741" s="67"/>
      <c r="R741" s="67"/>
      <c r="S741" s="67"/>
      <c r="T741" s="67"/>
      <c r="U741" s="67"/>
      <c r="V741" s="67"/>
      <c r="W741" s="67"/>
      <c r="X741" s="67"/>
      <c r="Y741" s="67"/>
      <c r="Z741" s="67"/>
    </row>
    <row r="742" spans="1:26" ht="12.5">
      <c r="A742" s="68" t="s">
        <v>1788</v>
      </c>
      <c r="B742" s="68" t="s">
        <v>1813</v>
      </c>
      <c r="C742" s="68" t="s">
        <v>1822</v>
      </c>
      <c r="D742" s="68" t="s">
        <v>32</v>
      </c>
      <c r="E742" s="69">
        <v>2020</v>
      </c>
      <c r="F742" s="69">
        <v>44</v>
      </c>
      <c r="G742" s="69">
        <v>975.9</v>
      </c>
      <c r="H742" s="69">
        <v>17667</v>
      </c>
      <c r="I742" s="67"/>
      <c r="J742" s="67"/>
      <c r="K742" s="67"/>
      <c r="L742" s="67"/>
      <c r="M742" s="67"/>
      <c r="N742" s="67"/>
      <c r="O742" s="67"/>
      <c r="P742" s="67"/>
      <c r="Q742" s="67"/>
      <c r="R742" s="67"/>
      <c r="S742" s="67"/>
      <c r="T742" s="67"/>
      <c r="U742" s="67"/>
      <c r="V742" s="67"/>
      <c r="W742" s="67"/>
      <c r="X742" s="67"/>
      <c r="Y742" s="67"/>
      <c r="Z742" s="67"/>
    </row>
    <row r="743" spans="1:26" ht="12.5">
      <c r="A743" s="68" t="s">
        <v>1788</v>
      </c>
      <c r="B743" s="68" t="s">
        <v>1813</v>
      </c>
      <c r="C743" s="68" t="s">
        <v>1824</v>
      </c>
      <c r="D743" s="68" t="s">
        <v>20</v>
      </c>
      <c r="E743" s="69">
        <v>2020</v>
      </c>
      <c r="F743" s="69">
        <v>3</v>
      </c>
      <c r="G743" s="69">
        <v>95.8</v>
      </c>
      <c r="H743" s="69">
        <v>35420</v>
      </c>
      <c r="I743" s="67"/>
      <c r="J743" s="67"/>
      <c r="K743" s="67"/>
      <c r="L743" s="67"/>
      <c r="M743" s="67"/>
      <c r="N743" s="67"/>
      <c r="O743" s="67"/>
      <c r="P743" s="67"/>
      <c r="Q743" s="67"/>
      <c r="R743" s="67"/>
      <c r="S743" s="67"/>
      <c r="T743" s="67"/>
      <c r="U743" s="67"/>
      <c r="V743" s="67"/>
      <c r="W743" s="67"/>
      <c r="X743" s="67"/>
      <c r="Y743" s="67"/>
      <c r="Z743" s="67"/>
    </row>
    <row r="744" spans="1:26" ht="12.5">
      <c r="A744" s="68" t="s">
        <v>1788</v>
      </c>
      <c r="B744" s="68" t="s">
        <v>1813</v>
      </c>
      <c r="C744" s="68" t="s">
        <v>1827</v>
      </c>
      <c r="D744" s="68" t="s">
        <v>32</v>
      </c>
      <c r="E744" s="69">
        <v>2020</v>
      </c>
      <c r="F744" s="69">
        <v>31</v>
      </c>
      <c r="G744" s="69">
        <v>729.7</v>
      </c>
      <c r="H744" s="69">
        <v>14671</v>
      </c>
      <c r="I744" s="67"/>
      <c r="J744" s="67"/>
      <c r="K744" s="67"/>
      <c r="L744" s="67"/>
      <c r="M744" s="67"/>
      <c r="N744" s="67"/>
      <c r="O744" s="67"/>
      <c r="P744" s="67"/>
      <c r="Q744" s="67"/>
      <c r="R744" s="67"/>
      <c r="S744" s="67"/>
      <c r="T744" s="67"/>
      <c r="U744" s="67"/>
      <c r="V744" s="67"/>
      <c r="W744" s="67"/>
      <c r="X744" s="67"/>
      <c r="Y744" s="67"/>
      <c r="Z744" s="67"/>
    </row>
    <row r="745" spans="1:26" ht="12.5">
      <c r="A745" s="68" t="s">
        <v>1788</v>
      </c>
      <c r="B745" s="68" t="s">
        <v>1813</v>
      </c>
      <c r="C745" s="68" t="s">
        <v>1829</v>
      </c>
      <c r="D745" s="68" t="s">
        <v>28</v>
      </c>
      <c r="E745" s="69">
        <v>2020</v>
      </c>
      <c r="F745" s="69">
        <v>8</v>
      </c>
      <c r="G745" s="69">
        <v>357.6</v>
      </c>
      <c r="H745" s="69">
        <v>5442</v>
      </c>
      <c r="I745" s="67"/>
      <c r="J745" s="67"/>
      <c r="K745" s="67"/>
      <c r="L745" s="67"/>
      <c r="M745" s="67"/>
      <c r="N745" s="67"/>
      <c r="O745" s="67"/>
      <c r="P745" s="67"/>
      <c r="Q745" s="67"/>
      <c r="R745" s="67"/>
      <c r="S745" s="67"/>
      <c r="T745" s="67"/>
      <c r="U745" s="67"/>
      <c r="V745" s="67"/>
      <c r="W745" s="67"/>
      <c r="X745" s="67"/>
      <c r="Y745" s="67"/>
      <c r="Z745" s="67"/>
    </row>
    <row r="746" spans="1:26" ht="12.5">
      <c r="A746" s="68" t="s">
        <v>1788</v>
      </c>
      <c r="B746" s="68" t="s">
        <v>1813</v>
      </c>
      <c r="C746" s="68" t="s">
        <v>1831</v>
      </c>
      <c r="D746" s="68" t="s">
        <v>28</v>
      </c>
      <c r="E746" s="69">
        <v>2020</v>
      </c>
      <c r="F746" s="69">
        <v>18</v>
      </c>
      <c r="G746" s="69">
        <v>428.2</v>
      </c>
      <c r="H746" s="69">
        <v>4442</v>
      </c>
      <c r="I746" s="67"/>
      <c r="J746" s="67"/>
      <c r="K746" s="67"/>
      <c r="L746" s="67"/>
      <c r="M746" s="67"/>
      <c r="N746" s="67"/>
      <c r="O746" s="67"/>
      <c r="P746" s="67"/>
      <c r="Q746" s="67"/>
      <c r="R746" s="67"/>
      <c r="S746" s="67"/>
      <c r="T746" s="67"/>
      <c r="U746" s="67"/>
      <c r="V746" s="67"/>
      <c r="W746" s="67"/>
      <c r="X746" s="67"/>
      <c r="Y746" s="67"/>
      <c r="Z746" s="67"/>
    </row>
    <row r="747" spans="1:26" ht="12.5">
      <c r="A747" s="68" t="s">
        <v>1788</v>
      </c>
      <c r="B747" s="68" t="s">
        <v>1813</v>
      </c>
      <c r="C747" s="68" t="s">
        <v>1833</v>
      </c>
      <c r="D747" s="68" t="s">
        <v>28</v>
      </c>
      <c r="E747" s="69">
        <v>2020</v>
      </c>
      <c r="F747" s="69">
        <v>26</v>
      </c>
      <c r="G747" s="69">
        <v>422.4</v>
      </c>
      <c r="H747" s="69">
        <v>4947</v>
      </c>
      <c r="I747" s="67"/>
      <c r="J747" s="67"/>
      <c r="K747" s="67"/>
      <c r="L747" s="67"/>
      <c r="M747" s="67"/>
      <c r="N747" s="67"/>
      <c r="O747" s="67"/>
      <c r="P747" s="67"/>
      <c r="Q747" s="67"/>
      <c r="R747" s="67"/>
      <c r="S747" s="67"/>
      <c r="T747" s="67"/>
      <c r="U747" s="67"/>
      <c r="V747" s="67"/>
      <c r="W747" s="67"/>
      <c r="X747" s="67"/>
      <c r="Y747" s="67"/>
      <c r="Z747" s="67"/>
    </row>
    <row r="748" spans="1:26" ht="12.5">
      <c r="A748" s="68" t="s">
        <v>1788</v>
      </c>
      <c r="B748" s="68" t="s">
        <v>1813</v>
      </c>
      <c r="C748" s="68" t="s">
        <v>523</v>
      </c>
      <c r="D748" s="68" t="s">
        <v>32</v>
      </c>
      <c r="E748" s="69">
        <v>2020</v>
      </c>
      <c r="F748" s="69">
        <v>8</v>
      </c>
      <c r="G748" s="69">
        <v>288.2</v>
      </c>
      <c r="H748" s="69">
        <v>9020</v>
      </c>
      <c r="I748" s="67"/>
      <c r="J748" s="67"/>
      <c r="K748" s="67"/>
      <c r="L748" s="67"/>
      <c r="M748" s="67"/>
      <c r="N748" s="67"/>
      <c r="O748" s="67"/>
      <c r="P748" s="67"/>
      <c r="Q748" s="67"/>
      <c r="R748" s="67"/>
      <c r="S748" s="67"/>
      <c r="T748" s="67"/>
      <c r="U748" s="67"/>
      <c r="V748" s="67"/>
      <c r="W748" s="67"/>
      <c r="X748" s="67"/>
      <c r="Y748" s="67"/>
      <c r="Z748" s="67"/>
    </row>
    <row r="749" spans="1:26" ht="12.5">
      <c r="A749" s="68" t="s">
        <v>1788</v>
      </c>
      <c r="B749" s="68" t="s">
        <v>1813</v>
      </c>
      <c r="C749" s="68" t="s">
        <v>1836</v>
      </c>
      <c r="D749" s="68" t="s">
        <v>28</v>
      </c>
      <c r="E749" s="69">
        <v>2020</v>
      </c>
      <c r="F749" s="69">
        <v>20</v>
      </c>
      <c r="G749" s="69">
        <v>365.9</v>
      </c>
      <c r="H749" s="69">
        <v>7681</v>
      </c>
      <c r="I749" s="67"/>
      <c r="J749" s="67"/>
      <c r="K749" s="67"/>
      <c r="L749" s="67"/>
      <c r="M749" s="67"/>
      <c r="N749" s="67"/>
      <c r="O749" s="67"/>
      <c r="P749" s="67"/>
      <c r="Q749" s="67"/>
      <c r="R749" s="67"/>
      <c r="S749" s="67"/>
      <c r="T749" s="67"/>
      <c r="U749" s="67"/>
      <c r="V749" s="67"/>
      <c r="W749" s="67"/>
      <c r="X749" s="67"/>
      <c r="Y749" s="67"/>
      <c r="Z749" s="67"/>
    </row>
    <row r="750" spans="1:26" ht="12.5">
      <c r="A750" s="68" t="s">
        <v>1788</v>
      </c>
      <c r="B750" s="68" t="s">
        <v>1813</v>
      </c>
      <c r="C750" s="68" t="s">
        <v>1838</v>
      </c>
      <c r="D750" s="68" t="s">
        <v>28</v>
      </c>
      <c r="E750" s="69">
        <v>2020</v>
      </c>
      <c r="F750" s="69">
        <v>13</v>
      </c>
      <c r="G750" s="69">
        <v>299.3</v>
      </c>
      <c r="H750" s="69">
        <v>5016</v>
      </c>
      <c r="I750" s="67"/>
      <c r="J750" s="67"/>
      <c r="K750" s="67"/>
      <c r="L750" s="67"/>
      <c r="M750" s="67"/>
      <c r="N750" s="67"/>
      <c r="O750" s="67"/>
      <c r="P750" s="67"/>
      <c r="Q750" s="67"/>
      <c r="R750" s="67"/>
      <c r="S750" s="67"/>
      <c r="T750" s="67"/>
      <c r="U750" s="67"/>
      <c r="V750" s="67"/>
      <c r="W750" s="67"/>
      <c r="X750" s="67"/>
      <c r="Y750" s="67"/>
      <c r="Z750" s="67"/>
    </row>
    <row r="751" spans="1:26" ht="12.5">
      <c r="A751" s="68" t="s">
        <v>1788</v>
      </c>
      <c r="B751" s="68" t="s">
        <v>1813</v>
      </c>
      <c r="C751" s="68" t="s">
        <v>1840</v>
      </c>
      <c r="D751" s="68" t="s">
        <v>20</v>
      </c>
      <c r="E751" s="69">
        <v>2020</v>
      </c>
      <c r="F751" s="69">
        <v>5</v>
      </c>
      <c r="G751" s="69">
        <v>158.69999999999999</v>
      </c>
      <c r="H751" s="69">
        <v>42117</v>
      </c>
      <c r="I751" s="67"/>
      <c r="J751" s="67"/>
      <c r="K751" s="67"/>
      <c r="L751" s="67"/>
      <c r="M751" s="67"/>
      <c r="N751" s="67"/>
      <c r="O751" s="67"/>
      <c r="P751" s="67"/>
      <c r="Q751" s="67"/>
      <c r="R751" s="67"/>
      <c r="S751" s="67"/>
      <c r="T751" s="67"/>
      <c r="U751" s="67"/>
      <c r="V751" s="67"/>
      <c r="W751" s="67"/>
      <c r="X751" s="67"/>
      <c r="Y751" s="67"/>
      <c r="Z751" s="67"/>
    </row>
    <row r="752" spans="1:26" ht="12.5">
      <c r="A752" s="68" t="s">
        <v>1788</v>
      </c>
      <c r="B752" s="68" t="s">
        <v>1843</v>
      </c>
      <c r="C752" s="68" t="s">
        <v>1254</v>
      </c>
      <c r="D752" s="68" t="s">
        <v>32</v>
      </c>
      <c r="E752" s="69">
        <v>2020</v>
      </c>
      <c r="F752" s="69">
        <v>35</v>
      </c>
      <c r="G752" s="69">
        <v>896.5</v>
      </c>
      <c r="H752" s="69">
        <v>13701</v>
      </c>
      <c r="I752" s="67"/>
      <c r="J752" s="67"/>
      <c r="K752" s="67"/>
      <c r="L752" s="67"/>
      <c r="M752" s="67"/>
      <c r="N752" s="67"/>
      <c r="O752" s="67"/>
      <c r="P752" s="67"/>
      <c r="Q752" s="67"/>
      <c r="R752" s="67"/>
      <c r="S752" s="67"/>
      <c r="T752" s="67"/>
      <c r="U752" s="67"/>
      <c r="V752" s="67"/>
      <c r="W752" s="67"/>
      <c r="X752" s="67"/>
      <c r="Y752" s="67"/>
      <c r="Z752" s="67"/>
    </row>
    <row r="753" spans="1:26" ht="12.5">
      <c r="A753" s="68" t="s">
        <v>1788</v>
      </c>
      <c r="B753" s="68" t="s">
        <v>1843</v>
      </c>
      <c r="C753" s="68" t="s">
        <v>1845</v>
      </c>
      <c r="D753" s="68" t="s">
        <v>28</v>
      </c>
      <c r="E753" s="69">
        <v>2020</v>
      </c>
      <c r="F753" s="69">
        <v>17</v>
      </c>
      <c r="G753" s="69">
        <v>352.7</v>
      </c>
      <c r="H753" s="69">
        <v>8719</v>
      </c>
      <c r="I753" s="67"/>
      <c r="J753" s="67"/>
      <c r="K753" s="67"/>
      <c r="L753" s="67"/>
      <c r="M753" s="67"/>
      <c r="N753" s="67"/>
      <c r="O753" s="67"/>
      <c r="P753" s="67"/>
      <c r="Q753" s="67"/>
      <c r="R753" s="67"/>
      <c r="S753" s="67"/>
      <c r="T753" s="67"/>
      <c r="U753" s="67"/>
      <c r="V753" s="67"/>
      <c r="W753" s="67"/>
      <c r="X753" s="67"/>
      <c r="Y753" s="67"/>
      <c r="Z753" s="67"/>
    </row>
    <row r="754" spans="1:26" ht="12.5">
      <c r="A754" s="68" t="s">
        <v>1788</v>
      </c>
      <c r="B754" s="68" t="s">
        <v>1843</v>
      </c>
      <c r="C754" s="68" t="s">
        <v>1037</v>
      </c>
      <c r="D754" s="68" t="s">
        <v>32</v>
      </c>
      <c r="E754" s="69">
        <v>2020</v>
      </c>
      <c r="F754" s="69">
        <v>9</v>
      </c>
      <c r="G754" s="69">
        <v>329.9</v>
      </c>
      <c r="H754" s="69">
        <v>14988</v>
      </c>
      <c r="I754" s="67"/>
      <c r="J754" s="67"/>
      <c r="K754" s="67"/>
      <c r="L754" s="67"/>
      <c r="M754" s="67"/>
      <c r="N754" s="67"/>
      <c r="O754" s="67"/>
      <c r="P754" s="67"/>
      <c r="Q754" s="67"/>
      <c r="R754" s="67"/>
      <c r="S754" s="67"/>
      <c r="T754" s="67"/>
      <c r="U754" s="67"/>
      <c r="V754" s="67"/>
      <c r="W754" s="67"/>
      <c r="X754" s="67"/>
      <c r="Y754" s="67"/>
      <c r="Z754" s="67"/>
    </row>
    <row r="755" spans="1:26" ht="12.5">
      <c r="A755" s="68" t="s">
        <v>1788</v>
      </c>
      <c r="B755" s="68" t="s">
        <v>1843</v>
      </c>
      <c r="C755" s="68" t="s">
        <v>1848</v>
      </c>
      <c r="D755" s="68" t="s">
        <v>28</v>
      </c>
      <c r="E755" s="69">
        <v>2020</v>
      </c>
      <c r="F755" s="69">
        <v>6</v>
      </c>
      <c r="G755" s="69">
        <v>311.10000000000002</v>
      </c>
      <c r="H755" s="69">
        <v>7502</v>
      </c>
      <c r="I755" s="67"/>
      <c r="J755" s="67"/>
      <c r="K755" s="67"/>
      <c r="L755" s="67"/>
      <c r="M755" s="67"/>
      <c r="N755" s="67"/>
      <c r="O755" s="67"/>
      <c r="P755" s="67"/>
      <c r="Q755" s="67"/>
      <c r="R755" s="67"/>
      <c r="S755" s="67"/>
      <c r="T755" s="67"/>
      <c r="U755" s="67"/>
      <c r="V755" s="67"/>
      <c r="W755" s="67"/>
      <c r="X755" s="67"/>
      <c r="Y755" s="67"/>
      <c r="Z755" s="67"/>
    </row>
    <row r="756" spans="1:26" ht="12.5">
      <c r="A756" s="68" t="s">
        <v>1788</v>
      </c>
      <c r="B756" s="68" t="s">
        <v>1843</v>
      </c>
      <c r="C756" s="68" t="s">
        <v>1850</v>
      </c>
      <c r="D756" s="68" t="s">
        <v>28</v>
      </c>
      <c r="E756" s="69">
        <v>2020</v>
      </c>
      <c r="F756" s="69">
        <v>12</v>
      </c>
      <c r="G756" s="69">
        <v>428.4</v>
      </c>
      <c r="H756" s="69">
        <v>7789</v>
      </c>
      <c r="I756" s="67"/>
      <c r="J756" s="67"/>
      <c r="K756" s="67"/>
      <c r="L756" s="67"/>
      <c r="M756" s="67"/>
      <c r="N756" s="67"/>
      <c r="O756" s="67"/>
      <c r="P756" s="67"/>
      <c r="Q756" s="67"/>
      <c r="R756" s="67"/>
      <c r="S756" s="67"/>
      <c r="T756" s="67"/>
      <c r="U756" s="67"/>
      <c r="V756" s="67"/>
      <c r="W756" s="67"/>
      <c r="X756" s="67"/>
      <c r="Y756" s="67"/>
      <c r="Z756" s="67"/>
    </row>
    <row r="757" spans="1:26" ht="12.5">
      <c r="A757" s="68" t="s">
        <v>1788</v>
      </c>
      <c r="B757" s="68" t="s">
        <v>1843</v>
      </c>
      <c r="C757" s="68" t="s">
        <v>512</v>
      </c>
      <c r="D757" s="68" t="s">
        <v>28</v>
      </c>
      <c r="E757" s="69">
        <v>2020</v>
      </c>
      <c r="F757" s="69">
        <v>11</v>
      </c>
      <c r="G757" s="69">
        <v>446.4</v>
      </c>
      <c r="H757" s="69">
        <v>9671</v>
      </c>
      <c r="I757" s="67"/>
      <c r="J757" s="67"/>
      <c r="K757" s="67"/>
      <c r="L757" s="67"/>
      <c r="M757" s="67"/>
      <c r="N757" s="67"/>
      <c r="O757" s="67"/>
      <c r="P757" s="67"/>
      <c r="Q757" s="67"/>
      <c r="R757" s="67"/>
      <c r="S757" s="67"/>
      <c r="T757" s="67"/>
      <c r="U757" s="67"/>
      <c r="V757" s="67"/>
      <c r="W757" s="67"/>
      <c r="X757" s="67"/>
      <c r="Y757" s="67"/>
      <c r="Z757" s="67"/>
    </row>
    <row r="758" spans="1:26" ht="12.5">
      <c r="A758" s="68" t="s">
        <v>1788</v>
      </c>
      <c r="B758" s="68" t="s">
        <v>1843</v>
      </c>
      <c r="C758" s="68" t="s">
        <v>1853</v>
      </c>
      <c r="D758" s="68" t="s">
        <v>28</v>
      </c>
      <c r="E758" s="69">
        <v>2020</v>
      </c>
      <c r="F758" s="69">
        <v>12</v>
      </c>
      <c r="G758" s="69">
        <v>533.9</v>
      </c>
      <c r="H758" s="69">
        <v>7572</v>
      </c>
      <c r="I758" s="67"/>
      <c r="J758" s="67"/>
      <c r="K758" s="67"/>
      <c r="L758" s="67"/>
      <c r="M758" s="67"/>
      <c r="N758" s="67"/>
      <c r="O758" s="67"/>
      <c r="P758" s="67"/>
      <c r="Q758" s="67"/>
      <c r="R758" s="67"/>
      <c r="S758" s="67"/>
      <c r="T758" s="67"/>
      <c r="U758" s="67"/>
      <c r="V758" s="67"/>
      <c r="W758" s="67"/>
      <c r="X758" s="67"/>
      <c r="Y758" s="67"/>
      <c r="Z758" s="67"/>
    </row>
    <row r="759" spans="1:26" ht="12.5">
      <c r="A759" s="68" t="s">
        <v>1788</v>
      </c>
      <c r="B759" s="68" t="s">
        <v>1843</v>
      </c>
      <c r="C759" s="68" t="s">
        <v>297</v>
      </c>
      <c r="D759" s="68" t="s">
        <v>20</v>
      </c>
      <c r="E759" s="69">
        <v>2020</v>
      </c>
      <c r="F759" s="69">
        <v>1</v>
      </c>
      <c r="G759" s="69">
        <v>248.7</v>
      </c>
      <c r="H759" s="69">
        <v>476101</v>
      </c>
      <c r="I759" s="67"/>
      <c r="J759" s="67"/>
      <c r="K759" s="67"/>
      <c r="L759" s="67"/>
      <c r="M759" s="67"/>
      <c r="N759" s="67"/>
      <c r="O759" s="67"/>
      <c r="P759" s="67"/>
      <c r="Q759" s="67"/>
      <c r="R759" s="67"/>
      <c r="S759" s="67"/>
      <c r="T759" s="67"/>
      <c r="U759" s="67"/>
      <c r="V759" s="67"/>
      <c r="W759" s="67"/>
      <c r="X759" s="67"/>
      <c r="Y759" s="67"/>
      <c r="Z759" s="67"/>
    </row>
    <row r="760" spans="1:26" ht="12.5">
      <c r="A760" s="68" t="s">
        <v>1788</v>
      </c>
      <c r="B760" s="68" t="s">
        <v>1843</v>
      </c>
      <c r="C760" s="68" t="s">
        <v>1856</v>
      </c>
      <c r="D760" s="68" t="s">
        <v>28</v>
      </c>
      <c r="E760" s="69">
        <v>2020</v>
      </c>
      <c r="F760" s="69">
        <v>7</v>
      </c>
      <c r="G760" s="69">
        <v>172.5</v>
      </c>
      <c r="H760" s="69">
        <v>7174</v>
      </c>
      <c r="I760" s="67"/>
      <c r="J760" s="67"/>
      <c r="K760" s="67"/>
      <c r="L760" s="67"/>
      <c r="M760" s="67"/>
      <c r="N760" s="67"/>
      <c r="O760" s="67"/>
      <c r="P760" s="67"/>
      <c r="Q760" s="67"/>
      <c r="R760" s="67"/>
      <c r="S760" s="67"/>
      <c r="T760" s="67"/>
      <c r="U760" s="67"/>
      <c r="V760" s="67"/>
      <c r="W760" s="67"/>
      <c r="X760" s="67"/>
      <c r="Y760" s="67"/>
      <c r="Z760" s="67"/>
    </row>
    <row r="761" spans="1:26" ht="12.5">
      <c r="A761" s="68" t="s">
        <v>1788</v>
      </c>
      <c r="B761" s="68" t="s">
        <v>1843</v>
      </c>
      <c r="C761" s="68" t="s">
        <v>1858</v>
      </c>
      <c r="D761" s="68" t="s">
        <v>28</v>
      </c>
      <c r="E761" s="69">
        <v>2020</v>
      </c>
      <c r="F761" s="69">
        <v>13</v>
      </c>
      <c r="G761" s="69">
        <v>253.5</v>
      </c>
      <c r="H761" s="69">
        <v>4244</v>
      </c>
      <c r="I761" s="67"/>
      <c r="J761" s="67"/>
      <c r="K761" s="67"/>
      <c r="L761" s="67"/>
      <c r="M761" s="67"/>
      <c r="N761" s="67"/>
      <c r="O761" s="67"/>
      <c r="P761" s="67"/>
      <c r="Q761" s="67"/>
      <c r="R761" s="67"/>
      <c r="S761" s="67"/>
      <c r="T761" s="67"/>
      <c r="U761" s="67"/>
      <c r="V761" s="67"/>
      <c r="W761" s="67"/>
      <c r="X761" s="67"/>
      <c r="Y761" s="67"/>
      <c r="Z761" s="67"/>
    </row>
    <row r="762" spans="1:26" ht="12.5">
      <c r="A762" s="68" t="s">
        <v>1788</v>
      </c>
      <c r="B762" s="68" t="s">
        <v>1843</v>
      </c>
      <c r="C762" s="68" t="s">
        <v>1860</v>
      </c>
      <c r="D762" s="68" t="s">
        <v>20</v>
      </c>
      <c r="E762" s="69">
        <v>2020</v>
      </c>
      <c r="F762" s="69">
        <v>16</v>
      </c>
      <c r="G762" s="69">
        <v>617.5</v>
      </c>
      <c r="H762" s="69">
        <v>17478</v>
      </c>
      <c r="I762" s="67"/>
      <c r="J762" s="67"/>
      <c r="K762" s="67"/>
      <c r="L762" s="67"/>
      <c r="M762" s="67"/>
      <c r="N762" s="67"/>
      <c r="O762" s="67"/>
      <c r="P762" s="67"/>
      <c r="Q762" s="67"/>
      <c r="R762" s="67"/>
      <c r="S762" s="67"/>
      <c r="T762" s="67"/>
      <c r="U762" s="67"/>
      <c r="V762" s="67"/>
      <c r="W762" s="67"/>
      <c r="X762" s="67"/>
      <c r="Y762" s="67"/>
      <c r="Z762" s="67"/>
    </row>
    <row r="763" spans="1:26" ht="12.5">
      <c r="A763" s="68" t="s">
        <v>1788</v>
      </c>
      <c r="B763" s="68" t="s">
        <v>1843</v>
      </c>
      <c r="C763" s="68" t="s">
        <v>1863</v>
      </c>
      <c r="D763" s="68" t="s">
        <v>32</v>
      </c>
      <c r="E763" s="69">
        <v>2020</v>
      </c>
      <c r="F763" s="69">
        <v>13</v>
      </c>
      <c r="G763" s="69">
        <v>247.1</v>
      </c>
      <c r="H763" s="69">
        <v>9065</v>
      </c>
      <c r="I763" s="67"/>
      <c r="J763" s="67"/>
      <c r="K763" s="67"/>
      <c r="L763" s="67"/>
      <c r="M763" s="67"/>
      <c r="N763" s="67"/>
      <c r="O763" s="67"/>
      <c r="P763" s="67"/>
      <c r="Q763" s="67"/>
      <c r="R763" s="67"/>
      <c r="S763" s="67"/>
      <c r="T763" s="67"/>
      <c r="U763" s="67"/>
      <c r="V763" s="67"/>
      <c r="W763" s="67"/>
      <c r="X763" s="67"/>
      <c r="Y763" s="67"/>
      <c r="Z763" s="67"/>
    </row>
    <row r="764" spans="1:26" ht="12.5">
      <c r="A764" s="68" t="s">
        <v>1788</v>
      </c>
      <c r="B764" s="68" t="s">
        <v>1843</v>
      </c>
      <c r="C764" s="68" t="s">
        <v>1865</v>
      </c>
      <c r="D764" s="68" t="s">
        <v>20</v>
      </c>
      <c r="E764" s="69">
        <v>2020</v>
      </c>
      <c r="F764" s="69">
        <v>4</v>
      </c>
      <c r="G764" s="69">
        <v>295</v>
      </c>
      <c r="H764" s="69">
        <v>14621</v>
      </c>
      <c r="I764" s="67"/>
      <c r="J764" s="67"/>
      <c r="K764" s="67"/>
      <c r="L764" s="67"/>
      <c r="M764" s="67"/>
      <c r="N764" s="67"/>
      <c r="O764" s="67"/>
      <c r="P764" s="67"/>
      <c r="Q764" s="67"/>
      <c r="R764" s="67"/>
      <c r="S764" s="67"/>
      <c r="T764" s="67"/>
      <c r="U764" s="67"/>
      <c r="V764" s="67"/>
      <c r="W764" s="67"/>
      <c r="X764" s="67"/>
      <c r="Y764" s="67"/>
      <c r="Z764" s="67"/>
    </row>
    <row r="765" spans="1:26" ht="12.5">
      <c r="A765" s="68" t="s">
        <v>1788</v>
      </c>
      <c r="B765" s="68" t="s">
        <v>1843</v>
      </c>
      <c r="C765" s="68" t="s">
        <v>1868</v>
      </c>
      <c r="D765" s="68" t="s">
        <v>32</v>
      </c>
      <c r="E765" s="69">
        <v>2020</v>
      </c>
      <c r="F765" s="69">
        <v>11</v>
      </c>
      <c r="G765" s="69">
        <v>377</v>
      </c>
      <c r="H765" s="69">
        <v>9390</v>
      </c>
      <c r="I765" s="67"/>
      <c r="J765" s="67"/>
      <c r="K765" s="67"/>
      <c r="L765" s="67"/>
      <c r="M765" s="67"/>
      <c r="N765" s="67"/>
      <c r="O765" s="67"/>
      <c r="P765" s="67"/>
      <c r="Q765" s="67"/>
      <c r="R765" s="67"/>
      <c r="S765" s="67"/>
      <c r="T765" s="67"/>
      <c r="U765" s="67"/>
      <c r="V765" s="67"/>
      <c r="W765" s="67"/>
      <c r="X765" s="67"/>
      <c r="Y765" s="67"/>
      <c r="Z765" s="67"/>
    </row>
    <row r="766" spans="1:26" ht="12.5">
      <c r="A766" s="68" t="s">
        <v>1788</v>
      </c>
      <c r="B766" s="68" t="s">
        <v>1843</v>
      </c>
      <c r="C766" s="68" t="s">
        <v>1871</v>
      </c>
      <c r="D766" s="68" t="s">
        <v>28</v>
      </c>
      <c r="E766" s="69">
        <v>2020</v>
      </c>
      <c r="F766" s="69">
        <v>6</v>
      </c>
      <c r="G766" s="69">
        <v>168.3</v>
      </c>
      <c r="H766" s="69">
        <v>4125</v>
      </c>
      <c r="I766" s="67"/>
      <c r="J766" s="67"/>
      <c r="K766" s="67"/>
      <c r="L766" s="67"/>
      <c r="M766" s="67"/>
      <c r="N766" s="67"/>
      <c r="O766" s="67"/>
      <c r="P766" s="67"/>
      <c r="Q766" s="67"/>
      <c r="R766" s="67"/>
      <c r="S766" s="67"/>
      <c r="T766" s="67"/>
      <c r="U766" s="67"/>
      <c r="V766" s="67"/>
      <c r="W766" s="67"/>
      <c r="X766" s="67"/>
      <c r="Y766" s="67"/>
      <c r="Z766" s="67"/>
    </row>
    <row r="767" spans="1:26" ht="12.5">
      <c r="A767" s="68" t="s">
        <v>1788</v>
      </c>
      <c r="B767" s="68" t="s">
        <v>1843</v>
      </c>
      <c r="C767" s="68" t="s">
        <v>1873</v>
      </c>
      <c r="D767" s="68" t="s">
        <v>28</v>
      </c>
      <c r="E767" s="69">
        <v>2020</v>
      </c>
      <c r="F767" s="69">
        <v>16</v>
      </c>
      <c r="G767" s="69">
        <v>787</v>
      </c>
      <c r="H767" s="69">
        <v>8895</v>
      </c>
      <c r="I767" s="67"/>
      <c r="J767" s="67"/>
      <c r="K767" s="67"/>
      <c r="L767" s="67"/>
      <c r="M767" s="67"/>
      <c r="N767" s="67"/>
      <c r="O767" s="67"/>
      <c r="P767" s="67"/>
      <c r="Q767" s="67"/>
      <c r="R767" s="67"/>
      <c r="S767" s="67"/>
      <c r="T767" s="67"/>
      <c r="U767" s="67"/>
      <c r="V767" s="67"/>
      <c r="W767" s="67"/>
      <c r="X767" s="67"/>
      <c r="Y767" s="67"/>
      <c r="Z767" s="67"/>
    </row>
    <row r="768" spans="1:26" ht="12.5">
      <c r="A768" s="68" t="s">
        <v>1788</v>
      </c>
      <c r="B768" s="68" t="s">
        <v>1843</v>
      </c>
      <c r="C768" s="68" t="s">
        <v>1876</v>
      </c>
      <c r="D768" s="68" t="s">
        <v>28</v>
      </c>
      <c r="E768" s="69">
        <v>2020</v>
      </c>
      <c r="F768" s="69">
        <v>15</v>
      </c>
      <c r="G768" s="69">
        <v>368.7</v>
      </c>
      <c r="H768" s="69">
        <v>4819</v>
      </c>
      <c r="I768" s="67"/>
      <c r="J768" s="67"/>
      <c r="K768" s="67"/>
      <c r="L768" s="67"/>
      <c r="M768" s="67"/>
      <c r="N768" s="67"/>
      <c r="O768" s="67"/>
      <c r="P768" s="67"/>
      <c r="Q768" s="67"/>
      <c r="R768" s="67"/>
      <c r="S768" s="67"/>
      <c r="T768" s="67"/>
      <c r="U768" s="67"/>
      <c r="V768" s="67"/>
      <c r="W768" s="67"/>
      <c r="X768" s="67"/>
      <c r="Y768" s="67"/>
      <c r="Z768" s="67"/>
    </row>
    <row r="769" spans="1:26" ht="12.5">
      <c r="A769" s="68" t="s">
        <v>1788</v>
      </c>
      <c r="B769" s="68" t="s">
        <v>1843</v>
      </c>
      <c r="C769" s="68" t="s">
        <v>1878</v>
      </c>
      <c r="D769" s="68" t="s">
        <v>28</v>
      </c>
      <c r="E769" s="69">
        <v>2020</v>
      </c>
      <c r="F769" s="69">
        <v>13</v>
      </c>
      <c r="G769" s="69">
        <v>339.9</v>
      </c>
      <c r="H769" s="69">
        <v>5298</v>
      </c>
      <c r="I769" s="67"/>
      <c r="J769" s="67"/>
      <c r="K769" s="67"/>
      <c r="L769" s="67"/>
      <c r="M769" s="67"/>
      <c r="N769" s="67"/>
      <c r="O769" s="67"/>
      <c r="P769" s="67"/>
      <c r="Q769" s="67"/>
      <c r="R769" s="67"/>
      <c r="S769" s="67"/>
      <c r="T769" s="67"/>
      <c r="U769" s="67"/>
      <c r="V769" s="67"/>
      <c r="W769" s="67"/>
      <c r="X769" s="67"/>
      <c r="Y769" s="67"/>
      <c r="Z769" s="67"/>
    </row>
    <row r="770" spans="1:26" ht="12.5">
      <c r="A770" s="68" t="s">
        <v>1788</v>
      </c>
      <c r="B770" s="68" t="s">
        <v>1843</v>
      </c>
      <c r="C770" s="68" t="s">
        <v>1880</v>
      </c>
      <c r="D770" s="68" t="s">
        <v>28</v>
      </c>
      <c r="E770" s="69">
        <v>2020</v>
      </c>
      <c r="F770" s="69">
        <v>21</v>
      </c>
      <c r="G770" s="69">
        <v>515.79999999999995</v>
      </c>
      <c r="H770" s="69">
        <v>14410</v>
      </c>
      <c r="I770" s="67"/>
      <c r="J770" s="67"/>
      <c r="K770" s="67"/>
      <c r="L770" s="67"/>
      <c r="M770" s="67"/>
      <c r="N770" s="67"/>
      <c r="O770" s="67"/>
      <c r="P770" s="67"/>
      <c r="Q770" s="67"/>
      <c r="R770" s="67"/>
      <c r="S770" s="67"/>
      <c r="T770" s="67"/>
      <c r="U770" s="67"/>
      <c r="V770" s="67"/>
      <c r="W770" s="67"/>
      <c r="X770" s="67"/>
      <c r="Y770" s="67"/>
      <c r="Z770" s="67"/>
    </row>
    <row r="771" spans="1:26" ht="12.5">
      <c r="A771" s="68" t="s">
        <v>1788</v>
      </c>
      <c r="B771" s="68" t="s">
        <v>1882</v>
      </c>
      <c r="C771" s="68" t="s">
        <v>1883</v>
      </c>
      <c r="D771" s="68" t="s">
        <v>32</v>
      </c>
      <c r="E771" s="69">
        <v>2020</v>
      </c>
      <c r="F771" s="69">
        <v>13</v>
      </c>
      <c r="G771" s="69">
        <v>429.3</v>
      </c>
      <c r="H771" s="69">
        <v>10258</v>
      </c>
      <c r="I771" s="67"/>
      <c r="J771" s="67"/>
      <c r="K771" s="67"/>
      <c r="L771" s="67"/>
      <c r="M771" s="67"/>
      <c r="N771" s="67"/>
      <c r="O771" s="67"/>
      <c r="P771" s="67"/>
      <c r="Q771" s="67"/>
      <c r="R771" s="67"/>
      <c r="S771" s="67"/>
      <c r="T771" s="67"/>
      <c r="U771" s="67"/>
      <c r="V771" s="67"/>
      <c r="W771" s="67"/>
      <c r="X771" s="67"/>
      <c r="Y771" s="67"/>
      <c r="Z771" s="67"/>
    </row>
    <row r="772" spans="1:26" ht="12.5">
      <c r="A772" s="68" t="s">
        <v>1788</v>
      </c>
      <c r="B772" s="68" t="s">
        <v>1882</v>
      </c>
      <c r="C772" s="68" t="s">
        <v>1885</v>
      </c>
      <c r="D772" s="68" t="s">
        <v>28</v>
      </c>
      <c r="E772" s="69">
        <v>2020</v>
      </c>
      <c r="F772" s="69">
        <v>12</v>
      </c>
      <c r="G772" s="69">
        <v>403.4</v>
      </c>
      <c r="H772" s="69">
        <v>5688</v>
      </c>
      <c r="I772" s="67"/>
      <c r="J772" s="67"/>
      <c r="K772" s="67"/>
      <c r="L772" s="67"/>
      <c r="M772" s="67"/>
      <c r="N772" s="67"/>
      <c r="O772" s="67"/>
      <c r="P772" s="67"/>
      <c r="Q772" s="67"/>
      <c r="R772" s="67"/>
      <c r="S772" s="67"/>
      <c r="T772" s="67"/>
      <c r="U772" s="67"/>
      <c r="V772" s="67"/>
      <c r="W772" s="67"/>
      <c r="X772" s="67"/>
      <c r="Y772" s="67"/>
      <c r="Z772" s="67"/>
    </row>
    <row r="773" spans="1:26" ht="12.5">
      <c r="A773" s="68" t="s">
        <v>1788</v>
      </c>
      <c r="B773" s="68" t="s">
        <v>1882</v>
      </c>
      <c r="C773" s="68" t="s">
        <v>1887</v>
      </c>
      <c r="D773" s="68" t="s">
        <v>32</v>
      </c>
      <c r="E773" s="69">
        <v>2020</v>
      </c>
      <c r="F773" s="69">
        <v>37</v>
      </c>
      <c r="G773" s="69">
        <v>800.6</v>
      </c>
      <c r="H773" s="69">
        <v>16640</v>
      </c>
      <c r="I773" s="67"/>
      <c r="J773" s="67"/>
      <c r="K773" s="67"/>
      <c r="L773" s="67"/>
      <c r="M773" s="67"/>
      <c r="N773" s="67"/>
      <c r="O773" s="67"/>
      <c r="P773" s="67"/>
      <c r="Q773" s="67"/>
      <c r="R773" s="67"/>
      <c r="S773" s="67"/>
      <c r="T773" s="67"/>
      <c r="U773" s="67"/>
      <c r="V773" s="67"/>
      <c r="W773" s="67"/>
      <c r="X773" s="67"/>
      <c r="Y773" s="67"/>
      <c r="Z773" s="67"/>
    </row>
    <row r="774" spans="1:26" ht="12.5">
      <c r="A774" s="68" t="s">
        <v>1788</v>
      </c>
      <c r="B774" s="68" t="s">
        <v>1882</v>
      </c>
      <c r="C774" s="68" t="s">
        <v>1890</v>
      </c>
      <c r="D774" s="68" t="s">
        <v>28</v>
      </c>
      <c r="E774" s="69">
        <v>2020</v>
      </c>
      <c r="F774" s="69">
        <v>15</v>
      </c>
      <c r="G774" s="69">
        <v>328.8</v>
      </c>
      <c r="H774" s="69">
        <v>7339</v>
      </c>
      <c r="I774" s="67"/>
      <c r="J774" s="67"/>
      <c r="K774" s="67"/>
      <c r="L774" s="67"/>
      <c r="M774" s="67"/>
      <c r="N774" s="67"/>
      <c r="O774" s="67"/>
      <c r="P774" s="67"/>
      <c r="Q774" s="67"/>
      <c r="R774" s="67"/>
      <c r="S774" s="67"/>
      <c r="T774" s="67"/>
      <c r="U774" s="67"/>
      <c r="V774" s="67"/>
      <c r="W774" s="67"/>
      <c r="X774" s="67"/>
      <c r="Y774" s="67"/>
      <c r="Z774" s="67"/>
    </row>
    <row r="775" spans="1:26" ht="12.5">
      <c r="A775" s="68" t="s">
        <v>1788</v>
      </c>
      <c r="B775" s="68" t="s">
        <v>1882</v>
      </c>
      <c r="C775" s="68" t="s">
        <v>1892</v>
      </c>
      <c r="D775" s="68" t="s">
        <v>32</v>
      </c>
      <c r="E775" s="69">
        <v>2020</v>
      </c>
      <c r="F775" s="69">
        <v>27</v>
      </c>
      <c r="G775" s="69">
        <v>814.2</v>
      </c>
      <c r="H775" s="69">
        <v>23508</v>
      </c>
      <c r="I775" s="67"/>
      <c r="J775" s="67"/>
      <c r="K775" s="67"/>
      <c r="L775" s="67"/>
      <c r="M775" s="67"/>
      <c r="N775" s="67"/>
      <c r="O775" s="67"/>
      <c r="P775" s="67"/>
      <c r="Q775" s="67"/>
      <c r="R775" s="67"/>
      <c r="S775" s="67"/>
      <c r="T775" s="67"/>
      <c r="U775" s="67"/>
      <c r="V775" s="67"/>
      <c r="W775" s="67"/>
      <c r="X775" s="67"/>
      <c r="Y775" s="67"/>
      <c r="Z775" s="67"/>
    </row>
    <row r="776" spans="1:26" ht="12.5">
      <c r="A776" s="68" t="s">
        <v>1788</v>
      </c>
      <c r="B776" s="68" t="s">
        <v>1882</v>
      </c>
      <c r="C776" s="68" t="s">
        <v>1895</v>
      </c>
      <c r="D776" s="68" t="s">
        <v>28</v>
      </c>
      <c r="E776" s="69">
        <v>2020</v>
      </c>
      <c r="F776" s="69">
        <v>13</v>
      </c>
      <c r="G776" s="69">
        <v>391.1</v>
      </c>
      <c r="H776" s="69">
        <v>8243</v>
      </c>
      <c r="I776" s="67"/>
      <c r="J776" s="67"/>
      <c r="K776" s="67"/>
      <c r="L776" s="67"/>
      <c r="M776" s="67"/>
      <c r="N776" s="67"/>
      <c r="O776" s="67"/>
      <c r="P776" s="67"/>
      <c r="Q776" s="67"/>
      <c r="R776" s="67"/>
      <c r="S776" s="67"/>
      <c r="T776" s="67"/>
      <c r="U776" s="67"/>
      <c r="V776" s="67"/>
      <c r="W776" s="67"/>
      <c r="X776" s="67"/>
      <c r="Y776" s="67"/>
      <c r="Z776" s="67"/>
    </row>
    <row r="777" spans="1:26" ht="12.5">
      <c r="A777" s="68" t="s">
        <v>1788</v>
      </c>
      <c r="B777" s="68" t="s">
        <v>1882</v>
      </c>
      <c r="C777" s="68" t="s">
        <v>1868</v>
      </c>
      <c r="D777" s="68" t="s">
        <v>20</v>
      </c>
      <c r="E777" s="69">
        <v>2020</v>
      </c>
      <c r="F777" s="69">
        <v>7</v>
      </c>
      <c r="G777" s="69">
        <v>282</v>
      </c>
      <c r="H777" s="69">
        <v>70327</v>
      </c>
      <c r="I777" s="67"/>
      <c r="J777" s="67"/>
      <c r="K777" s="67"/>
      <c r="L777" s="67"/>
      <c r="M777" s="67"/>
      <c r="N777" s="67"/>
      <c r="O777" s="67"/>
      <c r="P777" s="67"/>
      <c r="Q777" s="67"/>
      <c r="R777" s="67"/>
      <c r="S777" s="67"/>
      <c r="T777" s="67"/>
      <c r="U777" s="67"/>
      <c r="V777" s="67"/>
      <c r="W777" s="67"/>
      <c r="X777" s="67"/>
      <c r="Y777" s="67"/>
      <c r="Z777" s="67"/>
    </row>
    <row r="778" spans="1:26" ht="12.5">
      <c r="A778" s="68" t="s">
        <v>1788</v>
      </c>
      <c r="B778" s="68" t="s">
        <v>1882</v>
      </c>
      <c r="C778" s="68" t="s">
        <v>1897</v>
      </c>
      <c r="D778" s="68" t="s">
        <v>28</v>
      </c>
      <c r="E778" s="69">
        <v>2020</v>
      </c>
      <c r="F778" s="69">
        <v>17</v>
      </c>
      <c r="G778" s="69">
        <v>343.1</v>
      </c>
      <c r="H778" s="69">
        <v>5754</v>
      </c>
      <c r="I778" s="67"/>
      <c r="J778" s="67"/>
      <c r="K778" s="67"/>
      <c r="L778" s="67"/>
      <c r="M778" s="67"/>
      <c r="N778" s="67"/>
      <c r="O778" s="67"/>
      <c r="P778" s="67"/>
      <c r="Q778" s="67"/>
      <c r="R778" s="67"/>
      <c r="S778" s="67"/>
      <c r="T778" s="67"/>
      <c r="U778" s="67"/>
      <c r="V778" s="67"/>
      <c r="W778" s="67"/>
      <c r="X778" s="67"/>
      <c r="Y778" s="67"/>
      <c r="Z778" s="67"/>
    </row>
    <row r="779" spans="1:26" ht="12.5">
      <c r="A779" s="68" t="s">
        <v>1900</v>
      </c>
      <c r="B779" s="68" t="s">
        <v>1901</v>
      </c>
      <c r="C779" s="68" t="s">
        <v>1902</v>
      </c>
      <c r="D779" s="68" t="s">
        <v>20</v>
      </c>
      <c r="E779" s="69">
        <v>2020</v>
      </c>
      <c r="F779" s="69">
        <v>1</v>
      </c>
      <c r="G779" s="69">
        <v>50.4</v>
      </c>
      <c r="H779" s="69">
        <v>70731</v>
      </c>
      <c r="I779" s="67"/>
      <c r="J779" s="67"/>
      <c r="K779" s="67"/>
      <c r="L779" s="67"/>
      <c r="M779" s="67"/>
      <c r="N779" s="67"/>
      <c r="O779" s="67"/>
      <c r="P779" s="67"/>
      <c r="Q779" s="67"/>
      <c r="R779" s="67"/>
      <c r="S779" s="67"/>
      <c r="T779" s="67"/>
      <c r="U779" s="67"/>
      <c r="V779" s="67"/>
      <c r="W779" s="67"/>
      <c r="X779" s="67"/>
      <c r="Y779" s="67"/>
      <c r="Z779" s="67"/>
    </row>
    <row r="780" spans="1:26" ht="12.5">
      <c r="A780" s="68" t="s">
        <v>1900</v>
      </c>
      <c r="B780" s="68" t="s">
        <v>1901</v>
      </c>
      <c r="C780" s="68" t="s">
        <v>1905</v>
      </c>
      <c r="D780" s="68" t="s">
        <v>20</v>
      </c>
      <c r="E780" s="69">
        <v>2020</v>
      </c>
      <c r="F780" s="69">
        <v>5</v>
      </c>
      <c r="G780" s="69">
        <v>585.9</v>
      </c>
      <c r="H780" s="69">
        <v>12723</v>
      </c>
      <c r="I780" s="67"/>
      <c r="J780" s="67"/>
      <c r="K780" s="67"/>
      <c r="L780" s="67"/>
      <c r="M780" s="67"/>
      <c r="N780" s="67"/>
      <c r="O780" s="67"/>
      <c r="P780" s="67"/>
      <c r="Q780" s="67"/>
      <c r="R780" s="67"/>
      <c r="S780" s="67"/>
      <c r="T780" s="67"/>
      <c r="U780" s="67"/>
      <c r="V780" s="67"/>
      <c r="W780" s="67"/>
      <c r="X780" s="67"/>
      <c r="Y780" s="67"/>
      <c r="Z780" s="67"/>
    </row>
    <row r="781" spans="1:26" ht="12.5">
      <c r="A781" s="68" t="s">
        <v>1900</v>
      </c>
      <c r="B781" s="68" t="s">
        <v>1901</v>
      </c>
      <c r="C781" s="68" t="s">
        <v>1907</v>
      </c>
      <c r="D781" s="68" t="s">
        <v>20</v>
      </c>
      <c r="E781" s="69">
        <v>2020</v>
      </c>
      <c r="F781" s="69">
        <v>11</v>
      </c>
      <c r="G781" s="69">
        <v>713.7</v>
      </c>
      <c r="H781" s="69">
        <v>33699</v>
      </c>
      <c r="I781" s="67"/>
      <c r="J781" s="67"/>
      <c r="K781" s="67"/>
      <c r="L781" s="67"/>
      <c r="M781" s="67"/>
      <c r="N781" s="67"/>
      <c r="O781" s="67"/>
      <c r="P781" s="67"/>
      <c r="Q781" s="67"/>
      <c r="R781" s="67"/>
      <c r="S781" s="67"/>
      <c r="T781" s="67"/>
      <c r="U781" s="67"/>
      <c r="V781" s="67"/>
      <c r="W781" s="67"/>
      <c r="X781" s="67"/>
      <c r="Y781" s="67"/>
      <c r="Z781" s="67"/>
    </row>
    <row r="782" spans="1:26" ht="12.5">
      <c r="A782" s="68" t="s">
        <v>1900</v>
      </c>
      <c r="B782" s="68" t="s">
        <v>1901</v>
      </c>
      <c r="C782" s="68" t="s">
        <v>1909</v>
      </c>
      <c r="D782" s="68" t="s">
        <v>20</v>
      </c>
      <c r="E782" s="69">
        <v>2020</v>
      </c>
      <c r="F782" s="69">
        <v>8</v>
      </c>
      <c r="G782" s="69">
        <v>521.4</v>
      </c>
      <c r="H782" s="69">
        <v>35637</v>
      </c>
      <c r="I782" s="67"/>
      <c r="J782" s="67"/>
      <c r="K782" s="67"/>
      <c r="L782" s="67"/>
      <c r="M782" s="67"/>
      <c r="N782" s="67"/>
      <c r="O782" s="67"/>
      <c r="P782" s="67"/>
      <c r="Q782" s="67"/>
      <c r="R782" s="67"/>
      <c r="S782" s="67"/>
      <c r="T782" s="67"/>
      <c r="U782" s="67"/>
      <c r="V782" s="67"/>
      <c r="W782" s="67"/>
      <c r="X782" s="67"/>
      <c r="Y782" s="67"/>
      <c r="Z782" s="67"/>
    </row>
    <row r="783" spans="1:26" ht="12.5">
      <c r="A783" s="68" t="s">
        <v>1900</v>
      </c>
      <c r="B783" s="68" t="s">
        <v>1901</v>
      </c>
      <c r="C783" s="68" t="s">
        <v>1912</v>
      </c>
      <c r="D783" s="68" t="s">
        <v>28</v>
      </c>
      <c r="E783" s="69">
        <v>2020</v>
      </c>
      <c r="F783" s="69">
        <v>19</v>
      </c>
      <c r="G783" s="69">
        <v>995.1</v>
      </c>
      <c r="H783" s="69">
        <v>42588</v>
      </c>
      <c r="I783" s="67"/>
      <c r="J783" s="67"/>
      <c r="K783" s="67"/>
      <c r="L783" s="67"/>
      <c r="M783" s="67"/>
      <c r="N783" s="67"/>
      <c r="O783" s="67"/>
      <c r="P783" s="67"/>
      <c r="Q783" s="67"/>
      <c r="R783" s="67"/>
      <c r="S783" s="67"/>
      <c r="T783" s="67"/>
      <c r="U783" s="67"/>
      <c r="V783" s="67"/>
      <c r="W783" s="67"/>
      <c r="X783" s="67"/>
      <c r="Y783" s="67"/>
      <c r="Z783" s="67"/>
    </row>
    <row r="784" spans="1:26" ht="12.5">
      <c r="A784" s="68" t="s">
        <v>1900</v>
      </c>
      <c r="B784" s="68" t="s">
        <v>1901</v>
      </c>
      <c r="C784" s="68" t="s">
        <v>1915</v>
      </c>
      <c r="D784" s="68" t="s">
        <v>32</v>
      </c>
      <c r="E784" s="69">
        <v>2020</v>
      </c>
      <c r="F784" s="69">
        <v>7</v>
      </c>
      <c r="G784" s="69">
        <v>370.9</v>
      </c>
      <c r="H784" s="69">
        <v>11916</v>
      </c>
      <c r="I784" s="67"/>
      <c r="J784" s="67"/>
      <c r="K784" s="67"/>
      <c r="L784" s="67"/>
      <c r="M784" s="67"/>
      <c r="N784" s="67"/>
      <c r="O784" s="67"/>
      <c r="P784" s="67"/>
      <c r="Q784" s="67"/>
      <c r="R784" s="67"/>
      <c r="S784" s="67"/>
      <c r="T784" s="67"/>
      <c r="U784" s="67"/>
      <c r="V784" s="67"/>
      <c r="W784" s="67"/>
      <c r="X784" s="67"/>
      <c r="Y784" s="67"/>
      <c r="Z784" s="67"/>
    </row>
    <row r="785" spans="1:26" ht="12.5">
      <c r="A785" s="68" t="s">
        <v>1900</v>
      </c>
      <c r="B785" s="68" t="s">
        <v>1918</v>
      </c>
      <c r="C785" s="68" t="s">
        <v>152</v>
      </c>
      <c r="D785" s="68" t="s">
        <v>32</v>
      </c>
      <c r="E785" s="69">
        <v>2020</v>
      </c>
      <c r="F785" s="69">
        <v>19</v>
      </c>
      <c r="G785" s="69">
        <v>431.4</v>
      </c>
      <c r="H785" s="69">
        <v>8137</v>
      </c>
      <c r="I785" s="67"/>
      <c r="J785" s="67"/>
      <c r="K785" s="67"/>
      <c r="L785" s="67"/>
      <c r="M785" s="67"/>
      <c r="N785" s="67"/>
      <c r="O785" s="67"/>
      <c r="P785" s="67"/>
      <c r="Q785" s="67"/>
      <c r="R785" s="67"/>
      <c r="S785" s="67"/>
      <c r="T785" s="67"/>
      <c r="U785" s="67"/>
      <c r="V785" s="67"/>
      <c r="W785" s="67"/>
      <c r="X785" s="67"/>
      <c r="Y785" s="67"/>
      <c r="Z785" s="67"/>
    </row>
    <row r="786" spans="1:26" ht="12.5">
      <c r="A786" s="68" t="s">
        <v>1900</v>
      </c>
      <c r="B786" s="68" t="s">
        <v>1918</v>
      </c>
      <c r="C786" s="68" t="s">
        <v>1920</v>
      </c>
      <c r="D786" s="68" t="s">
        <v>28</v>
      </c>
      <c r="E786" s="69">
        <v>2020</v>
      </c>
      <c r="F786" s="69">
        <v>12</v>
      </c>
      <c r="G786" s="69">
        <v>306.5</v>
      </c>
      <c r="H786" s="69">
        <v>5233</v>
      </c>
      <c r="I786" s="67"/>
      <c r="J786" s="67"/>
      <c r="K786" s="67"/>
      <c r="L786" s="67"/>
      <c r="M786" s="67"/>
      <c r="N786" s="67"/>
      <c r="O786" s="67"/>
      <c r="P786" s="67"/>
      <c r="Q786" s="67"/>
      <c r="R786" s="67"/>
      <c r="S786" s="67"/>
      <c r="T786" s="67"/>
      <c r="U786" s="67"/>
      <c r="V786" s="67"/>
      <c r="W786" s="67"/>
      <c r="X786" s="67"/>
      <c r="Y786" s="67"/>
      <c r="Z786" s="67"/>
    </row>
    <row r="787" spans="1:26" ht="12.5">
      <c r="A787" s="68" t="s">
        <v>1900</v>
      </c>
      <c r="B787" s="68" t="s">
        <v>1918</v>
      </c>
      <c r="C787" s="68" t="s">
        <v>610</v>
      </c>
      <c r="D787" s="68" t="s">
        <v>20</v>
      </c>
      <c r="E787" s="69">
        <v>2020</v>
      </c>
      <c r="F787" s="69">
        <v>27</v>
      </c>
      <c r="G787" s="69">
        <v>686.9</v>
      </c>
      <c r="H787" s="69">
        <v>16531</v>
      </c>
      <c r="I787" s="67"/>
      <c r="J787" s="67"/>
      <c r="K787" s="67"/>
      <c r="L787" s="67"/>
      <c r="M787" s="67"/>
      <c r="N787" s="67"/>
      <c r="O787" s="67"/>
      <c r="P787" s="67"/>
      <c r="Q787" s="67"/>
      <c r="R787" s="67"/>
      <c r="S787" s="67"/>
      <c r="T787" s="67"/>
      <c r="U787" s="67"/>
      <c r="V787" s="67"/>
      <c r="W787" s="67"/>
      <c r="X787" s="67"/>
      <c r="Y787" s="67"/>
      <c r="Z787" s="67"/>
    </row>
    <row r="788" spans="1:26" ht="12.5">
      <c r="A788" s="68" t="s">
        <v>1900</v>
      </c>
      <c r="B788" s="68" t="s">
        <v>1918</v>
      </c>
      <c r="C788" s="68" t="s">
        <v>1923</v>
      </c>
      <c r="D788" s="68" t="s">
        <v>28</v>
      </c>
      <c r="E788" s="69">
        <v>2020</v>
      </c>
      <c r="F788" s="69">
        <v>3</v>
      </c>
      <c r="G788" s="69">
        <v>165.9</v>
      </c>
      <c r="H788" s="69">
        <v>6086</v>
      </c>
      <c r="I788" s="67"/>
      <c r="J788" s="67"/>
      <c r="K788" s="67"/>
      <c r="L788" s="67"/>
      <c r="M788" s="67"/>
      <c r="N788" s="67"/>
      <c r="O788" s="67"/>
      <c r="P788" s="67"/>
      <c r="Q788" s="67"/>
      <c r="R788" s="67"/>
      <c r="S788" s="67"/>
      <c r="T788" s="67"/>
      <c r="U788" s="67"/>
      <c r="V788" s="67"/>
      <c r="W788" s="67"/>
      <c r="X788" s="67"/>
      <c r="Y788" s="67"/>
      <c r="Z788" s="67"/>
    </row>
    <row r="789" spans="1:26" ht="12.5">
      <c r="A789" s="68" t="s">
        <v>1900</v>
      </c>
      <c r="B789" s="68" t="s">
        <v>1918</v>
      </c>
      <c r="C789" s="68" t="s">
        <v>1452</v>
      </c>
      <c r="D789" s="68" t="s">
        <v>28</v>
      </c>
      <c r="E789" s="69">
        <v>2020</v>
      </c>
      <c r="F789" s="69">
        <v>17</v>
      </c>
      <c r="G789" s="69">
        <v>411</v>
      </c>
      <c r="H789" s="69">
        <v>8447</v>
      </c>
      <c r="I789" s="67"/>
      <c r="J789" s="67"/>
      <c r="K789" s="67"/>
      <c r="L789" s="67"/>
      <c r="M789" s="67"/>
      <c r="N789" s="67"/>
      <c r="O789" s="67"/>
      <c r="P789" s="67"/>
      <c r="Q789" s="67"/>
      <c r="R789" s="67"/>
      <c r="S789" s="67"/>
      <c r="T789" s="67"/>
      <c r="U789" s="67"/>
      <c r="V789" s="67"/>
      <c r="W789" s="67"/>
      <c r="X789" s="67"/>
      <c r="Y789" s="67"/>
      <c r="Z789" s="67"/>
    </row>
    <row r="790" spans="1:26" ht="12.5">
      <c r="A790" s="68" t="s">
        <v>1900</v>
      </c>
      <c r="B790" s="68" t="s">
        <v>1918</v>
      </c>
      <c r="C790" s="68" t="s">
        <v>1926</v>
      </c>
      <c r="D790" s="68" t="s">
        <v>28</v>
      </c>
      <c r="E790" s="69">
        <v>2020</v>
      </c>
      <c r="F790" s="69">
        <v>20</v>
      </c>
      <c r="G790" s="69">
        <v>445</v>
      </c>
      <c r="H790" s="69">
        <v>6339</v>
      </c>
      <c r="I790" s="67"/>
      <c r="J790" s="67"/>
      <c r="K790" s="67"/>
      <c r="L790" s="67"/>
      <c r="M790" s="67"/>
      <c r="N790" s="67"/>
      <c r="O790" s="67"/>
      <c r="P790" s="67"/>
      <c r="Q790" s="67"/>
      <c r="R790" s="67"/>
      <c r="S790" s="67"/>
      <c r="T790" s="67"/>
      <c r="U790" s="67"/>
      <c r="V790" s="67"/>
      <c r="W790" s="67"/>
      <c r="X790" s="67"/>
      <c r="Y790" s="67"/>
      <c r="Z790" s="67"/>
    </row>
    <row r="791" spans="1:26" ht="12.5">
      <c r="A791" s="68" t="s">
        <v>1900</v>
      </c>
      <c r="B791" s="68" t="s">
        <v>1918</v>
      </c>
      <c r="C791" s="68" t="s">
        <v>1928</v>
      </c>
      <c r="D791" s="68" t="s">
        <v>28</v>
      </c>
      <c r="E791" s="69">
        <v>2020</v>
      </c>
      <c r="F791" s="69">
        <v>8</v>
      </c>
      <c r="G791" s="69">
        <v>257.60000000000002</v>
      </c>
      <c r="H791" s="69">
        <v>8505</v>
      </c>
      <c r="I791" s="67"/>
      <c r="J791" s="67"/>
      <c r="K791" s="67"/>
      <c r="L791" s="67"/>
      <c r="M791" s="67"/>
      <c r="N791" s="67"/>
      <c r="O791" s="67"/>
      <c r="P791" s="67"/>
      <c r="Q791" s="67"/>
      <c r="R791" s="67"/>
      <c r="S791" s="67"/>
      <c r="T791" s="67"/>
      <c r="U791" s="67"/>
      <c r="V791" s="67"/>
      <c r="W791" s="67"/>
      <c r="X791" s="67"/>
      <c r="Y791" s="67"/>
      <c r="Z791" s="67"/>
    </row>
    <row r="792" spans="1:26" ht="12.5">
      <c r="A792" s="68" t="s">
        <v>1900</v>
      </c>
      <c r="B792" s="68" t="s">
        <v>1918</v>
      </c>
      <c r="C792" s="68" t="s">
        <v>297</v>
      </c>
      <c r="D792" s="68" t="s">
        <v>32</v>
      </c>
      <c r="E792" s="69">
        <v>2020</v>
      </c>
      <c r="F792" s="69">
        <v>23</v>
      </c>
      <c r="G792" s="69">
        <v>537</v>
      </c>
      <c r="H792" s="69">
        <v>7172</v>
      </c>
      <c r="I792" s="67"/>
      <c r="J792" s="67"/>
      <c r="K792" s="67"/>
      <c r="L792" s="67"/>
      <c r="M792" s="67"/>
      <c r="N792" s="67"/>
      <c r="O792" s="67"/>
      <c r="P792" s="67"/>
      <c r="Q792" s="67"/>
      <c r="R792" s="67"/>
      <c r="S792" s="67"/>
      <c r="T792" s="67"/>
      <c r="U792" s="67"/>
      <c r="V792" s="67"/>
      <c r="W792" s="67"/>
      <c r="X792" s="67"/>
      <c r="Y792" s="67"/>
      <c r="Z792" s="67"/>
    </row>
    <row r="793" spans="1:26" ht="12.5">
      <c r="A793" s="68" t="s">
        <v>1900</v>
      </c>
      <c r="B793" s="68" t="s">
        <v>1918</v>
      </c>
      <c r="C793" s="68" t="s">
        <v>1933</v>
      </c>
      <c r="D793" s="68" t="s">
        <v>28</v>
      </c>
      <c r="E793" s="69">
        <v>2020</v>
      </c>
      <c r="F793" s="69">
        <v>12</v>
      </c>
      <c r="G793" s="69">
        <v>434</v>
      </c>
      <c r="H793" s="69">
        <v>4001</v>
      </c>
      <c r="I793" s="67"/>
      <c r="J793" s="67"/>
      <c r="K793" s="67"/>
      <c r="L793" s="67"/>
      <c r="M793" s="67"/>
      <c r="N793" s="67"/>
      <c r="O793" s="67"/>
      <c r="P793" s="67"/>
      <c r="Q793" s="67"/>
      <c r="R793" s="67"/>
      <c r="S793" s="67"/>
      <c r="T793" s="67"/>
      <c r="U793" s="67"/>
      <c r="V793" s="67"/>
      <c r="W793" s="67"/>
      <c r="X793" s="67"/>
      <c r="Y793" s="67"/>
      <c r="Z793" s="67"/>
    </row>
    <row r="794" spans="1:26" ht="12.5">
      <c r="A794" s="68" t="s">
        <v>1900</v>
      </c>
      <c r="B794" s="68" t="s">
        <v>1918</v>
      </c>
      <c r="C794" s="68" t="s">
        <v>1935</v>
      </c>
      <c r="D794" s="68" t="s">
        <v>28</v>
      </c>
      <c r="E794" s="69">
        <v>2020</v>
      </c>
      <c r="F794" s="69">
        <v>10</v>
      </c>
      <c r="G794" s="69">
        <v>293.3</v>
      </c>
      <c r="H794" s="69">
        <v>4847</v>
      </c>
      <c r="I794" s="67"/>
      <c r="J794" s="67"/>
      <c r="K794" s="67"/>
      <c r="L794" s="67"/>
      <c r="M794" s="67"/>
      <c r="N794" s="67"/>
      <c r="O794" s="67"/>
      <c r="P794" s="67"/>
      <c r="Q794" s="67"/>
      <c r="R794" s="67"/>
      <c r="S794" s="67"/>
      <c r="T794" s="67"/>
      <c r="U794" s="67"/>
      <c r="V794" s="67"/>
      <c r="W794" s="67"/>
      <c r="X794" s="67"/>
      <c r="Y794" s="67"/>
      <c r="Z794" s="67"/>
    </row>
    <row r="795" spans="1:26" ht="12.5">
      <c r="A795" s="68" t="s">
        <v>1900</v>
      </c>
      <c r="B795" s="68" t="s">
        <v>1918</v>
      </c>
      <c r="C795" s="68" t="s">
        <v>1937</v>
      </c>
      <c r="D795" s="68" t="s">
        <v>32</v>
      </c>
      <c r="E795" s="69">
        <v>2020</v>
      </c>
      <c r="F795" s="69">
        <v>11</v>
      </c>
      <c r="G795" s="69">
        <v>280.8</v>
      </c>
      <c r="H795" s="69">
        <v>7849</v>
      </c>
      <c r="I795" s="67"/>
      <c r="J795" s="67"/>
      <c r="K795" s="67"/>
      <c r="L795" s="67"/>
      <c r="M795" s="67"/>
      <c r="N795" s="67"/>
      <c r="O795" s="67"/>
      <c r="P795" s="67"/>
      <c r="Q795" s="67"/>
      <c r="R795" s="67"/>
      <c r="S795" s="67"/>
      <c r="T795" s="67"/>
      <c r="U795" s="67"/>
      <c r="V795" s="67"/>
      <c r="W795" s="67"/>
      <c r="X795" s="67"/>
      <c r="Y795" s="67"/>
      <c r="Z795" s="67"/>
    </row>
    <row r="796" spans="1:26" ht="12.5">
      <c r="A796" s="68" t="s">
        <v>1900</v>
      </c>
      <c r="B796" s="68" t="s">
        <v>1918</v>
      </c>
      <c r="C796" s="68" t="s">
        <v>1940</v>
      </c>
      <c r="D796" s="68" t="s">
        <v>28</v>
      </c>
      <c r="E796" s="69">
        <v>2020</v>
      </c>
      <c r="F796" s="69">
        <v>14</v>
      </c>
      <c r="G796" s="69">
        <v>236.8</v>
      </c>
      <c r="H796" s="69">
        <v>4092</v>
      </c>
      <c r="I796" s="67"/>
      <c r="J796" s="67"/>
      <c r="K796" s="67"/>
      <c r="L796" s="67"/>
      <c r="M796" s="67"/>
      <c r="N796" s="67"/>
      <c r="O796" s="67"/>
      <c r="P796" s="67"/>
      <c r="Q796" s="67"/>
      <c r="R796" s="67"/>
      <c r="S796" s="67"/>
      <c r="T796" s="67"/>
      <c r="U796" s="67"/>
      <c r="V796" s="67"/>
      <c r="W796" s="67"/>
      <c r="X796" s="67"/>
      <c r="Y796" s="67"/>
      <c r="Z796" s="67"/>
    </row>
    <row r="797" spans="1:26" ht="12.5">
      <c r="A797" s="68" t="s">
        <v>1900</v>
      </c>
      <c r="B797" s="68" t="s">
        <v>1918</v>
      </c>
      <c r="C797" s="68" t="s">
        <v>1942</v>
      </c>
      <c r="D797" s="68" t="s">
        <v>28</v>
      </c>
      <c r="E797" s="69">
        <v>2020</v>
      </c>
      <c r="F797" s="69">
        <v>18</v>
      </c>
      <c r="G797" s="69">
        <v>305.2</v>
      </c>
      <c r="H797" s="69">
        <v>4518</v>
      </c>
      <c r="I797" s="67"/>
      <c r="J797" s="67"/>
      <c r="K797" s="67"/>
      <c r="L797" s="67"/>
      <c r="M797" s="67"/>
      <c r="N797" s="67"/>
      <c r="O797" s="67"/>
      <c r="P797" s="67"/>
      <c r="Q797" s="67"/>
      <c r="R797" s="67"/>
      <c r="S797" s="67"/>
      <c r="T797" s="67"/>
      <c r="U797" s="67"/>
      <c r="V797" s="67"/>
      <c r="W797" s="67"/>
      <c r="X797" s="67"/>
      <c r="Y797" s="67"/>
      <c r="Z797" s="67"/>
    </row>
    <row r="798" spans="1:26" ht="12.5">
      <c r="A798" s="68" t="s">
        <v>1900</v>
      </c>
      <c r="B798" s="68" t="s">
        <v>1918</v>
      </c>
      <c r="C798" s="68" t="s">
        <v>1945</v>
      </c>
      <c r="D798" s="68" t="s">
        <v>28</v>
      </c>
      <c r="E798" s="69">
        <v>2020</v>
      </c>
      <c r="F798" s="69">
        <v>11</v>
      </c>
      <c r="G798" s="69">
        <v>248.5</v>
      </c>
      <c r="H798" s="69">
        <v>2785</v>
      </c>
      <c r="I798" s="67"/>
      <c r="J798" s="67"/>
      <c r="K798" s="67"/>
      <c r="L798" s="67"/>
      <c r="M798" s="67"/>
      <c r="N798" s="67"/>
      <c r="O798" s="67"/>
      <c r="P798" s="67"/>
      <c r="Q798" s="67"/>
      <c r="R798" s="67"/>
      <c r="S798" s="67"/>
      <c r="T798" s="67"/>
      <c r="U798" s="67"/>
      <c r="V798" s="67"/>
      <c r="W798" s="67"/>
      <c r="X798" s="67"/>
      <c r="Y798" s="67"/>
      <c r="Z798" s="67"/>
    </row>
    <row r="799" spans="1:26" ht="12.5">
      <c r="A799" s="68" t="s">
        <v>1900</v>
      </c>
      <c r="B799" s="68" t="s">
        <v>1918</v>
      </c>
      <c r="C799" s="68" t="s">
        <v>1948</v>
      </c>
      <c r="D799" s="68" t="s">
        <v>28</v>
      </c>
      <c r="E799" s="69">
        <v>2020</v>
      </c>
      <c r="F799" s="69">
        <v>9</v>
      </c>
      <c r="G799" s="69">
        <v>181.3</v>
      </c>
      <c r="H799" s="69">
        <v>2087</v>
      </c>
      <c r="I799" s="67"/>
      <c r="J799" s="67"/>
      <c r="K799" s="67"/>
      <c r="L799" s="67"/>
      <c r="M799" s="67"/>
      <c r="N799" s="67"/>
      <c r="O799" s="67"/>
      <c r="P799" s="67"/>
      <c r="Q799" s="67"/>
      <c r="R799" s="67"/>
      <c r="S799" s="67"/>
      <c r="T799" s="67"/>
      <c r="U799" s="67"/>
      <c r="V799" s="67"/>
      <c r="W799" s="67"/>
      <c r="X799" s="67"/>
      <c r="Y799" s="67"/>
      <c r="Z799" s="67"/>
    </row>
    <row r="800" spans="1:26" ht="12.5">
      <c r="A800" s="68" t="s">
        <v>1900</v>
      </c>
      <c r="B800" s="68" t="s">
        <v>1918</v>
      </c>
      <c r="C800" s="68" t="s">
        <v>1950</v>
      </c>
      <c r="D800" s="68" t="s">
        <v>32</v>
      </c>
      <c r="E800" s="69">
        <v>2020</v>
      </c>
      <c r="F800" s="69">
        <v>12</v>
      </c>
      <c r="G800" s="69">
        <v>324.89999999999998</v>
      </c>
      <c r="H800" s="69">
        <v>9861</v>
      </c>
      <c r="I800" s="67"/>
      <c r="J800" s="67"/>
      <c r="K800" s="67"/>
      <c r="L800" s="67"/>
      <c r="M800" s="67"/>
      <c r="N800" s="67"/>
      <c r="O800" s="67"/>
      <c r="P800" s="67"/>
      <c r="Q800" s="67"/>
      <c r="R800" s="67"/>
      <c r="S800" s="67"/>
      <c r="T800" s="67"/>
      <c r="U800" s="67"/>
      <c r="V800" s="67"/>
      <c r="W800" s="67"/>
      <c r="X800" s="67"/>
      <c r="Y800" s="67"/>
      <c r="Z800" s="67"/>
    </row>
    <row r="801" spans="1:26" ht="12.5">
      <c r="A801" s="68" t="s">
        <v>1900</v>
      </c>
      <c r="B801" s="68" t="s">
        <v>1952</v>
      </c>
      <c r="C801" s="68" t="s">
        <v>1953</v>
      </c>
      <c r="D801" s="68" t="s">
        <v>20</v>
      </c>
      <c r="E801" s="69">
        <v>2020</v>
      </c>
      <c r="F801" s="69">
        <v>13</v>
      </c>
      <c r="G801" s="69">
        <v>762.5</v>
      </c>
      <c r="H801" s="69">
        <v>31502</v>
      </c>
      <c r="I801" s="67"/>
      <c r="J801" s="67"/>
      <c r="K801" s="67"/>
      <c r="L801" s="67"/>
      <c r="M801" s="67"/>
      <c r="N801" s="67"/>
      <c r="O801" s="67"/>
      <c r="P801" s="67"/>
      <c r="Q801" s="67"/>
      <c r="R801" s="67"/>
      <c r="S801" s="67"/>
      <c r="T801" s="67"/>
      <c r="U801" s="67"/>
      <c r="V801" s="67"/>
      <c r="W801" s="67"/>
      <c r="X801" s="67"/>
      <c r="Y801" s="67"/>
      <c r="Z801" s="67"/>
    </row>
    <row r="802" spans="1:26" ht="12.5">
      <c r="A802" s="68" t="s">
        <v>1900</v>
      </c>
      <c r="B802" s="68" t="s">
        <v>1952</v>
      </c>
      <c r="C802" s="68" t="s">
        <v>1956</v>
      </c>
      <c r="D802" s="68" t="s">
        <v>20</v>
      </c>
      <c r="E802" s="69">
        <v>2020</v>
      </c>
      <c r="F802" s="69">
        <v>7</v>
      </c>
      <c r="G802" s="69">
        <v>295.5</v>
      </c>
      <c r="H802" s="69">
        <v>26050</v>
      </c>
      <c r="I802" s="67"/>
      <c r="J802" s="67"/>
      <c r="K802" s="67"/>
      <c r="L802" s="67"/>
      <c r="M802" s="67"/>
      <c r="N802" s="67"/>
      <c r="O802" s="67"/>
      <c r="P802" s="67"/>
      <c r="Q802" s="67"/>
      <c r="R802" s="67"/>
      <c r="S802" s="67"/>
      <c r="T802" s="67"/>
      <c r="U802" s="67"/>
      <c r="V802" s="67"/>
      <c r="W802" s="67"/>
      <c r="X802" s="67"/>
      <c r="Y802" s="67"/>
      <c r="Z802" s="67"/>
    </row>
    <row r="803" spans="1:26" ht="12.5">
      <c r="A803" s="68" t="s">
        <v>1900</v>
      </c>
      <c r="B803" s="68" t="s">
        <v>1952</v>
      </c>
      <c r="C803" s="68" t="s">
        <v>1959</v>
      </c>
      <c r="D803" s="68" t="s">
        <v>32</v>
      </c>
      <c r="E803" s="69">
        <v>2020</v>
      </c>
      <c r="F803" s="69">
        <v>34</v>
      </c>
      <c r="G803" s="69">
        <v>933.3</v>
      </c>
      <c r="H803" s="69">
        <v>15727</v>
      </c>
      <c r="I803" s="67"/>
      <c r="J803" s="67"/>
      <c r="K803" s="67"/>
      <c r="L803" s="67"/>
      <c r="M803" s="67"/>
      <c r="N803" s="67"/>
      <c r="O803" s="67"/>
      <c r="P803" s="67"/>
      <c r="Q803" s="67"/>
      <c r="R803" s="67"/>
      <c r="S803" s="67"/>
      <c r="T803" s="67"/>
      <c r="U803" s="67"/>
      <c r="V803" s="67"/>
      <c r="W803" s="67"/>
      <c r="X803" s="67"/>
      <c r="Y803" s="67"/>
      <c r="Z803" s="67"/>
    </row>
    <row r="804" spans="1:26" ht="12.5">
      <c r="A804" s="68" t="s">
        <v>1900</v>
      </c>
      <c r="B804" s="68" t="s">
        <v>1952</v>
      </c>
      <c r="C804" s="68" t="s">
        <v>938</v>
      </c>
      <c r="D804" s="68" t="s">
        <v>28</v>
      </c>
      <c r="E804" s="69">
        <v>2020</v>
      </c>
      <c r="F804" s="69">
        <v>6</v>
      </c>
      <c r="G804" s="69">
        <v>406.4</v>
      </c>
      <c r="H804" s="69">
        <v>11587</v>
      </c>
      <c r="I804" s="67"/>
      <c r="J804" s="67"/>
      <c r="K804" s="67"/>
      <c r="L804" s="67"/>
      <c r="M804" s="67"/>
      <c r="N804" s="67"/>
      <c r="O804" s="67"/>
      <c r="P804" s="67"/>
      <c r="Q804" s="67"/>
      <c r="R804" s="67"/>
      <c r="S804" s="67"/>
      <c r="T804" s="67"/>
      <c r="U804" s="67"/>
      <c r="V804" s="67"/>
      <c r="W804" s="67"/>
      <c r="X804" s="67"/>
      <c r="Y804" s="67"/>
      <c r="Z804" s="67"/>
    </row>
    <row r="805" spans="1:26" ht="12.5">
      <c r="A805" s="68" t="s">
        <v>1900</v>
      </c>
      <c r="B805" s="68" t="s">
        <v>1952</v>
      </c>
      <c r="C805" s="68" t="s">
        <v>1963</v>
      </c>
      <c r="D805" s="68" t="s">
        <v>28</v>
      </c>
      <c r="E805" s="69">
        <v>2020</v>
      </c>
      <c r="F805" s="69">
        <v>4</v>
      </c>
      <c r="G805" s="69">
        <v>297.60000000000002</v>
      </c>
      <c r="H805" s="69">
        <v>14785</v>
      </c>
      <c r="I805" s="67"/>
      <c r="J805" s="67"/>
      <c r="K805" s="67"/>
      <c r="L805" s="67"/>
      <c r="M805" s="67"/>
      <c r="N805" s="67"/>
      <c r="O805" s="67"/>
      <c r="P805" s="67"/>
      <c r="Q805" s="67"/>
      <c r="R805" s="67"/>
      <c r="S805" s="67"/>
      <c r="T805" s="67"/>
      <c r="U805" s="67"/>
      <c r="V805" s="67"/>
      <c r="W805" s="67"/>
      <c r="X805" s="67"/>
      <c r="Y805" s="67"/>
      <c r="Z805" s="67"/>
    </row>
    <row r="806" spans="1:26" ht="12.5">
      <c r="A806" s="68" t="s">
        <v>1900</v>
      </c>
      <c r="B806" s="68" t="s">
        <v>1952</v>
      </c>
      <c r="C806" s="68" t="s">
        <v>1966</v>
      </c>
      <c r="D806" s="68" t="s">
        <v>28</v>
      </c>
      <c r="E806" s="69">
        <v>2020</v>
      </c>
      <c r="F806" s="69">
        <v>3</v>
      </c>
      <c r="G806" s="69">
        <v>97.2</v>
      </c>
      <c r="H806" s="69">
        <v>4308</v>
      </c>
      <c r="I806" s="67"/>
      <c r="J806" s="67"/>
      <c r="K806" s="67"/>
      <c r="L806" s="67"/>
      <c r="M806" s="67"/>
      <c r="N806" s="67"/>
      <c r="O806" s="67"/>
      <c r="P806" s="67"/>
      <c r="Q806" s="67"/>
      <c r="R806" s="67"/>
      <c r="S806" s="67"/>
      <c r="T806" s="67"/>
      <c r="U806" s="67"/>
      <c r="V806" s="67"/>
      <c r="W806" s="67"/>
      <c r="X806" s="67"/>
      <c r="Y806" s="67"/>
      <c r="Z806" s="67"/>
    </row>
    <row r="807" spans="1:26" ht="12.5">
      <c r="A807" s="68" t="s">
        <v>1900</v>
      </c>
      <c r="B807" s="68" t="s">
        <v>1952</v>
      </c>
      <c r="C807" s="68" t="s">
        <v>1969</v>
      </c>
      <c r="D807" s="68" t="s">
        <v>28</v>
      </c>
      <c r="E807" s="69">
        <v>2020</v>
      </c>
      <c r="F807" s="69">
        <v>3</v>
      </c>
      <c r="G807" s="69">
        <v>270.7</v>
      </c>
      <c r="H807" s="69">
        <v>9512</v>
      </c>
      <c r="I807" s="67"/>
      <c r="J807" s="67"/>
      <c r="K807" s="67"/>
      <c r="L807" s="67"/>
      <c r="M807" s="67"/>
      <c r="N807" s="67"/>
      <c r="O807" s="67"/>
      <c r="P807" s="67"/>
      <c r="Q807" s="67"/>
      <c r="R807" s="67"/>
      <c r="S807" s="67"/>
      <c r="T807" s="67"/>
      <c r="U807" s="67"/>
      <c r="V807" s="67"/>
      <c r="W807" s="67"/>
      <c r="X807" s="67"/>
      <c r="Y807" s="67"/>
      <c r="Z807" s="67"/>
    </row>
    <row r="808" spans="1:26" ht="12.5">
      <c r="A808" s="68" t="s">
        <v>1900</v>
      </c>
      <c r="B808" s="68" t="s">
        <v>1952</v>
      </c>
      <c r="C808" s="68" t="s">
        <v>190</v>
      </c>
      <c r="D808" s="68" t="s">
        <v>28</v>
      </c>
      <c r="E808" s="69">
        <v>2020</v>
      </c>
      <c r="F808" s="69">
        <v>8</v>
      </c>
      <c r="G808" s="69">
        <v>288.3</v>
      </c>
      <c r="H808" s="69">
        <v>5134</v>
      </c>
      <c r="I808" s="67"/>
      <c r="J808" s="67"/>
      <c r="K808" s="67"/>
      <c r="L808" s="67"/>
      <c r="M808" s="67"/>
      <c r="N808" s="67"/>
      <c r="O808" s="67"/>
      <c r="P808" s="67"/>
      <c r="Q808" s="67"/>
      <c r="R808" s="67"/>
      <c r="S808" s="67"/>
      <c r="T808" s="67"/>
      <c r="U808" s="67"/>
      <c r="V808" s="67"/>
      <c r="W808" s="67"/>
      <c r="X808" s="67"/>
      <c r="Y808" s="67"/>
      <c r="Z808" s="67"/>
    </row>
    <row r="809" spans="1:26" ht="12.5">
      <c r="A809" s="68" t="s">
        <v>1900</v>
      </c>
      <c r="B809" s="68" t="s">
        <v>1952</v>
      </c>
      <c r="C809" s="68" t="s">
        <v>1974</v>
      </c>
      <c r="D809" s="68" t="s">
        <v>32</v>
      </c>
      <c r="E809" s="69">
        <v>2020</v>
      </c>
      <c r="F809" s="69">
        <v>16</v>
      </c>
      <c r="G809" s="69">
        <v>872.9</v>
      </c>
      <c r="H809" s="69">
        <v>22308</v>
      </c>
      <c r="I809" s="67"/>
      <c r="J809" s="67"/>
      <c r="K809" s="67"/>
      <c r="L809" s="67"/>
      <c r="M809" s="67"/>
      <c r="N809" s="67"/>
      <c r="O809" s="67"/>
      <c r="P809" s="67"/>
      <c r="Q809" s="67"/>
      <c r="R809" s="67"/>
      <c r="S809" s="67"/>
      <c r="T809" s="67"/>
      <c r="U809" s="67"/>
      <c r="V809" s="67"/>
      <c r="W809" s="67"/>
      <c r="X809" s="67"/>
      <c r="Y809" s="67"/>
      <c r="Z809" s="67"/>
    </row>
    <row r="810" spans="1:26" ht="12.5">
      <c r="A810" s="68" t="s">
        <v>1900</v>
      </c>
      <c r="B810" s="68" t="s">
        <v>1952</v>
      </c>
      <c r="C810" s="68" t="s">
        <v>90</v>
      </c>
      <c r="D810" s="68" t="s">
        <v>28</v>
      </c>
      <c r="E810" s="69">
        <v>2020</v>
      </c>
      <c r="F810" s="69">
        <v>5</v>
      </c>
      <c r="G810" s="69">
        <v>265.39999999999998</v>
      </c>
      <c r="H810" s="69">
        <v>5511</v>
      </c>
      <c r="I810" s="67"/>
      <c r="J810" s="67"/>
      <c r="K810" s="67"/>
      <c r="L810" s="67"/>
      <c r="M810" s="67"/>
      <c r="N810" s="67"/>
      <c r="O810" s="67"/>
      <c r="P810" s="67"/>
      <c r="Q810" s="67"/>
      <c r="R810" s="67"/>
      <c r="S810" s="67"/>
      <c r="T810" s="67"/>
      <c r="U810" s="67"/>
      <c r="V810" s="67"/>
      <c r="W810" s="67"/>
      <c r="X810" s="67"/>
      <c r="Y810" s="67"/>
      <c r="Z810" s="67"/>
    </row>
    <row r="811" spans="1:26" ht="12.5">
      <c r="A811" s="68" t="s">
        <v>1900</v>
      </c>
      <c r="B811" s="68" t="s">
        <v>1979</v>
      </c>
      <c r="C811" s="68" t="s">
        <v>1980</v>
      </c>
      <c r="D811" s="68" t="s">
        <v>20</v>
      </c>
      <c r="E811" s="69">
        <v>2020</v>
      </c>
      <c r="F811" s="69">
        <v>1</v>
      </c>
      <c r="G811" s="69">
        <v>19.600000000000001</v>
      </c>
      <c r="H811" s="69">
        <v>48197</v>
      </c>
      <c r="I811" s="67"/>
      <c r="J811" s="67"/>
      <c r="K811" s="67"/>
      <c r="L811" s="67"/>
      <c r="M811" s="67"/>
      <c r="N811" s="67"/>
      <c r="O811" s="67"/>
      <c r="P811" s="67"/>
      <c r="Q811" s="67"/>
      <c r="R811" s="67"/>
      <c r="S811" s="67"/>
      <c r="T811" s="67"/>
      <c r="U811" s="67"/>
      <c r="V811" s="67"/>
      <c r="W811" s="67"/>
      <c r="X811" s="67"/>
      <c r="Y811" s="67"/>
      <c r="Z811" s="67"/>
    </row>
    <row r="812" spans="1:26" ht="12.5">
      <c r="A812" s="68" t="s">
        <v>1900</v>
      </c>
      <c r="B812" s="68" t="s">
        <v>1979</v>
      </c>
      <c r="C812" s="68" t="s">
        <v>1983</v>
      </c>
      <c r="D812" s="68" t="s">
        <v>28</v>
      </c>
      <c r="E812" s="69">
        <v>2020</v>
      </c>
      <c r="F812" s="69">
        <v>11</v>
      </c>
      <c r="G812" s="69">
        <v>347.7</v>
      </c>
      <c r="H812" s="69">
        <v>5664</v>
      </c>
      <c r="I812" s="67"/>
      <c r="J812" s="67"/>
      <c r="K812" s="67"/>
      <c r="L812" s="67"/>
      <c r="M812" s="67"/>
      <c r="N812" s="67"/>
      <c r="O812" s="67"/>
      <c r="P812" s="67"/>
      <c r="Q812" s="67"/>
      <c r="R812" s="67"/>
      <c r="S812" s="67"/>
      <c r="T812" s="67"/>
      <c r="U812" s="67"/>
      <c r="V812" s="67"/>
      <c r="W812" s="67"/>
      <c r="X812" s="67"/>
      <c r="Y812" s="67"/>
      <c r="Z812" s="67"/>
    </row>
    <row r="813" spans="1:26" ht="12.5">
      <c r="A813" s="68" t="s">
        <v>1900</v>
      </c>
      <c r="B813" s="68" t="s">
        <v>1979</v>
      </c>
      <c r="C813" s="68" t="s">
        <v>1986</v>
      </c>
      <c r="D813" s="68" t="s">
        <v>28</v>
      </c>
      <c r="E813" s="69">
        <v>2020</v>
      </c>
      <c r="F813" s="69">
        <v>2</v>
      </c>
      <c r="G813" s="69">
        <v>21.7</v>
      </c>
      <c r="H813" s="69">
        <v>4779</v>
      </c>
      <c r="I813" s="67"/>
      <c r="J813" s="67"/>
      <c r="K813" s="67"/>
      <c r="L813" s="67"/>
      <c r="M813" s="67"/>
      <c r="N813" s="67"/>
      <c r="O813" s="67"/>
      <c r="P813" s="67"/>
      <c r="Q813" s="67"/>
      <c r="R813" s="67"/>
      <c r="S813" s="67"/>
      <c r="T813" s="67"/>
      <c r="U813" s="67"/>
      <c r="V813" s="67"/>
      <c r="W813" s="67"/>
      <c r="X813" s="67"/>
      <c r="Y813" s="67"/>
      <c r="Z813" s="67"/>
    </row>
    <row r="814" spans="1:26" ht="12.5">
      <c r="A814" s="68" t="s">
        <v>1900</v>
      </c>
      <c r="B814" s="68" t="s">
        <v>1979</v>
      </c>
      <c r="C814" s="68" t="s">
        <v>1989</v>
      </c>
      <c r="D814" s="68" t="s">
        <v>28</v>
      </c>
      <c r="E814" s="69">
        <v>2020</v>
      </c>
      <c r="F814" s="69">
        <v>4</v>
      </c>
      <c r="G814" s="69">
        <v>211.8</v>
      </c>
      <c r="H814" s="69">
        <v>5738</v>
      </c>
      <c r="I814" s="67"/>
      <c r="J814" s="67"/>
      <c r="K814" s="67"/>
      <c r="L814" s="67"/>
      <c r="M814" s="67"/>
      <c r="N814" s="67"/>
      <c r="O814" s="67"/>
      <c r="P814" s="67"/>
      <c r="Q814" s="67"/>
      <c r="R814" s="67"/>
      <c r="S814" s="67"/>
      <c r="T814" s="67"/>
      <c r="U814" s="67"/>
      <c r="V814" s="67"/>
      <c r="W814" s="67"/>
      <c r="X814" s="67"/>
      <c r="Y814" s="67"/>
      <c r="Z814" s="67"/>
    </row>
    <row r="815" spans="1:26" ht="12.5">
      <c r="A815" s="68" t="s">
        <v>1900</v>
      </c>
      <c r="B815" s="68" t="s">
        <v>1979</v>
      </c>
      <c r="C815" s="68" t="s">
        <v>518</v>
      </c>
      <c r="D815" s="68" t="s">
        <v>28</v>
      </c>
      <c r="E815" s="69">
        <v>2020</v>
      </c>
      <c r="F815" s="69">
        <v>6</v>
      </c>
      <c r="G815" s="69">
        <v>205.4</v>
      </c>
      <c r="H815" s="69">
        <v>4577</v>
      </c>
      <c r="I815" s="67"/>
      <c r="J815" s="67"/>
      <c r="K815" s="67"/>
      <c r="L815" s="67"/>
      <c r="M815" s="67"/>
      <c r="N815" s="67"/>
      <c r="O815" s="67"/>
      <c r="P815" s="67"/>
      <c r="Q815" s="67"/>
      <c r="R815" s="67"/>
      <c r="S815" s="67"/>
      <c r="T815" s="67"/>
      <c r="U815" s="67"/>
      <c r="V815" s="67"/>
      <c r="W815" s="67"/>
      <c r="X815" s="67"/>
      <c r="Y815" s="67"/>
      <c r="Z815" s="67"/>
    </row>
    <row r="816" spans="1:26" ht="12.5">
      <c r="A816" s="68" t="s">
        <v>1900</v>
      </c>
      <c r="B816" s="68" t="s">
        <v>1979</v>
      </c>
      <c r="C816" s="68" t="s">
        <v>1993</v>
      </c>
      <c r="D816" s="68" t="s">
        <v>28</v>
      </c>
      <c r="E816" s="69">
        <v>2020</v>
      </c>
      <c r="F816" s="69">
        <v>9</v>
      </c>
      <c r="G816" s="69">
        <v>296.10000000000002</v>
      </c>
      <c r="H816" s="69">
        <v>6647</v>
      </c>
      <c r="I816" s="67"/>
      <c r="J816" s="67"/>
      <c r="K816" s="67"/>
      <c r="L816" s="67"/>
      <c r="M816" s="67"/>
      <c r="N816" s="67"/>
      <c r="O816" s="67"/>
      <c r="P816" s="67"/>
      <c r="Q816" s="67"/>
      <c r="R816" s="67"/>
      <c r="S816" s="67"/>
      <c r="T816" s="67"/>
      <c r="U816" s="67"/>
      <c r="V816" s="67"/>
      <c r="W816" s="67"/>
      <c r="X816" s="67"/>
      <c r="Y816" s="67"/>
      <c r="Z816" s="67"/>
    </row>
    <row r="817" spans="1:26" ht="12.5">
      <c r="A817" s="68" t="s">
        <v>1900</v>
      </c>
      <c r="B817" s="68" t="s">
        <v>1979</v>
      </c>
      <c r="C817" s="68" t="s">
        <v>1995</v>
      </c>
      <c r="D817" s="68" t="s">
        <v>28</v>
      </c>
      <c r="E817" s="69">
        <v>2020</v>
      </c>
      <c r="F817" s="69">
        <v>8</v>
      </c>
      <c r="G817" s="69">
        <v>207.9</v>
      </c>
      <c r="H817" s="69">
        <v>13051</v>
      </c>
      <c r="I817" s="67"/>
      <c r="J817" s="67"/>
      <c r="K817" s="67"/>
      <c r="L817" s="67"/>
      <c r="M817" s="67"/>
      <c r="N817" s="67"/>
      <c r="O817" s="67"/>
      <c r="P817" s="67"/>
      <c r="Q817" s="67"/>
      <c r="R817" s="67"/>
      <c r="S817" s="67"/>
      <c r="T817" s="67"/>
      <c r="U817" s="67"/>
      <c r="V817" s="67"/>
      <c r="W817" s="67"/>
      <c r="X817" s="67"/>
      <c r="Y817" s="67"/>
      <c r="Z817" s="67"/>
    </row>
    <row r="818" spans="1:26" ht="12.5">
      <c r="A818" s="68" t="s">
        <v>1900</v>
      </c>
      <c r="B818" s="68" t="s">
        <v>1979</v>
      </c>
      <c r="C818" s="68" t="s">
        <v>450</v>
      </c>
      <c r="D818" s="68" t="s">
        <v>28</v>
      </c>
      <c r="E818" s="69">
        <v>2020</v>
      </c>
      <c r="F818" s="69">
        <v>8</v>
      </c>
      <c r="G818" s="69">
        <v>276.89999999999998</v>
      </c>
      <c r="H818" s="69">
        <v>7753</v>
      </c>
      <c r="I818" s="67"/>
      <c r="J818" s="67"/>
      <c r="K818" s="67"/>
      <c r="L818" s="67"/>
      <c r="M818" s="67"/>
      <c r="N818" s="67"/>
      <c r="O818" s="67"/>
      <c r="P818" s="67"/>
      <c r="Q818" s="67"/>
      <c r="R818" s="67"/>
      <c r="S818" s="67"/>
      <c r="T818" s="67"/>
      <c r="U818" s="67"/>
      <c r="V818" s="67"/>
      <c r="W818" s="67"/>
      <c r="X818" s="67"/>
      <c r="Y818" s="67"/>
      <c r="Z818" s="67"/>
    </row>
    <row r="819" spans="1:26" ht="12.5">
      <c r="A819" s="68" t="s">
        <v>1900</v>
      </c>
      <c r="B819" s="68" t="s">
        <v>1979</v>
      </c>
      <c r="C819" s="68" t="s">
        <v>1999</v>
      </c>
      <c r="D819" s="68" t="s">
        <v>28</v>
      </c>
      <c r="E819" s="69">
        <v>2020</v>
      </c>
      <c r="F819" s="69">
        <v>8</v>
      </c>
      <c r="G819" s="69">
        <v>310.3</v>
      </c>
      <c r="H819" s="69">
        <v>8258</v>
      </c>
      <c r="I819" s="67"/>
      <c r="J819" s="67"/>
      <c r="K819" s="67"/>
      <c r="L819" s="67"/>
      <c r="M819" s="67"/>
      <c r="N819" s="67"/>
      <c r="O819" s="67"/>
      <c r="P819" s="67"/>
      <c r="Q819" s="67"/>
      <c r="R819" s="67"/>
      <c r="S819" s="67"/>
      <c r="T819" s="67"/>
      <c r="U819" s="67"/>
      <c r="V819" s="67"/>
      <c r="W819" s="67"/>
      <c r="X819" s="67"/>
      <c r="Y819" s="67"/>
      <c r="Z819" s="67"/>
    </row>
    <row r="820" spans="1:26" ht="12.5">
      <c r="A820" s="68" t="s">
        <v>1900</v>
      </c>
      <c r="B820" s="68" t="s">
        <v>1979</v>
      </c>
      <c r="C820" s="68" t="s">
        <v>2002</v>
      </c>
      <c r="D820" s="68" t="s">
        <v>32</v>
      </c>
      <c r="E820" s="69">
        <v>2020</v>
      </c>
      <c r="F820" s="69">
        <v>11</v>
      </c>
      <c r="G820" s="69">
        <v>451.7</v>
      </c>
      <c r="H820" s="69">
        <v>16648</v>
      </c>
      <c r="I820" s="67"/>
      <c r="J820" s="67"/>
      <c r="K820" s="67"/>
      <c r="L820" s="67"/>
      <c r="M820" s="67"/>
      <c r="N820" s="67"/>
      <c r="O820" s="67"/>
      <c r="P820" s="67"/>
      <c r="Q820" s="67"/>
      <c r="R820" s="67"/>
      <c r="S820" s="67"/>
      <c r="T820" s="67"/>
      <c r="U820" s="67"/>
      <c r="V820" s="67"/>
      <c r="W820" s="67"/>
      <c r="X820" s="67"/>
      <c r="Y820" s="67"/>
      <c r="Z820" s="67"/>
    </row>
    <row r="821" spans="1:26" ht="12.5">
      <c r="A821" s="68" t="s">
        <v>1900</v>
      </c>
      <c r="B821" s="68" t="s">
        <v>1979</v>
      </c>
      <c r="C821" s="68" t="s">
        <v>2005</v>
      </c>
      <c r="D821" s="68" t="s">
        <v>32</v>
      </c>
      <c r="E821" s="69">
        <v>2020</v>
      </c>
      <c r="F821" s="69">
        <v>8</v>
      </c>
      <c r="G821" s="69">
        <v>149.5</v>
      </c>
      <c r="H821" s="69">
        <v>9425</v>
      </c>
      <c r="I821" s="67"/>
      <c r="J821" s="67"/>
      <c r="K821" s="67"/>
      <c r="L821" s="67"/>
      <c r="M821" s="67"/>
      <c r="N821" s="67"/>
      <c r="O821" s="67"/>
      <c r="P821" s="67"/>
      <c r="Q821" s="67"/>
      <c r="R821" s="67"/>
      <c r="S821" s="67"/>
      <c r="T821" s="67"/>
      <c r="U821" s="67"/>
      <c r="V821" s="67"/>
      <c r="W821" s="67"/>
      <c r="X821" s="67"/>
      <c r="Y821" s="67"/>
      <c r="Z821" s="67"/>
    </row>
    <row r="822" spans="1:26" ht="12.5">
      <c r="A822" s="68" t="s">
        <v>1900</v>
      </c>
      <c r="B822" s="68" t="s">
        <v>1979</v>
      </c>
      <c r="C822" s="68" t="s">
        <v>2008</v>
      </c>
      <c r="D822" s="68" t="s">
        <v>28</v>
      </c>
      <c r="E822" s="69">
        <v>2020</v>
      </c>
      <c r="F822" s="69">
        <v>18</v>
      </c>
      <c r="G822" s="69">
        <v>556.70000000000005</v>
      </c>
      <c r="H822" s="69">
        <v>18308</v>
      </c>
      <c r="I822" s="67"/>
      <c r="J822" s="67"/>
      <c r="K822" s="67"/>
      <c r="L822" s="67"/>
      <c r="M822" s="67"/>
      <c r="N822" s="67"/>
      <c r="O822" s="67"/>
      <c r="P822" s="67"/>
      <c r="Q822" s="67"/>
      <c r="R822" s="67"/>
      <c r="S822" s="67"/>
      <c r="T822" s="67"/>
      <c r="U822" s="67"/>
      <c r="V822" s="67"/>
      <c r="W822" s="67"/>
      <c r="X822" s="67"/>
      <c r="Y822" s="67"/>
      <c r="Z822" s="67"/>
    </row>
    <row r="823" spans="1:26" ht="12.5">
      <c r="A823" s="68" t="s">
        <v>1900</v>
      </c>
      <c r="B823" s="68" t="s">
        <v>1979</v>
      </c>
      <c r="C823" s="68" t="s">
        <v>2010</v>
      </c>
      <c r="D823" s="68" t="s">
        <v>20</v>
      </c>
      <c r="E823" s="69">
        <v>2020</v>
      </c>
      <c r="F823" s="69">
        <v>10</v>
      </c>
      <c r="G823" s="69">
        <v>616</v>
      </c>
      <c r="H823" s="69">
        <v>24051</v>
      </c>
      <c r="I823" s="67"/>
      <c r="J823" s="67"/>
      <c r="K823" s="67"/>
      <c r="L823" s="67"/>
      <c r="M823" s="67"/>
      <c r="N823" s="67"/>
      <c r="O823" s="67"/>
      <c r="P823" s="67"/>
      <c r="Q823" s="67"/>
      <c r="R823" s="67"/>
      <c r="S823" s="67"/>
      <c r="T823" s="67"/>
      <c r="U823" s="67"/>
      <c r="V823" s="67"/>
      <c r="W823" s="67"/>
      <c r="X823" s="67"/>
      <c r="Y823" s="67"/>
      <c r="Z823" s="67"/>
    </row>
    <row r="824" spans="1:26" ht="12.5">
      <c r="A824" s="68" t="s">
        <v>1900</v>
      </c>
      <c r="B824" s="68" t="s">
        <v>1979</v>
      </c>
      <c r="C824" s="68" t="s">
        <v>2013</v>
      </c>
      <c r="D824" s="68" t="s">
        <v>28</v>
      </c>
      <c r="E824" s="69">
        <v>2020</v>
      </c>
      <c r="F824" s="69">
        <v>8</v>
      </c>
      <c r="G824" s="69">
        <v>124.8</v>
      </c>
      <c r="H824" s="69">
        <v>3503</v>
      </c>
      <c r="I824" s="67"/>
      <c r="J824" s="67"/>
      <c r="K824" s="67"/>
      <c r="L824" s="67"/>
      <c r="M824" s="67"/>
      <c r="N824" s="67"/>
      <c r="O824" s="67"/>
      <c r="P824" s="67"/>
      <c r="Q824" s="67"/>
      <c r="R824" s="67"/>
      <c r="S824" s="67"/>
      <c r="T824" s="67"/>
      <c r="U824" s="67"/>
      <c r="V824" s="67"/>
      <c r="W824" s="67"/>
      <c r="X824" s="67"/>
      <c r="Y824" s="67"/>
      <c r="Z824" s="67"/>
    </row>
    <row r="825" spans="1:26" ht="12.5">
      <c r="A825" s="68" t="s">
        <v>1900</v>
      </c>
      <c r="B825" s="68" t="s">
        <v>1979</v>
      </c>
      <c r="C825" s="68" t="s">
        <v>2015</v>
      </c>
      <c r="D825" s="68" t="s">
        <v>28</v>
      </c>
      <c r="E825" s="69">
        <v>2020</v>
      </c>
      <c r="F825" s="69">
        <v>8</v>
      </c>
      <c r="G825" s="69">
        <v>292</v>
      </c>
      <c r="H825" s="69">
        <v>7045</v>
      </c>
      <c r="I825" s="67"/>
      <c r="J825" s="67"/>
      <c r="K825" s="67"/>
      <c r="L825" s="67"/>
      <c r="M825" s="67"/>
      <c r="N825" s="67"/>
      <c r="O825" s="67"/>
      <c r="P825" s="67"/>
      <c r="Q825" s="67"/>
      <c r="R825" s="67"/>
      <c r="S825" s="67"/>
      <c r="T825" s="67"/>
      <c r="U825" s="67"/>
      <c r="V825" s="67"/>
      <c r="W825" s="67"/>
      <c r="X825" s="67"/>
      <c r="Y825" s="67"/>
      <c r="Z825" s="67"/>
    </row>
    <row r="826" spans="1:26" ht="12.5">
      <c r="A826" s="68" t="s">
        <v>1900</v>
      </c>
      <c r="B826" s="68" t="s">
        <v>1979</v>
      </c>
      <c r="C826" s="68" t="s">
        <v>2018</v>
      </c>
      <c r="D826" s="68" t="s">
        <v>28</v>
      </c>
      <c r="E826" s="69">
        <v>2020</v>
      </c>
      <c r="F826" s="69">
        <v>14</v>
      </c>
      <c r="G826" s="69">
        <v>279.60000000000002</v>
      </c>
      <c r="H826" s="69">
        <v>14928</v>
      </c>
      <c r="I826" s="67"/>
      <c r="J826" s="67"/>
      <c r="K826" s="67"/>
      <c r="L826" s="67"/>
      <c r="M826" s="67"/>
      <c r="N826" s="67"/>
      <c r="O826" s="67"/>
      <c r="P826" s="67"/>
      <c r="Q826" s="67"/>
      <c r="R826" s="67"/>
      <c r="S826" s="67"/>
      <c r="T826" s="67"/>
      <c r="U826" s="67"/>
      <c r="V826" s="67"/>
      <c r="W826" s="67"/>
      <c r="X826" s="67"/>
      <c r="Y826" s="67"/>
      <c r="Z826" s="67"/>
    </row>
    <row r="827" spans="1:26" ht="12.5">
      <c r="A827" s="68" t="s">
        <v>1900</v>
      </c>
      <c r="B827" s="68" t="s">
        <v>2020</v>
      </c>
      <c r="C827" s="68" t="s">
        <v>2021</v>
      </c>
      <c r="D827" s="68" t="s">
        <v>32</v>
      </c>
      <c r="E827" s="69">
        <v>2020</v>
      </c>
      <c r="F827" s="69">
        <v>5</v>
      </c>
      <c r="G827" s="69">
        <v>69.599999999999994</v>
      </c>
      <c r="H827" s="69">
        <v>19598</v>
      </c>
      <c r="I827" s="67"/>
      <c r="J827" s="67"/>
      <c r="K827" s="67"/>
      <c r="L827" s="67"/>
      <c r="M827" s="67"/>
      <c r="N827" s="67"/>
      <c r="O827" s="67"/>
      <c r="P827" s="67"/>
      <c r="Q827" s="67"/>
      <c r="R827" s="67"/>
      <c r="S827" s="67"/>
      <c r="T827" s="67"/>
      <c r="U827" s="67"/>
      <c r="V827" s="67"/>
      <c r="W827" s="67"/>
      <c r="X827" s="67"/>
      <c r="Y827" s="67"/>
      <c r="Z827" s="67"/>
    </row>
    <row r="828" spans="1:26" ht="12.5">
      <c r="A828" s="68" t="s">
        <v>1900</v>
      </c>
      <c r="B828" s="68" t="s">
        <v>2020</v>
      </c>
      <c r="C828" s="68" t="s">
        <v>2023</v>
      </c>
      <c r="D828" s="68" t="s">
        <v>20</v>
      </c>
      <c r="E828" s="69">
        <v>2020</v>
      </c>
      <c r="F828" s="69">
        <v>7</v>
      </c>
      <c r="G828" s="69">
        <v>398.7</v>
      </c>
      <c r="H828" s="69">
        <v>22632</v>
      </c>
      <c r="I828" s="67"/>
      <c r="J828" s="67"/>
      <c r="K828" s="67"/>
      <c r="L828" s="67"/>
      <c r="M828" s="67"/>
      <c r="N828" s="67"/>
      <c r="O828" s="67"/>
      <c r="P828" s="67"/>
      <c r="Q828" s="67"/>
      <c r="R828" s="67"/>
      <c r="S828" s="67"/>
      <c r="T828" s="67"/>
      <c r="U828" s="67"/>
      <c r="V828" s="67"/>
      <c r="W828" s="67"/>
      <c r="X828" s="67"/>
      <c r="Y828" s="67"/>
      <c r="Z828" s="67"/>
    </row>
    <row r="829" spans="1:26" ht="12.5">
      <c r="A829" s="68" t="s">
        <v>1900</v>
      </c>
      <c r="B829" s="68" t="s">
        <v>2020</v>
      </c>
      <c r="C829" s="68" t="s">
        <v>2025</v>
      </c>
      <c r="D829" s="68" t="s">
        <v>28</v>
      </c>
      <c r="E829" s="69">
        <v>2020</v>
      </c>
      <c r="F829" s="69">
        <v>3</v>
      </c>
      <c r="G829" s="69">
        <v>146.6</v>
      </c>
      <c r="H829" s="69">
        <v>12167</v>
      </c>
      <c r="I829" s="67"/>
      <c r="J829" s="67"/>
      <c r="K829" s="67"/>
      <c r="L829" s="67"/>
      <c r="M829" s="67"/>
      <c r="N829" s="67"/>
      <c r="O829" s="67"/>
      <c r="P829" s="67"/>
      <c r="Q829" s="67"/>
      <c r="R829" s="67"/>
      <c r="S829" s="67"/>
      <c r="T829" s="67"/>
      <c r="U829" s="67"/>
      <c r="V829" s="67"/>
      <c r="W829" s="67"/>
      <c r="X829" s="67"/>
      <c r="Y829" s="67"/>
      <c r="Z829" s="67"/>
    </row>
    <row r="830" spans="1:26" ht="12.5">
      <c r="A830" s="68" t="s">
        <v>1900</v>
      </c>
      <c r="B830" s="68" t="s">
        <v>2020</v>
      </c>
      <c r="C830" s="68" t="s">
        <v>2028</v>
      </c>
      <c r="D830" s="68" t="s">
        <v>32</v>
      </c>
      <c r="E830" s="69">
        <v>2020</v>
      </c>
      <c r="F830" s="69">
        <v>2</v>
      </c>
      <c r="G830" s="69">
        <v>126.2</v>
      </c>
      <c r="H830" s="69">
        <v>16906</v>
      </c>
      <c r="I830" s="67"/>
      <c r="J830" s="67"/>
      <c r="K830" s="67"/>
      <c r="L830" s="67"/>
      <c r="M830" s="67"/>
      <c r="N830" s="67"/>
      <c r="O830" s="67"/>
      <c r="P830" s="67"/>
      <c r="Q830" s="67"/>
      <c r="R830" s="67"/>
      <c r="S830" s="67"/>
      <c r="T830" s="67"/>
      <c r="U830" s="67"/>
      <c r="V830" s="67"/>
      <c r="W830" s="67"/>
      <c r="X830" s="67"/>
      <c r="Y830" s="67"/>
      <c r="Z830" s="67"/>
    </row>
    <row r="831" spans="1:26" ht="12.5">
      <c r="A831" s="68" t="s">
        <v>1900</v>
      </c>
      <c r="B831" s="68" t="s">
        <v>2020</v>
      </c>
      <c r="C831" s="68" t="s">
        <v>2031</v>
      </c>
      <c r="D831" s="68" t="s">
        <v>28</v>
      </c>
      <c r="E831" s="69">
        <v>2020</v>
      </c>
      <c r="F831" s="69">
        <v>15</v>
      </c>
      <c r="G831" s="69">
        <v>289.60000000000002</v>
      </c>
      <c r="H831" s="69">
        <v>12006</v>
      </c>
      <c r="I831" s="67"/>
      <c r="J831" s="67"/>
      <c r="K831" s="67"/>
      <c r="L831" s="67"/>
      <c r="M831" s="67"/>
      <c r="N831" s="67"/>
      <c r="O831" s="67"/>
      <c r="P831" s="67"/>
      <c r="Q831" s="67"/>
      <c r="R831" s="67"/>
      <c r="S831" s="67"/>
      <c r="T831" s="67"/>
      <c r="U831" s="67"/>
      <c r="V831" s="67"/>
      <c r="W831" s="67"/>
      <c r="X831" s="67"/>
      <c r="Y831" s="67"/>
      <c r="Z831" s="67"/>
    </row>
    <row r="832" spans="1:26" ht="12.5">
      <c r="A832" s="68" t="s">
        <v>1900</v>
      </c>
      <c r="B832" s="68" t="s">
        <v>2020</v>
      </c>
      <c r="C832" s="68" t="s">
        <v>2034</v>
      </c>
      <c r="D832" s="68" t="s">
        <v>28</v>
      </c>
      <c r="E832" s="69">
        <v>2020</v>
      </c>
      <c r="F832" s="69">
        <v>19</v>
      </c>
      <c r="G832" s="69">
        <v>419.1</v>
      </c>
      <c r="H832" s="69">
        <v>9753</v>
      </c>
      <c r="I832" s="67"/>
      <c r="J832" s="67"/>
      <c r="K832" s="67"/>
      <c r="L832" s="67"/>
      <c r="M832" s="67"/>
      <c r="N832" s="67"/>
      <c r="O832" s="67"/>
      <c r="P832" s="67"/>
      <c r="Q832" s="67"/>
      <c r="R832" s="67"/>
      <c r="S832" s="67"/>
      <c r="T832" s="67"/>
      <c r="U832" s="67"/>
      <c r="V832" s="67"/>
      <c r="W832" s="67"/>
      <c r="X832" s="67"/>
      <c r="Y832" s="67"/>
      <c r="Z832" s="67"/>
    </row>
    <row r="833" spans="1:26" ht="12.5">
      <c r="A833" s="68" t="s">
        <v>1900</v>
      </c>
      <c r="B833" s="68" t="s">
        <v>2020</v>
      </c>
      <c r="C833" s="68" t="s">
        <v>2036</v>
      </c>
      <c r="D833" s="68" t="s">
        <v>28</v>
      </c>
      <c r="E833" s="69">
        <v>2020</v>
      </c>
      <c r="F833" s="69">
        <v>9</v>
      </c>
      <c r="G833" s="69">
        <v>214</v>
      </c>
      <c r="H833" s="69">
        <v>14185</v>
      </c>
      <c r="I833" s="67"/>
      <c r="J833" s="67"/>
      <c r="K833" s="67"/>
      <c r="L833" s="67"/>
      <c r="M833" s="67"/>
      <c r="N833" s="67"/>
      <c r="O833" s="67"/>
      <c r="P833" s="67"/>
      <c r="Q833" s="67"/>
      <c r="R833" s="67"/>
      <c r="S833" s="67"/>
      <c r="T833" s="67"/>
      <c r="U833" s="67"/>
      <c r="V833" s="67"/>
      <c r="W833" s="67"/>
      <c r="X833" s="67"/>
      <c r="Y833" s="67"/>
      <c r="Z833" s="67"/>
    </row>
    <row r="834" spans="1:26" ht="12.5">
      <c r="A834" s="68" t="s">
        <v>1900</v>
      </c>
      <c r="B834" s="68" t="s">
        <v>2020</v>
      </c>
      <c r="C834" s="68" t="s">
        <v>2038</v>
      </c>
      <c r="D834" s="68" t="s">
        <v>28</v>
      </c>
      <c r="E834" s="69">
        <v>2020</v>
      </c>
      <c r="F834" s="69">
        <v>8</v>
      </c>
      <c r="G834" s="69">
        <v>174.9</v>
      </c>
      <c r="H834" s="69">
        <v>10474</v>
      </c>
      <c r="I834" s="67"/>
      <c r="J834" s="67"/>
      <c r="K834" s="67"/>
      <c r="L834" s="67"/>
      <c r="M834" s="67"/>
      <c r="N834" s="67"/>
      <c r="O834" s="67"/>
      <c r="P834" s="67"/>
      <c r="Q834" s="67"/>
      <c r="R834" s="67"/>
      <c r="S834" s="67"/>
      <c r="T834" s="67"/>
      <c r="U834" s="67"/>
      <c r="V834" s="67"/>
      <c r="W834" s="67"/>
      <c r="X834" s="67"/>
      <c r="Y834" s="67"/>
      <c r="Z834" s="67"/>
    </row>
    <row r="835" spans="1:26" ht="12.5">
      <c r="A835" s="68" t="s">
        <v>1900</v>
      </c>
      <c r="B835" s="68" t="s">
        <v>2020</v>
      </c>
      <c r="C835" s="68" t="s">
        <v>2041</v>
      </c>
      <c r="D835" s="68" t="s">
        <v>32</v>
      </c>
      <c r="E835" s="69">
        <v>2020</v>
      </c>
      <c r="F835" s="69">
        <v>17</v>
      </c>
      <c r="G835" s="69">
        <v>313.89999999999998</v>
      </c>
      <c r="H835" s="69">
        <v>15192</v>
      </c>
      <c r="I835" s="67"/>
      <c r="J835" s="67"/>
      <c r="K835" s="67"/>
      <c r="L835" s="67"/>
      <c r="M835" s="67"/>
      <c r="N835" s="67"/>
      <c r="O835" s="67"/>
      <c r="P835" s="67"/>
      <c r="Q835" s="67"/>
      <c r="R835" s="67"/>
      <c r="S835" s="67"/>
      <c r="T835" s="67"/>
      <c r="U835" s="67"/>
      <c r="V835" s="67"/>
      <c r="W835" s="67"/>
      <c r="X835" s="67"/>
      <c r="Y835" s="67"/>
      <c r="Z835" s="67"/>
    </row>
    <row r="836" spans="1:26" ht="12.5">
      <c r="A836" s="68" t="s">
        <v>1900</v>
      </c>
      <c r="B836" s="68" t="s">
        <v>2020</v>
      </c>
      <c r="C836" s="68" t="s">
        <v>2044</v>
      </c>
      <c r="D836" s="68" t="s">
        <v>28</v>
      </c>
      <c r="E836" s="69">
        <v>2020</v>
      </c>
      <c r="F836" s="69">
        <v>14</v>
      </c>
      <c r="G836" s="69">
        <v>294.60000000000002</v>
      </c>
      <c r="H836" s="69">
        <v>12790</v>
      </c>
      <c r="I836" s="67"/>
      <c r="J836" s="67"/>
      <c r="K836" s="67"/>
      <c r="L836" s="67"/>
      <c r="M836" s="67"/>
      <c r="N836" s="67"/>
      <c r="O836" s="67"/>
      <c r="P836" s="67"/>
      <c r="Q836" s="67"/>
      <c r="R836" s="67"/>
      <c r="S836" s="67"/>
      <c r="T836" s="67"/>
      <c r="U836" s="67"/>
      <c r="V836" s="67"/>
      <c r="W836" s="67"/>
      <c r="X836" s="67"/>
      <c r="Y836" s="67"/>
      <c r="Z836" s="67"/>
    </row>
    <row r="837" spans="1:26" ht="12.5">
      <c r="A837" s="68" t="s">
        <v>1900</v>
      </c>
      <c r="B837" s="68" t="s">
        <v>2020</v>
      </c>
      <c r="C837" s="68" t="s">
        <v>2046</v>
      </c>
      <c r="D837" s="68" t="s">
        <v>28</v>
      </c>
      <c r="E837" s="69">
        <v>2020</v>
      </c>
      <c r="F837" s="69">
        <v>5</v>
      </c>
      <c r="G837" s="69">
        <v>149.69999999999999</v>
      </c>
      <c r="H837" s="69">
        <v>12329</v>
      </c>
      <c r="I837" s="67"/>
      <c r="J837" s="67"/>
      <c r="K837" s="67"/>
      <c r="L837" s="67"/>
      <c r="M837" s="67"/>
      <c r="N837" s="67"/>
      <c r="O837" s="67"/>
      <c r="P837" s="67"/>
      <c r="Q837" s="67"/>
      <c r="R837" s="67"/>
      <c r="S837" s="67"/>
      <c r="T837" s="67"/>
      <c r="U837" s="67"/>
      <c r="V837" s="67"/>
      <c r="W837" s="67"/>
      <c r="X837" s="67"/>
      <c r="Y837" s="67"/>
      <c r="Z837" s="67"/>
    </row>
    <row r="838" spans="1:26" ht="12.5">
      <c r="A838" s="68" t="s">
        <v>1900</v>
      </c>
      <c r="B838" s="68" t="s">
        <v>2020</v>
      </c>
      <c r="C838" s="68" t="s">
        <v>2048</v>
      </c>
      <c r="D838" s="68" t="s">
        <v>28</v>
      </c>
      <c r="E838" s="69">
        <v>2020</v>
      </c>
      <c r="F838" s="69">
        <v>5</v>
      </c>
      <c r="G838" s="69">
        <v>97.5</v>
      </c>
      <c r="H838" s="69">
        <v>12606</v>
      </c>
      <c r="I838" s="67"/>
      <c r="J838" s="67"/>
      <c r="K838" s="67"/>
      <c r="L838" s="67"/>
      <c r="M838" s="67"/>
      <c r="N838" s="67"/>
      <c r="O838" s="67"/>
      <c r="P838" s="67"/>
      <c r="Q838" s="67"/>
      <c r="R838" s="67"/>
      <c r="S838" s="67"/>
      <c r="T838" s="67"/>
      <c r="U838" s="67"/>
      <c r="V838" s="67"/>
      <c r="W838" s="67"/>
      <c r="X838" s="67"/>
      <c r="Y838" s="67"/>
      <c r="Z838" s="67"/>
    </row>
    <row r="839" spans="1:26" ht="12.5">
      <c r="A839" s="68" t="s">
        <v>1900</v>
      </c>
      <c r="B839" s="68" t="s">
        <v>2020</v>
      </c>
      <c r="C839" s="68" t="s">
        <v>2051</v>
      </c>
      <c r="D839" s="68" t="s">
        <v>32</v>
      </c>
      <c r="E839" s="69">
        <v>2020</v>
      </c>
      <c r="F839" s="69">
        <v>3</v>
      </c>
      <c r="G839" s="69">
        <v>238.4</v>
      </c>
      <c r="H839" s="69">
        <v>15497</v>
      </c>
      <c r="I839" s="67"/>
      <c r="J839" s="67"/>
      <c r="K839" s="67"/>
      <c r="L839" s="67"/>
      <c r="M839" s="67"/>
      <c r="N839" s="67"/>
      <c r="O839" s="67"/>
      <c r="P839" s="67"/>
      <c r="Q839" s="67"/>
      <c r="R839" s="67"/>
      <c r="S839" s="67"/>
      <c r="T839" s="67"/>
      <c r="U839" s="67"/>
      <c r="V839" s="67"/>
      <c r="W839" s="67"/>
      <c r="X839" s="67"/>
      <c r="Y839" s="67"/>
      <c r="Z839" s="67"/>
    </row>
    <row r="840" spans="1:26" ht="12.5">
      <c r="A840" s="68" t="s">
        <v>1900</v>
      </c>
      <c r="B840" s="68" t="s">
        <v>2020</v>
      </c>
      <c r="C840" s="68" t="s">
        <v>2054</v>
      </c>
      <c r="D840" s="68" t="s">
        <v>20</v>
      </c>
      <c r="E840" s="69">
        <v>2020</v>
      </c>
      <c r="F840" s="69">
        <v>1</v>
      </c>
      <c r="G840" s="69">
        <v>161.19999999999999</v>
      </c>
      <c r="H840" s="69">
        <v>1015826</v>
      </c>
      <c r="I840" s="67"/>
      <c r="J840" s="67"/>
      <c r="K840" s="67"/>
      <c r="L840" s="67"/>
      <c r="M840" s="67"/>
      <c r="N840" s="67"/>
      <c r="O840" s="67"/>
      <c r="P840" s="67"/>
      <c r="Q840" s="67"/>
      <c r="R840" s="67"/>
      <c r="S840" s="67"/>
      <c r="T840" s="67"/>
      <c r="U840" s="67"/>
      <c r="V840" s="67"/>
      <c r="W840" s="67"/>
      <c r="X840" s="67"/>
      <c r="Y840" s="67"/>
      <c r="Z840" s="67"/>
    </row>
    <row r="841" spans="1:26" ht="12.5">
      <c r="A841" s="68" t="s">
        <v>1900</v>
      </c>
      <c r="B841" s="68" t="s">
        <v>2020</v>
      </c>
      <c r="C841" s="68" t="s">
        <v>2057</v>
      </c>
      <c r="D841" s="68" t="s">
        <v>32</v>
      </c>
      <c r="E841" s="69">
        <v>2020</v>
      </c>
      <c r="F841" s="69">
        <v>4</v>
      </c>
      <c r="G841" s="69">
        <v>39.1</v>
      </c>
      <c r="H841" s="69">
        <v>14479</v>
      </c>
      <c r="I841" s="67"/>
      <c r="J841" s="67"/>
      <c r="K841" s="67"/>
      <c r="L841" s="67"/>
      <c r="M841" s="67"/>
      <c r="N841" s="67"/>
      <c r="O841" s="67"/>
      <c r="P841" s="67"/>
      <c r="Q841" s="67"/>
      <c r="R841" s="67"/>
      <c r="S841" s="67"/>
      <c r="T841" s="67"/>
      <c r="U841" s="67"/>
      <c r="V841" s="67"/>
      <c r="W841" s="67"/>
      <c r="X841" s="67"/>
      <c r="Y841" s="67"/>
      <c r="Z841" s="67"/>
    </row>
    <row r="842" spans="1:26" ht="12.5">
      <c r="A842" s="68" t="s">
        <v>1900</v>
      </c>
      <c r="B842" s="68" t="s">
        <v>2020</v>
      </c>
      <c r="C842" s="68" t="s">
        <v>2059</v>
      </c>
      <c r="D842" s="68" t="s">
        <v>20</v>
      </c>
      <c r="E842" s="69">
        <v>2020</v>
      </c>
      <c r="F842" s="69">
        <v>1</v>
      </c>
      <c r="G842" s="69">
        <v>7.7</v>
      </c>
      <c r="H842" s="69">
        <v>10081</v>
      </c>
      <c r="I842" s="67"/>
      <c r="J842" s="67"/>
      <c r="K842" s="67"/>
      <c r="L842" s="67"/>
      <c r="M842" s="67"/>
      <c r="N842" s="67"/>
      <c r="O842" s="67"/>
      <c r="P842" s="67"/>
      <c r="Q842" s="67"/>
      <c r="R842" s="67"/>
      <c r="S842" s="67"/>
      <c r="T842" s="67"/>
      <c r="U842" s="67"/>
      <c r="V842" s="67"/>
      <c r="W842" s="67"/>
      <c r="X842" s="67"/>
      <c r="Y842" s="67"/>
      <c r="Z842" s="67"/>
    </row>
    <row r="843" spans="1:26" ht="12.5">
      <c r="A843" s="68" t="s">
        <v>1900</v>
      </c>
      <c r="B843" s="68" t="s">
        <v>2020</v>
      </c>
      <c r="C843" s="68" t="s">
        <v>2062</v>
      </c>
      <c r="D843" s="68" t="s">
        <v>28</v>
      </c>
      <c r="E843" s="69">
        <v>2020</v>
      </c>
      <c r="F843" s="69">
        <v>15</v>
      </c>
      <c r="G843" s="69">
        <v>253.5</v>
      </c>
      <c r="H843" s="69">
        <v>14891</v>
      </c>
      <c r="I843" s="67"/>
      <c r="J843" s="67"/>
      <c r="K843" s="67"/>
      <c r="L843" s="67"/>
      <c r="M843" s="67"/>
      <c r="N843" s="67"/>
      <c r="O843" s="67"/>
      <c r="P843" s="67"/>
      <c r="Q843" s="67"/>
      <c r="R843" s="67"/>
      <c r="S843" s="67"/>
      <c r="T843" s="67"/>
      <c r="U843" s="67"/>
      <c r="V843" s="67"/>
      <c r="W843" s="67"/>
      <c r="X843" s="67"/>
      <c r="Y843" s="67"/>
      <c r="Z843" s="67"/>
    </row>
    <row r="844" spans="1:26" ht="12.5">
      <c r="A844" s="68" t="s">
        <v>1900</v>
      </c>
      <c r="B844" s="68" t="s">
        <v>2020</v>
      </c>
      <c r="C844" s="68" t="s">
        <v>2065</v>
      </c>
      <c r="D844" s="68" t="s">
        <v>28</v>
      </c>
      <c r="E844" s="69">
        <v>2020</v>
      </c>
      <c r="F844" s="69">
        <v>7</v>
      </c>
      <c r="G844" s="69">
        <v>90</v>
      </c>
      <c r="H844" s="69">
        <v>18019</v>
      </c>
      <c r="I844" s="67"/>
      <c r="J844" s="67"/>
      <c r="K844" s="67"/>
      <c r="L844" s="67"/>
      <c r="M844" s="67"/>
      <c r="N844" s="67"/>
      <c r="O844" s="67"/>
      <c r="P844" s="67"/>
      <c r="Q844" s="67"/>
      <c r="R844" s="67"/>
      <c r="S844" s="67"/>
      <c r="T844" s="67"/>
      <c r="U844" s="67"/>
      <c r="V844" s="67"/>
      <c r="W844" s="67"/>
      <c r="X844" s="67"/>
      <c r="Y844" s="67"/>
      <c r="Z844" s="67"/>
    </row>
    <row r="845" spans="1:26" ht="12.5">
      <c r="A845" s="68" t="s">
        <v>1900</v>
      </c>
      <c r="B845" s="68" t="s">
        <v>2020</v>
      </c>
      <c r="C845" s="68" t="s">
        <v>1878</v>
      </c>
      <c r="D845" s="68" t="s">
        <v>32</v>
      </c>
      <c r="E845" s="69">
        <v>2020</v>
      </c>
      <c r="F845" s="69">
        <v>2</v>
      </c>
      <c r="G845" s="69">
        <v>43.5</v>
      </c>
      <c r="H845" s="69">
        <v>7953</v>
      </c>
      <c r="I845" s="67"/>
      <c r="J845" s="67"/>
      <c r="K845" s="67"/>
      <c r="L845" s="67"/>
      <c r="M845" s="67"/>
      <c r="N845" s="67"/>
      <c r="O845" s="67"/>
      <c r="P845" s="67"/>
      <c r="Q845" s="67"/>
      <c r="R845" s="67"/>
      <c r="S845" s="67"/>
      <c r="T845" s="67"/>
      <c r="U845" s="67"/>
      <c r="V845" s="67"/>
      <c r="W845" s="67"/>
      <c r="X845" s="67"/>
      <c r="Y845" s="67"/>
      <c r="Z845" s="67"/>
    </row>
    <row r="846" spans="1:26" ht="12.5">
      <c r="A846" s="68" t="s">
        <v>1900</v>
      </c>
      <c r="B846" s="68" t="s">
        <v>2020</v>
      </c>
      <c r="C846" s="68" t="s">
        <v>1878</v>
      </c>
      <c r="D846" s="68" t="s">
        <v>20</v>
      </c>
      <c r="E846" s="69">
        <v>2020</v>
      </c>
      <c r="F846" s="69">
        <v>4</v>
      </c>
      <c r="G846" s="69">
        <v>26.5</v>
      </c>
      <c r="H846" s="69">
        <v>71308</v>
      </c>
      <c r="I846" s="67"/>
      <c r="J846" s="67"/>
      <c r="K846" s="67"/>
      <c r="L846" s="67"/>
      <c r="M846" s="67"/>
      <c r="N846" s="67"/>
      <c r="O846" s="67"/>
      <c r="P846" s="67"/>
      <c r="Q846" s="67"/>
      <c r="R846" s="67"/>
      <c r="S846" s="67"/>
      <c r="T846" s="67"/>
      <c r="U846" s="67"/>
      <c r="V846" s="67"/>
      <c r="W846" s="67"/>
      <c r="X846" s="67"/>
      <c r="Y846" s="67"/>
      <c r="Z846" s="67"/>
    </row>
    <row r="847" spans="1:26" ht="12.5">
      <c r="A847" s="68" t="s">
        <v>1900</v>
      </c>
      <c r="B847" s="68" t="s">
        <v>2020</v>
      </c>
      <c r="C847" s="68" t="s">
        <v>2070</v>
      </c>
      <c r="D847" s="68" t="s">
        <v>20</v>
      </c>
      <c r="E847" s="69">
        <v>2020</v>
      </c>
      <c r="F847" s="69">
        <v>7</v>
      </c>
      <c r="G847" s="69">
        <v>107.5</v>
      </c>
      <c r="H847" s="69">
        <v>35318</v>
      </c>
      <c r="I847" s="67"/>
      <c r="J847" s="67"/>
      <c r="K847" s="67"/>
      <c r="L847" s="67"/>
      <c r="M847" s="67"/>
      <c r="N847" s="67"/>
      <c r="O847" s="67"/>
      <c r="P847" s="67"/>
      <c r="Q847" s="67"/>
      <c r="R847" s="67"/>
      <c r="S847" s="67"/>
      <c r="T847" s="67"/>
      <c r="U847" s="67"/>
      <c r="V847" s="67"/>
      <c r="W847" s="67"/>
      <c r="X847" s="67"/>
      <c r="Y847" s="67"/>
      <c r="Z847" s="67"/>
    </row>
    <row r="848" spans="1:26" ht="12.5">
      <c r="A848" s="68" t="s">
        <v>1900</v>
      </c>
      <c r="B848" s="68" t="s">
        <v>2020</v>
      </c>
      <c r="C848" s="68" t="s">
        <v>2073</v>
      </c>
      <c r="D848" s="68" t="s">
        <v>28</v>
      </c>
      <c r="E848" s="69">
        <v>2020</v>
      </c>
      <c r="F848" s="69">
        <v>2</v>
      </c>
      <c r="G848" s="69">
        <v>216.3</v>
      </c>
      <c r="H848" s="69">
        <v>8531</v>
      </c>
      <c r="I848" s="67"/>
      <c r="J848" s="67"/>
      <c r="K848" s="67"/>
      <c r="L848" s="67"/>
      <c r="M848" s="67"/>
      <c r="N848" s="67"/>
      <c r="O848" s="67"/>
      <c r="P848" s="67"/>
      <c r="Q848" s="67"/>
      <c r="R848" s="67"/>
      <c r="S848" s="67"/>
      <c r="T848" s="67"/>
      <c r="U848" s="67"/>
      <c r="V848" s="67"/>
      <c r="W848" s="67"/>
      <c r="X848" s="67"/>
      <c r="Y848" s="67"/>
      <c r="Z848" s="67"/>
    </row>
    <row r="849" spans="1:26" ht="12.5">
      <c r="A849" s="68" t="s">
        <v>1900</v>
      </c>
      <c r="B849" s="68" t="s">
        <v>2075</v>
      </c>
      <c r="C849" s="68" t="s">
        <v>2076</v>
      </c>
      <c r="D849" s="68" t="s">
        <v>20</v>
      </c>
      <c r="E849" s="69">
        <v>2020</v>
      </c>
      <c r="F849" s="69">
        <v>30</v>
      </c>
      <c r="G849" s="69">
        <v>832</v>
      </c>
      <c r="H849" s="69">
        <v>22035</v>
      </c>
      <c r="I849" s="67"/>
      <c r="J849" s="67"/>
      <c r="K849" s="67"/>
      <c r="L849" s="67"/>
      <c r="M849" s="67"/>
      <c r="N849" s="67"/>
      <c r="O849" s="67"/>
      <c r="P849" s="67"/>
      <c r="Q849" s="67"/>
      <c r="R849" s="67"/>
      <c r="S849" s="67"/>
      <c r="T849" s="67"/>
      <c r="U849" s="67"/>
      <c r="V849" s="67"/>
      <c r="W849" s="67"/>
      <c r="X849" s="67"/>
      <c r="Y849" s="67"/>
      <c r="Z849" s="67"/>
    </row>
    <row r="850" spans="1:26" ht="12.5">
      <c r="A850" s="68" t="s">
        <v>1900</v>
      </c>
      <c r="B850" s="68" t="s">
        <v>2075</v>
      </c>
      <c r="C850" s="68" t="s">
        <v>2079</v>
      </c>
      <c r="D850" s="68" t="s">
        <v>20</v>
      </c>
      <c r="E850" s="69">
        <v>2020</v>
      </c>
      <c r="F850" s="69">
        <v>34</v>
      </c>
      <c r="G850" s="69">
        <v>1041.8</v>
      </c>
      <c r="H850" s="69">
        <v>33740</v>
      </c>
      <c r="I850" s="67"/>
      <c r="J850" s="67"/>
      <c r="K850" s="67"/>
      <c r="L850" s="67"/>
      <c r="M850" s="67"/>
      <c r="N850" s="67"/>
      <c r="O850" s="67"/>
      <c r="P850" s="67"/>
      <c r="Q850" s="67"/>
      <c r="R850" s="67"/>
      <c r="S850" s="67"/>
      <c r="T850" s="67"/>
      <c r="U850" s="67"/>
      <c r="V850" s="67"/>
      <c r="W850" s="67"/>
      <c r="X850" s="67"/>
      <c r="Y850" s="67"/>
      <c r="Z850" s="67"/>
    </row>
    <row r="851" spans="1:26" ht="12.5">
      <c r="A851" s="68" t="s">
        <v>1900</v>
      </c>
      <c r="B851" s="68" t="s">
        <v>2075</v>
      </c>
      <c r="C851" s="68" t="s">
        <v>969</v>
      </c>
      <c r="D851" s="68" t="s">
        <v>28</v>
      </c>
      <c r="E851" s="69">
        <v>2020</v>
      </c>
      <c r="F851" s="69">
        <v>8</v>
      </c>
      <c r="G851" s="69">
        <v>304.60000000000002</v>
      </c>
      <c r="H851" s="69">
        <v>3982</v>
      </c>
      <c r="I851" s="67"/>
      <c r="J851" s="67"/>
      <c r="K851" s="67"/>
      <c r="L851" s="67"/>
      <c r="M851" s="67"/>
      <c r="N851" s="67"/>
      <c r="O851" s="67"/>
      <c r="P851" s="67"/>
      <c r="Q851" s="67"/>
      <c r="R851" s="67"/>
      <c r="S851" s="67"/>
      <c r="T851" s="67"/>
      <c r="U851" s="67"/>
      <c r="V851" s="67"/>
      <c r="W851" s="67"/>
      <c r="X851" s="67"/>
      <c r="Y851" s="67"/>
      <c r="Z851" s="67"/>
    </row>
    <row r="852" spans="1:26" ht="12.5">
      <c r="A852" s="68" t="s">
        <v>1900</v>
      </c>
      <c r="B852" s="68" t="s">
        <v>2075</v>
      </c>
      <c r="C852" s="68" t="s">
        <v>2083</v>
      </c>
      <c r="D852" s="68" t="s">
        <v>32</v>
      </c>
      <c r="E852" s="69">
        <v>2020</v>
      </c>
      <c r="F852" s="69">
        <v>12</v>
      </c>
      <c r="G852" s="69">
        <v>265.7</v>
      </c>
      <c r="H852" s="69">
        <v>7448</v>
      </c>
      <c r="I852" s="67"/>
      <c r="J852" s="67"/>
      <c r="K852" s="67"/>
      <c r="L852" s="67"/>
      <c r="M852" s="67"/>
      <c r="N852" s="67"/>
      <c r="O852" s="67"/>
      <c r="P852" s="67"/>
      <c r="Q852" s="67"/>
      <c r="R852" s="67"/>
      <c r="S852" s="67"/>
      <c r="T852" s="67"/>
      <c r="U852" s="67"/>
      <c r="V852" s="67"/>
      <c r="W852" s="67"/>
      <c r="X852" s="67"/>
      <c r="Y852" s="67"/>
      <c r="Z852" s="67"/>
    </row>
    <row r="853" spans="1:26" ht="12.5">
      <c r="A853" s="68" t="s">
        <v>1900</v>
      </c>
      <c r="B853" s="68" t="s">
        <v>2075</v>
      </c>
      <c r="C853" s="68" t="s">
        <v>2085</v>
      </c>
      <c r="D853" s="68" t="s">
        <v>20</v>
      </c>
      <c r="E853" s="69">
        <v>2020</v>
      </c>
      <c r="F853" s="69">
        <v>21</v>
      </c>
      <c r="G853" s="69">
        <v>703</v>
      </c>
      <c r="H853" s="69">
        <v>24480</v>
      </c>
      <c r="I853" s="67"/>
      <c r="J853" s="67"/>
      <c r="K853" s="67"/>
      <c r="L853" s="67"/>
      <c r="M853" s="67"/>
      <c r="N853" s="67"/>
      <c r="O853" s="67"/>
      <c r="P853" s="67"/>
      <c r="Q853" s="67"/>
      <c r="R853" s="67"/>
      <c r="S853" s="67"/>
      <c r="T853" s="67"/>
      <c r="U853" s="67"/>
      <c r="V853" s="67"/>
      <c r="W853" s="67"/>
      <c r="X853" s="67"/>
      <c r="Y853" s="67"/>
      <c r="Z853" s="67"/>
    </row>
    <row r="854" spans="1:26" ht="12.5">
      <c r="A854" s="68" t="s">
        <v>1900</v>
      </c>
      <c r="B854" s="68" t="s">
        <v>2075</v>
      </c>
      <c r="C854" s="68" t="s">
        <v>2088</v>
      </c>
      <c r="D854" s="68" t="s">
        <v>28</v>
      </c>
      <c r="E854" s="69">
        <v>2020</v>
      </c>
      <c r="F854" s="69">
        <v>58</v>
      </c>
      <c r="G854" s="69">
        <v>916.5</v>
      </c>
      <c r="H854" s="69">
        <v>21683</v>
      </c>
      <c r="I854" s="67"/>
      <c r="J854" s="67"/>
      <c r="K854" s="67"/>
      <c r="L854" s="67"/>
      <c r="M854" s="67"/>
      <c r="N854" s="67"/>
      <c r="O854" s="67"/>
      <c r="P854" s="67"/>
      <c r="Q854" s="67"/>
      <c r="R854" s="67"/>
      <c r="S854" s="67"/>
      <c r="T854" s="67"/>
      <c r="U854" s="67"/>
      <c r="V854" s="67"/>
      <c r="W854" s="67"/>
      <c r="X854" s="67"/>
      <c r="Y854" s="67"/>
      <c r="Z854" s="67"/>
    </row>
    <row r="855" spans="1:26" ht="12.5">
      <c r="A855" s="68" t="s">
        <v>1900</v>
      </c>
      <c r="B855" s="68" t="s">
        <v>2075</v>
      </c>
      <c r="C855" s="68" t="s">
        <v>2090</v>
      </c>
      <c r="D855" s="68" t="s">
        <v>32</v>
      </c>
      <c r="E855" s="69">
        <v>2020</v>
      </c>
      <c r="F855" s="69">
        <v>43</v>
      </c>
      <c r="G855" s="69">
        <v>834.7</v>
      </c>
      <c r="H855" s="69">
        <v>21484</v>
      </c>
      <c r="I855" s="67"/>
      <c r="J855" s="67"/>
      <c r="K855" s="67"/>
      <c r="L855" s="67"/>
      <c r="M855" s="67"/>
      <c r="N855" s="67"/>
      <c r="O855" s="67"/>
      <c r="P855" s="67"/>
      <c r="Q855" s="67"/>
      <c r="R855" s="67"/>
      <c r="S855" s="67"/>
      <c r="T855" s="67"/>
      <c r="U855" s="67"/>
      <c r="V855" s="67"/>
      <c r="W855" s="67"/>
      <c r="X855" s="67"/>
      <c r="Y855" s="67"/>
      <c r="Z855" s="67"/>
    </row>
    <row r="856" spans="1:26" ht="12.5">
      <c r="A856" s="68" t="s">
        <v>1900</v>
      </c>
      <c r="B856" s="68" t="s">
        <v>2075</v>
      </c>
      <c r="C856" s="68" t="s">
        <v>2092</v>
      </c>
      <c r="D856" s="68" t="s">
        <v>32</v>
      </c>
      <c r="E856" s="69">
        <v>2020</v>
      </c>
      <c r="F856" s="69">
        <v>55</v>
      </c>
      <c r="G856" s="69">
        <v>1012.5</v>
      </c>
      <c r="H856" s="69">
        <v>19430</v>
      </c>
      <c r="I856" s="67"/>
      <c r="J856" s="67"/>
      <c r="K856" s="67"/>
      <c r="L856" s="67"/>
      <c r="M856" s="67"/>
      <c r="N856" s="67"/>
      <c r="O856" s="67"/>
      <c r="P856" s="67"/>
      <c r="Q856" s="67"/>
      <c r="R856" s="67"/>
      <c r="S856" s="67"/>
      <c r="T856" s="67"/>
      <c r="U856" s="67"/>
      <c r="V856" s="67"/>
      <c r="W856" s="67"/>
      <c r="X856" s="67"/>
      <c r="Y856" s="67"/>
      <c r="Z856" s="67"/>
    </row>
    <row r="857" spans="1:26" ht="12.5">
      <c r="A857" s="68" t="s">
        <v>1900</v>
      </c>
      <c r="B857" s="68" t="s">
        <v>2075</v>
      </c>
      <c r="C857" s="68" t="s">
        <v>2094</v>
      </c>
      <c r="D857" s="68" t="s">
        <v>20</v>
      </c>
      <c r="E857" s="69">
        <v>2020</v>
      </c>
      <c r="F857" s="69">
        <v>4</v>
      </c>
      <c r="G857" s="69">
        <v>136.9</v>
      </c>
      <c r="H857" s="69">
        <v>43158</v>
      </c>
      <c r="I857" s="67"/>
      <c r="J857" s="67"/>
      <c r="K857" s="67"/>
      <c r="L857" s="67"/>
      <c r="M857" s="67"/>
      <c r="N857" s="67"/>
      <c r="O857" s="67"/>
      <c r="P857" s="67"/>
      <c r="Q857" s="67"/>
      <c r="R857" s="67"/>
      <c r="S857" s="67"/>
      <c r="T857" s="67"/>
      <c r="U857" s="67"/>
      <c r="V857" s="67"/>
      <c r="W857" s="67"/>
      <c r="X857" s="67"/>
      <c r="Y857" s="67"/>
      <c r="Z857" s="67"/>
    </row>
    <row r="858" spans="1:26" ht="12.5">
      <c r="A858" s="68" t="s">
        <v>1900</v>
      </c>
      <c r="B858" s="68" t="s">
        <v>2075</v>
      </c>
      <c r="C858" s="68" t="s">
        <v>140</v>
      </c>
      <c r="D858" s="68" t="s">
        <v>28</v>
      </c>
      <c r="E858" s="69">
        <v>2020</v>
      </c>
      <c r="F858" s="69">
        <v>8</v>
      </c>
      <c r="G858" s="69">
        <v>275.2</v>
      </c>
      <c r="H858" s="69">
        <v>5301</v>
      </c>
      <c r="I858" s="67"/>
      <c r="J858" s="67"/>
      <c r="K858" s="67"/>
      <c r="L858" s="67"/>
      <c r="M858" s="67"/>
      <c r="N858" s="67"/>
      <c r="O858" s="67"/>
      <c r="P858" s="67"/>
      <c r="Q858" s="67"/>
      <c r="R858" s="67"/>
      <c r="S858" s="67"/>
      <c r="T858" s="67"/>
      <c r="U858" s="67"/>
      <c r="V858" s="67"/>
      <c r="W858" s="67"/>
      <c r="X858" s="67"/>
      <c r="Y858" s="67"/>
      <c r="Z858" s="67"/>
    </row>
    <row r="859" spans="1:26" ht="12.5">
      <c r="A859" s="68" t="s">
        <v>1900</v>
      </c>
      <c r="B859" s="68" t="s">
        <v>2075</v>
      </c>
      <c r="C859" s="68" t="s">
        <v>2099</v>
      </c>
      <c r="D859" s="68" t="s">
        <v>32</v>
      </c>
      <c r="E859" s="69">
        <v>2020</v>
      </c>
      <c r="F859" s="69">
        <v>21</v>
      </c>
      <c r="G859" s="69">
        <v>619.20000000000005</v>
      </c>
      <c r="H859" s="69">
        <v>17959</v>
      </c>
      <c r="I859" s="67"/>
      <c r="J859" s="67"/>
      <c r="K859" s="67"/>
      <c r="L859" s="67"/>
      <c r="M859" s="67"/>
      <c r="N859" s="67"/>
      <c r="O859" s="67"/>
      <c r="P859" s="67"/>
      <c r="Q859" s="67"/>
      <c r="R859" s="67"/>
      <c r="S859" s="67"/>
      <c r="T859" s="67"/>
      <c r="U859" s="67"/>
      <c r="V859" s="67"/>
      <c r="W859" s="67"/>
      <c r="X859" s="67"/>
      <c r="Y859" s="67"/>
      <c r="Z859" s="67"/>
    </row>
    <row r="860" spans="1:26" ht="12.5">
      <c r="A860" s="68" t="s">
        <v>1900</v>
      </c>
      <c r="B860" s="68" t="s">
        <v>2075</v>
      </c>
      <c r="C860" s="68" t="s">
        <v>2102</v>
      </c>
      <c r="D860" s="68" t="s">
        <v>32</v>
      </c>
      <c r="E860" s="69">
        <v>2020</v>
      </c>
      <c r="F860" s="69">
        <v>5</v>
      </c>
      <c r="G860" s="69">
        <v>114.4</v>
      </c>
      <c r="H860" s="69">
        <v>3463</v>
      </c>
      <c r="I860" s="67"/>
      <c r="J860" s="67"/>
      <c r="K860" s="67"/>
      <c r="L860" s="67"/>
      <c r="M860" s="67"/>
      <c r="N860" s="67"/>
      <c r="O860" s="67"/>
      <c r="P860" s="67"/>
      <c r="Q860" s="67"/>
      <c r="R860" s="67"/>
      <c r="S860" s="67"/>
      <c r="T860" s="67"/>
      <c r="U860" s="67"/>
      <c r="V860" s="67"/>
      <c r="W860" s="67"/>
      <c r="X860" s="67"/>
      <c r="Y860" s="67"/>
      <c r="Z860" s="67"/>
    </row>
    <row r="861" spans="1:26" ht="12.5">
      <c r="A861" s="68" t="s">
        <v>1900</v>
      </c>
      <c r="B861" s="68" t="s">
        <v>2105</v>
      </c>
      <c r="C861" s="68" t="s">
        <v>436</v>
      </c>
      <c r="D861" s="68" t="s">
        <v>32</v>
      </c>
      <c r="E861" s="69">
        <v>2020</v>
      </c>
      <c r="F861" s="69">
        <v>29</v>
      </c>
      <c r="G861" s="69">
        <v>589.70000000000005</v>
      </c>
      <c r="H861" s="69">
        <v>13480</v>
      </c>
      <c r="I861" s="67"/>
      <c r="J861" s="67"/>
      <c r="K861" s="67"/>
      <c r="L861" s="67"/>
      <c r="M861" s="67"/>
      <c r="N861" s="67"/>
      <c r="O861" s="67"/>
      <c r="P861" s="67"/>
      <c r="Q861" s="67"/>
      <c r="R861" s="67"/>
      <c r="S861" s="67"/>
      <c r="T861" s="67"/>
      <c r="U861" s="67"/>
      <c r="V861" s="67"/>
      <c r="W861" s="67"/>
      <c r="X861" s="67"/>
      <c r="Y861" s="67"/>
      <c r="Z861" s="67"/>
    </row>
    <row r="862" spans="1:26" ht="12.5">
      <c r="A862" s="68" t="s">
        <v>1900</v>
      </c>
      <c r="B862" s="68" t="s">
        <v>2105</v>
      </c>
      <c r="C862" s="68" t="s">
        <v>2107</v>
      </c>
      <c r="D862" s="68" t="s">
        <v>28</v>
      </c>
      <c r="E862" s="69">
        <v>2020</v>
      </c>
      <c r="F862" s="69">
        <v>12</v>
      </c>
      <c r="G862" s="69">
        <v>238.9</v>
      </c>
      <c r="H862" s="69">
        <v>4956</v>
      </c>
      <c r="I862" s="67"/>
      <c r="J862" s="67"/>
      <c r="K862" s="67"/>
      <c r="L862" s="67"/>
      <c r="M862" s="67"/>
      <c r="N862" s="67"/>
      <c r="O862" s="67"/>
      <c r="P862" s="67"/>
      <c r="Q862" s="67"/>
      <c r="R862" s="67"/>
      <c r="S862" s="67"/>
      <c r="T862" s="67"/>
      <c r="U862" s="67"/>
      <c r="V862" s="67"/>
      <c r="W862" s="67"/>
      <c r="X862" s="67"/>
      <c r="Y862" s="67"/>
      <c r="Z862" s="67"/>
    </row>
    <row r="863" spans="1:26" ht="12.5">
      <c r="A863" s="68" t="s">
        <v>1900</v>
      </c>
      <c r="B863" s="68" t="s">
        <v>2105</v>
      </c>
      <c r="C863" s="68" t="s">
        <v>2109</v>
      </c>
      <c r="D863" s="68" t="s">
        <v>32</v>
      </c>
      <c r="E863" s="69">
        <v>2020</v>
      </c>
      <c r="F863" s="69">
        <v>16</v>
      </c>
      <c r="G863" s="69">
        <v>231.6</v>
      </c>
      <c r="H863" s="69">
        <v>6539</v>
      </c>
      <c r="I863" s="67"/>
      <c r="J863" s="67"/>
      <c r="K863" s="67"/>
      <c r="L863" s="67"/>
      <c r="M863" s="67"/>
      <c r="N863" s="67"/>
      <c r="O863" s="67"/>
      <c r="P863" s="67"/>
      <c r="Q863" s="67"/>
      <c r="R863" s="67"/>
      <c r="S863" s="67"/>
      <c r="T863" s="67"/>
      <c r="U863" s="67"/>
      <c r="V863" s="67"/>
      <c r="W863" s="67"/>
      <c r="X863" s="67"/>
      <c r="Y863" s="67"/>
      <c r="Z863" s="67"/>
    </row>
    <row r="864" spans="1:26" ht="12.5">
      <c r="A864" s="68" t="s">
        <v>1900</v>
      </c>
      <c r="B864" s="68" t="s">
        <v>2105</v>
      </c>
      <c r="C864" s="68" t="s">
        <v>2111</v>
      </c>
      <c r="D864" s="68" t="s">
        <v>32</v>
      </c>
      <c r="E864" s="69">
        <v>2020</v>
      </c>
      <c r="F864" s="69">
        <v>37</v>
      </c>
      <c r="G864" s="69">
        <v>723.3</v>
      </c>
      <c r="H864" s="69">
        <v>13187</v>
      </c>
      <c r="I864" s="67"/>
      <c r="J864" s="67"/>
      <c r="K864" s="67"/>
      <c r="L864" s="67"/>
      <c r="M864" s="67"/>
      <c r="N864" s="67"/>
      <c r="O864" s="67"/>
      <c r="P864" s="67"/>
      <c r="Q864" s="67"/>
      <c r="R864" s="67"/>
      <c r="S864" s="67"/>
      <c r="T864" s="67"/>
      <c r="U864" s="67"/>
      <c r="V864" s="67"/>
      <c r="W864" s="67"/>
      <c r="X864" s="67"/>
      <c r="Y864" s="67"/>
      <c r="Z864" s="67"/>
    </row>
    <row r="865" spans="1:26" ht="12.5">
      <c r="A865" s="68" t="s">
        <v>1900</v>
      </c>
      <c r="B865" s="68" t="s">
        <v>2105</v>
      </c>
      <c r="C865" s="68" t="s">
        <v>518</v>
      </c>
      <c r="D865" s="68" t="s">
        <v>32</v>
      </c>
      <c r="E865" s="69">
        <v>2020</v>
      </c>
      <c r="F865" s="69">
        <v>7</v>
      </c>
      <c r="G865" s="69">
        <v>253.4</v>
      </c>
      <c r="H865" s="69">
        <v>14306</v>
      </c>
      <c r="I865" s="67"/>
      <c r="J865" s="67"/>
      <c r="K865" s="67"/>
      <c r="L865" s="67"/>
      <c r="M865" s="67"/>
      <c r="N865" s="67"/>
      <c r="O865" s="67"/>
      <c r="P865" s="67"/>
      <c r="Q865" s="67"/>
      <c r="R865" s="67"/>
      <c r="S865" s="67"/>
      <c r="T865" s="67"/>
      <c r="U865" s="67"/>
      <c r="V865" s="67"/>
      <c r="W865" s="67"/>
      <c r="X865" s="67"/>
      <c r="Y865" s="67"/>
      <c r="Z865" s="67"/>
    </row>
    <row r="866" spans="1:26" ht="12.5">
      <c r="A866" s="68" t="s">
        <v>1900</v>
      </c>
      <c r="B866" s="68" t="s">
        <v>2105</v>
      </c>
      <c r="C866" s="68" t="s">
        <v>2114</v>
      </c>
      <c r="D866" s="68" t="s">
        <v>28</v>
      </c>
      <c r="E866" s="69">
        <v>2020</v>
      </c>
      <c r="F866" s="69">
        <v>21</v>
      </c>
      <c r="G866" s="69">
        <v>229.9</v>
      </c>
      <c r="H866" s="69">
        <v>5299</v>
      </c>
      <c r="I866" s="67"/>
      <c r="J866" s="67"/>
      <c r="K866" s="67"/>
      <c r="L866" s="67"/>
      <c r="M866" s="67"/>
      <c r="N866" s="67"/>
      <c r="O866" s="67"/>
      <c r="P866" s="67"/>
      <c r="Q866" s="67"/>
      <c r="R866" s="67"/>
      <c r="S866" s="67"/>
      <c r="T866" s="67"/>
      <c r="U866" s="67"/>
      <c r="V866" s="67"/>
      <c r="W866" s="67"/>
      <c r="X866" s="67"/>
      <c r="Y866" s="67"/>
      <c r="Z866" s="67"/>
    </row>
    <row r="867" spans="1:26" ht="12.5">
      <c r="A867" s="68" t="s">
        <v>1900</v>
      </c>
      <c r="B867" s="68" t="s">
        <v>2105</v>
      </c>
      <c r="C867" s="68" t="s">
        <v>2116</v>
      </c>
      <c r="D867" s="68" t="s">
        <v>20</v>
      </c>
      <c r="E867" s="69">
        <v>2020</v>
      </c>
      <c r="F867" s="69">
        <v>51</v>
      </c>
      <c r="G867" s="69">
        <v>766.4</v>
      </c>
      <c r="H867" s="69">
        <v>32878</v>
      </c>
      <c r="I867" s="67"/>
      <c r="J867" s="67"/>
      <c r="K867" s="67"/>
      <c r="L867" s="67"/>
      <c r="M867" s="67"/>
      <c r="N867" s="67"/>
      <c r="O867" s="67"/>
      <c r="P867" s="67"/>
      <c r="Q867" s="67"/>
      <c r="R867" s="67"/>
      <c r="S867" s="67"/>
      <c r="T867" s="67"/>
      <c r="U867" s="67"/>
      <c r="V867" s="67"/>
      <c r="W867" s="67"/>
      <c r="X867" s="67"/>
      <c r="Y867" s="67"/>
      <c r="Z867" s="67"/>
    </row>
    <row r="868" spans="1:26" ht="12.5">
      <c r="A868" s="68" t="s">
        <v>1900</v>
      </c>
      <c r="B868" s="68" t="s">
        <v>2105</v>
      </c>
      <c r="C868" s="68" t="s">
        <v>2119</v>
      </c>
      <c r="D868" s="68" t="s">
        <v>28</v>
      </c>
      <c r="E868" s="69">
        <v>2020</v>
      </c>
      <c r="F868" s="69">
        <v>21</v>
      </c>
      <c r="G868" s="69">
        <v>252.2</v>
      </c>
      <c r="H868" s="69">
        <v>7008</v>
      </c>
      <c r="I868" s="67"/>
      <c r="J868" s="67"/>
      <c r="K868" s="67"/>
      <c r="L868" s="67"/>
      <c r="M868" s="67"/>
      <c r="N868" s="67"/>
      <c r="O868" s="67"/>
      <c r="P868" s="67"/>
      <c r="Q868" s="67"/>
      <c r="R868" s="67"/>
      <c r="S868" s="67"/>
      <c r="T868" s="67"/>
      <c r="U868" s="67"/>
      <c r="V868" s="67"/>
      <c r="W868" s="67"/>
      <c r="X868" s="67"/>
      <c r="Y868" s="67"/>
      <c r="Z868" s="67"/>
    </row>
    <row r="869" spans="1:26" ht="12.5">
      <c r="A869" s="68" t="s">
        <v>1900</v>
      </c>
      <c r="B869" s="68" t="s">
        <v>2105</v>
      </c>
      <c r="C869" s="68" t="s">
        <v>2122</v>
      </c>
      <c r="D869" s="68" t="s">
        <v>32</v>
      </c>
      <c r="E869" s="69">
        <v>2020</v>
      </c>
      <c r="F869" s="69">
        <v>15</v>
      </c>
      <c r="G869" s="69">
        <v>286.8</v>
      </c>
      <c r="H869" s="69">
        <v>4931</v>
      </c>
      <c r="I869" s="67"/>
      <c r="J869" s="67"/>
      <c r="K869" s="67"/>
      <c r="L869" s="67"/>
      <c r="M869" s="67"/>
      <c r="N869" s="67"/>
      <c r="O869" s="67"/>
      <c r="P869" s="67"/>
      <c r="Q869" s="67"/>
      <c r="R869" s="67"/>
      <c r="S869" s="67"/>
      <c r="T869" s="67"/>
      <c r="U869" s="67"/>
      <c r="V869" s="67"/>
      <c r="W869" s="67"/>
      <c r="X869" s="67"/>
      <c r="Y869" s="67"/>
      <c r="Z869" s="67"/>
    </row>
    <row r="870" spans="1:26" ht="12.5">
      <c r="A870" s="68" t="s">
        <v>2124</v>
      </c>
      <c r="B870" s="68" t="s">
        <v>2125</v>
      </c>
      <c r="C870" s="68" t="s">
        <v>2126</v>
      </c>
      <c r="D870" s="68" t="s">
        <v>20</v>
      </c>
      <c r="E870" s="69">
        <v>2020</v>
      </c>
      <c r="F870" s="69">
        <v>65</v>
      </c>
      <c r="G870" s="69">
        <v>1198.9000000000001</v>
      </c>
      <c r="H870" s="69">
        <v>25280</v>
      </c>
      <c r="I870" s="67"/>
      <c r="J870" s="67"/>
      <c r="K870" s="67"/>
      <c r="L870" s="67"/>
      <c r="M870" s="67"/>
      <c r="N870" s="67"/>
      <c r="O870" s="67"/>
      <c r="P870" s="67"/>
      <c r="Q870" s="67"/>
      <c r="R870" s="67"/>
      <c r="S870" s="67"/>
      <c r="T870" s="67"/>
      <c r="U870" s="67"/>
      <c r="V870" s="67"/>
      <c r="W870" s="67"/>
      <c r="X870" s="67"/>
      <c r="Y870" s="67"/>
      <c r="Z870" s="67"/>
    </row>
    <row r="871" spans="1:26" ht="12.5">
      <c r="A871" s="68" t="s">
        <v>2124</v>
      </c>
      <c r="B871" s="68" t="s">
        <v>2125</v>
      </c>
      <c r="C871" s="68" t="s">
        <v>2128</v>
      </c>
      <c r="D871" s="68" t="s">
        <v>20</v>
      </c>
      <c r="E871" s="69">
        <v>2020</v>
      </c>
      <c r="F871" s="69">
        <v>15</v>
      </c>
      <c r="G871" s="69">
        <v>368.7</v>
      </c>
      <c r="H871" s="69">
        <v>55366</v>
      </c>
      <c r="I871" s="67"/>
      <c r="J871" s="67"/>
      <c r="K871" s="67"/>
      <c r="L871" s="67"/>
      <c r="M871" s="67"/>
      <c r="N871" s="67"/>
      <c r="O871" s="67"/>
      <c r="P871" s="67"/>
      <c r="Q871" s="67"/>
      <c r="R871" s="67"/>
      <c r="S871" s="67"/>
      <c r="T871" s="67"/>
      <c r="U871" s="67"/>
      <c r="V871" s="67"/>
      <c r="W871" s="67"/>
      <c r="X871" s="67"/>
      <c r="Y871" s="67"/>
      <c r="Z871" s="67"/>
    </row>
    <row r="872" spans="1:26" ht="12.5">
      <c r="A872" s="68" t="s">
        <v>2124</v>
      </c>
      <c r="B872" s="68" t="s">
        <v>2125</v>
      </c>
      <c r="C872" s="68" t="s">
        <v>2131</v>
      </c>
      <c r="D872" s="68" t="s">
        <v>32</v>
      </c>
      <c r="E872" s="69">
        <v>2020</v>
      </c>
      <c r="F872" s="69">
        <v>28</v>
      </c>
      <c r="G872" s="69">
        <v>1257.9000000000001</v>
      </c>
      <c r="H872" s="69">
        <v>15215</v>
      </c>
      <c r="I872" s="67"/>
      <c r="J872" s="67"/>
      <c r="K872" s="67"/>
      <c r="L872" s="67"/>
      <c r="M872" s="67"/>
      <c r="N872" s="67"/>
      <c r="O872" s="67"/>
      <c r="P872" s="67"/>
      <c r="Q872" s="67"/>
      <c r="R872" s="67"/>
      <c r="S872" s="67"/>
      <c r="T872" s="67"/>
      <c r="U872" s="67"/>
      <c r="V872" s="67"/>
      <c r="W872" s="67"/>
      <c r="X872" s="67"/>
      <c r="Y872" s="67"/>
      <c r="Z872" s="67"/>
    </row>
    <row r="873" spans="1:26" ht="12.5">
      <c r="A873" s="68" t="s">
        <v>2124</v>
      </c>
      <c r="B873" s="68" t="s">
        <v>2125</v>
      </c>
      <c r="C873" s="68" t="s">
        <v>2134</v>
      </c>
      <c r="D873" s="68" t="s">
        <v>28</v>
      </c>
      <c r="E873" s="69">
        <v>2020</v>
      </c>
      <c r="F873" s="69">
        <v>11</v>
      </c>
      <c r="G873" s="69">
        <v>239</v>
      </c>
      <c r="H873" s="69">
        <v>11069</v>
      </c>
      <c r="I873" s="67"/>
      <c r="J873" s="67"/>
      <c r="K873" s="67"/>
      <c r="L873" s="67"/>
      <c r="M873" s="67"/>
      <c r="N873" s="67"/>
      <c r="O873" s="67"/>
      <c r="P873" s="67"/>
      <c r="Q873" s="67"/>
      <c r="R873" s="67"/>
      <c r="S873" s="67"/>
      <c r="T873" s="67"/>
      <c r="U873" s="67"/>
      <c r="V873" s="67"/>
      <c r="W873" s="67"/>
      <c r="X873" s="67"/>
      <c r="Y873" s="67"/>
      <c r="Z873" s="67"/>
    </row>
    <row r="874" spans="1:26" ht="12.5">
      <c r="A874" s="68" t="s">
        <v>2124</v>
      </c>
      <c r="B874" s="68" t="s">
        <v>2125</v>
      </c>
      <c r="C874" s="68" t="s">
        <v>2137</v>
      </c>
      <c r="D874" s="68" t="s">
        <v>32</v>
      </c>
      <c r="E874" s="69">
        <v>2020</v>
      </c>
      <c r="F874" s="69">
        <v>63</v>
      </c>
      <c r="G874" s="69">
        <v>726</v>
      </c>
      <c r="H874" s="69">
        <v>13755</v>
      </c>
      <c r="I874" s="67"/>
      <c r="J874" s="67"/>
      <c r="K874" s="67"/>
      <c r="L874" s="67"/>
      <c r="M874" s="67"/>
      <c r="N874" s="67"/>
      <c r="O874" s="67"/>
      <c r="P874" s="67"/>
      <c r="Q874" s="67"/>
      <c r="R874" s="67"/>
      <c r="S874" s="67"/>
      <c r="T874" s="67"/>
      <c r="U874" s="67"/>
      <c r="V874" s="67"/>
      <c r="W874" s="67"/>
      <c r="X874" s="67"/>
      <c r="Y874" s="67"/>
      <c r="Z874" s="67"/>
    </row>
    <row r="875" spans="1:26" ht="12.5">
      <c r="A875" s="68" t="s">
        <v>2124</v>
      </c>
      <c r="B875" s="68" t="s">
        <v>2125</v>
      </c>
      <c r="C875" s="68" t="s">
        <v>2139</v>
      </c>
      <c r="D875" s="68" t="s">
        <v>20</v>
      </c>
      <c r="E875" s="69">
        <v>2020</v>
      </c>
      <c r="F875" s="69">
        <v>5</v>
      </c>
      <c r="G875" s="69">
        <v>165.1</v>
      </c>
      <c r="H875" s="69">
        <v>220619</v>
      </c>
      <c r="I875" s="67"/>
      <c r="J875" s="67"/>
      <c r="K875" s="67"/>
      <c r="L875" s="67"/>
      <c r="M875" s="67"/>
      <c r="N875" s="67"/>
      <c r="O875" s="67"/>
      <c r="P875" s="67"/>
      <c r="Q875" s="67"/>
      <c r="R875" s="67"/>
      <c r="S875" s="67"/>
      <c r="T875" s="67"/>
      <c r="U875" s="67"/>
      <c r="V875" s="67"/>
      <c r="W875" s="67"/>
      <c r="X875" s="67"/>
      <c r="Y875" s="67"/>
      <c r="Z875" s="67"/>
    </row>
    <row r="876" spans="1:26" ht="12.5">
      <c r="A876" s="68" t="s">
        <v>2124</v>
      </c>
      <c r="B876" s="68" t="s">
        <v>2125</v>
      </c>
      <c r="C876" s="68" t="s">
        <v>2142</v>
      </c>
      <c r="D876" s="68" t="s">
        <v>32</v>
      </c>
      <c r="E876" s="69">
        <v>2020</v>
      </c>
      <c r="F876" s="69">
        <v>17</v>
      </c>
      <c r="G876" s="69">
        <v>193.6</v>
      </c>
      <c r="H876" s="69">
        <v>4692</v>
      </c>
      <c r="I876" s="67"/>
      <c r="J876" s="67"/>
      <c r="K876" s="67"/>
      <c r="L876" s="67"/>
      <c r="M876" s="67"/>
      <c r="N876" s="67"/>
      <c r="O876" s="67"/>
      <c r="P876" s="67"/>
      <c r="Q876" s="67"/>
      <c r="R876" s="67"/>
      <c r="S876" s="67"/>
      <c r="T876" s="67"/>
      <c r="U876" s="67"/>
      <c r="V876" s="67"/>
      <c r="W876" s="67"/>
      <c r="X876" s="67"/>
      <c r="Y876" s="67"/>
      <c r="Z876" s="67"/>
    </row>
    <row r="877" spans="1:26" ht="12.5">
      <c r="A877" s="68" t="s">
        <v>2124</v>
      </c>
      <c r="B877" s="68" t="s">
        <v>2125</v>
      </c>
      <c r="C877" s="68" t="s">
        <v>2144</v>
      </c>
      <c r="D877" s="68" t="s">
        <v>28</v>
      </c>
      <c r="E877" s="69">
        <v>2020</v>
      </c>
      <c r="F877" s="69">
        <v>21</v>
      </c>
      <c r="G877" s="69">
        <v>465.9</v>
      </c>
      <c r="H877" s="69">
        <v>5858</v>
      </c>
      <c r="I877" s="67"/>
      <c r="J877" s="67"/>
      <c r="K877" s="67"/>
      <c r="L877" s="67"/>
      <c r="M877" s="67"/>
      <c r="N877" s="67"/>
      <c r="O877" s="67"/>
      <c r="P877" s="67"/>
      <c r="Q877" s="67"/>
      <c r="R877" s="67"/>
      <c r="S877" s="67"/>
      <c r="T877" s="67"/>
      <c r="U877" s="67"/>
      <c r="V877" s="67"/>
      <c r="W877" s="67"/>
      <c r="X877" s="67"/>
      <c r="Y877" s="67"/>
      <c r="Z877" s="67"/>
    </row>
    <row r="878" spans="1:26" ht="12.5">
      <c r="A878" s="68" t="s">
        <v>2124</v>
      </c>
      <c r="B878" s="68" t="s">
        <v>2125</v>
      </c>
      <c r="C878" s="68" t="s">
        <v>2146</v>
      </c>
      <c r="D878" s="68" t="s">
        <v>28</v>
      </c>
      <c r="E878" s="69">
        <v>2020</v>
      </c>
      <c r="F878" s="69">
        <v>20</v>
      </c>
      <c r="G878" s="69">
        <v>224.6</v>
      </c>
      <c r="H878" s="69">
        <v>4909</v>
      </c>
      <c r="I878" s="67"/>
      <c r="J878" s="67"/>
      <c r="K878" s="67"/>
      <c r="L878" s="67"/>
      <c r="M878" s="67"/>
      <c r="N878" s="67"/>
      <c r="O878" s="67"/>
      <c r="P878" s="67"/>
      <c r="Q878" s="67"/>
      <c r="R878" s="67"/>
      <c r="S878" s="67"/>
      <c r="T878" s="67"/>
      <c r="U878" s="67"/>
      <c r="V878" s="67"/>
      <c r="W878" s="67"/>
      <c r="X878" s="67"/>
      <c r="Y878" s="67"/>
      <c r="Z878" s="67"/>
    </row>
    <row r="879" spans="1:26" ht="12.5">
      <c r="A879" s="68" t="s">
        <v>2124</v>
      </c>
      <c r="B879" s="68" t="s">
        <v>2125</v>
      </c>
      <c r="C879" s="68" t="s">
        <v>2148</v>
      </c>
      <c r="D879" s="68" t="s">
        <v>28</v>
      </c>
      <c r="E879" s="69">
        <v>2020</v>
      </c>
      <c r="F879" s="69">
        <v>13</v>
      </c>
      <c r="G879" s="69">
        <v>171.7</v>
      </c>
      <c r="H879" s="69">
        <v>2947</v>
      </c>
      <c r="I879" s="67"/>
      <c r="J879" s="67"/>
      <c r="K879" s="67"/>
      <c r="L879" s="67"/>
      <c r="M879" s="67"/>
      <c r="N879" s="67"/>
      <c r="O879" s="67"/>
      <c r="P879" s="67"/>
      <c r="Q879" s="67"/>
      <c r="R879" s="67"/>
      <c r="S879" s="67"/>
      <c r="T879" s="67"/>
      <c r="U879" s="67"/>
      <c r="V879" s="67"/>
      <c r="W879" s="67"/>
      <c r="X879" s="67"/>
      <c r="Y879" s="67"/>
      <c r="Z879" s="67"/>
    </row>
    <row r="880" spans="1:26" ht="12.5">
      <c r="A880" s="68" t="s">
        <v>2124</v>
      </c>
      <c r="B880" s="68" t="s">
        <v>2125</v>
      </c>
      <c r="C880" s="68" t="s">
        <v>140</v>
      </c>
      <c r="D880" s="68" t="s">
        <v>28</v>
      </c>
      <c r="E880" s="69">
        <v>2020</v>
      </c>
      <c r="F880" s="69">
        <v>23</v>
      </c>
      <c r="G880" s="69">
        <v>292.3</v>
      </c>
      <c r="H880" s="69">
        <v>15172</v>
      </c>
      <c r="I880" s="67"/>
      <c r="J880" s="67"/>
      <c r="K880" s="67"/>
      <c r="L880" s="67"/>
      <c r="M880" s="67"/>
      <c r="N880" s="67"/>
      <c r="O880" s="67"/>
      <c r="P880" s="67"/>
      <c r="Q880" s="67"/>
      <c r="R880" s="67"/>
      <c r="S880" s="67"/>
      <c r="T880" s="67"/>
      <c r="U880" s="67"/>
      <c r="V880" s="67"/>
      <c r="W880" s="67"/>
      <c r="X880" s="67"/>
      <c r="Y880" s="67"/>
      <c r="Z880" s="67"/>
    </row>
    <row r="881" spans="1:26" ht="12.5">
      <c r="A881" s="68" t="s">
        <v>2124</v>
      </c>
      <c r="B881" s="68" t="s">
        <v>2125</v>
      </c>
      <c r="C881" s="68" t="s">
        <v>601</v>
      </c>
      <c r="D881" s="68" t="s">
        <v>32</v>
      </c>
      <c r="E881" s="69">
        <v>2020</v>
      </c>
      <c r="F881" s="69">
        <v>44</v>
      </c>
      <c r="G881" s="69">
        <v>802.4</v>
      </c>
      <c r="H881" s="69">
        <v>17459</v>
      </c>
      <c r="I881" s="67"/>
      <c r="J881" s="67"/>
      <c r="K881" s="67"/>
      <c r="L881" s="67"/>
      <c r="M881" s="67"/>
      <c r="N881" s="67"/>
      <c r="O881" s="67"/>
      <c r="P881" s="67"/>
      <c r="Q881" s="67"/>
      <c r="R881" s="67"/>
      <c r="S881" s="67"/>
      <c r="T881" s="67"/>
      <c r="U881" s="67"/>
      <c r="V881" s="67"/>
      <c r="W881" s="67"/>
      <c r="X881" s="67"/>
      <c r="Y881" s="67"/>
      <c r="Z881" s="67"/>
    </row>
    <row r="882" spans="1:26" ht="12.5">
      <c r="A882" s="68" t="s">
        <v>2124</v>
      </c>
      <c r="B882" s="68" t="s">
        <v>2152</v>
      </c>
      <c r="C882" s="68" t="s">
        <v>1313</v>
      </c>
      <c r="D882" s="68" t="s">
        <v>20</v>
      </c>
      <c r="E882" s="69">
        <v>2020</v>
      </c>
      <c r="F882" s="69">
        <v>42</v>
      </c>
      <c r="G882" s="69">
        <v>595.70000000000005</v>
      </c>
      <c r="H882" s="69">
        <v>21316</v>
      </c>
      <c r="I882" s="67"/>
      <c r="J882" s="67"/>
      <c r="K882" s="67"/>
      <c r="L882" s="67"/>
      <c r="M882" s="67"/>
      <c r="N882" s="67"/>
      <c r="O882" s="67"/>
      <c r="P882" s="67"/>
      <c r="Q882" s="67"/>
      <c r="R882" s="67"/>
      <c r="S882" s="67"/>
      <c r="T882" s="67"/>
      <c r="U882" s="67"/>
      <c r="V882" s="67"/>
      <c r="W882" s="67"/>
      <c r="X882" s="67"/>
      <c r="Y882" s="67"/>
      <c r="Z882" s="67"/>
    </row>
    <row r="883" spans="1:26" ht="12.5">
      <c r="A883" s="68" t="s">
        <v>2124</v>
      </c>
      <c r="B883" s="68" t="s">
        <v>2152</v>
      </c>
      <c r="C883" s="68" t="s">
        <v>2154</v>
      </c>
      <c r="D883" s="68" t="s">
        <v>20</v>
      </c>
      <c r="E883" s="69">
        <v>2020</v>
      </c>
      <c r="F883" s="69">
        <v>63</v>
      </c>
      <c r="G883" s="69">
        <v>1076.0999999999999</v>
      </c>
      <c r="H883" s="69">
        <v>68457</v>
      </c>
      <c r="I883" s="67"/>
      <c r="J883" s="67"/>
      <c r="K883" s="67"/>
      <c r="L883" s="67"/>
      <c r="M883" s="67"/>
      <c r="N883" s="67"/>
      <c r="O883" s="67"/>
      <c r="P883" s="67"/>
      <c r="Q883" s="67"/>
      <c r="R883" s="67"/>
      <c r="S883" s="67"/>
      <c r="T883" s="67"/>
      <c r="U883" s="67"/>
      <c r="V883" s="67"/>
      <c r="W883" s="67"/>
      <c r="X883" s="67"/>
      <c r="Y883" s="67"/>
      <c r="Z883" s="67"/>
    </row>
    <row r="884" spans="1:26" ht="12.5">
      <c r="A884" s="68" t="s">
        <v>2124</v>
      </c>
      <c r="B884" s="68" t="s">
        <v>2152</v>
      </c>
      <c r="C884" s="68" t="s">
        <v>2157</v>
      </c>
      <c r="D884" s="68" t="s">
        <v>32</v>
      </c>
      <c r="E884" s="69">
        <v>2020</v>
      </c>
      <c r="F884" s="69">
        <v>31</v>
      </c>
      <c r="G884" s="69">
        <v>453.1</v>
      </c>
      <c r="H884" s="69">
        <v>10010</v>
      </c>
      <c r="I884" s="67"/>
      <c r="J884" s="67"/>
      <c r="K884" s="67"/>
      <c r="L884" s="67"/>
      <c r="M884" s="67"/>
      <c r="N884" s="67"/>
      <c r="O884" s="67"/>
      <c r="P884" s="67"/>
      <c r="Q884" s="67"/>
      <c r="R884" s="67"/>
      <c r="S884" s="67"/>
      <c r="T884" s="67"/>
      <c r="U884" s="67"/>
      <c r="V884" s="67"/>
      <c r="W884" s="67"/>
      <c r="X884" s="67"/>
      <c r="Y884" s="67"/>
      <c r="Z884" s="67"/>
    </row>
    <row r="885" spans="1:26" ht="12.5">
      <c r="A885" s="68" t="s">
        <v>2124</v>
      </c>
      <c r="B885" s="68" t="s">
        <v>2152</v>
      </c>
      <c r="C885" s="68" t="s">
        <v>2159</v>
      </c>
      <c r="D885" s="68" t="s">
        <v>32</v>
      </c>
      <c r="E885" s="69">
        <v>2020</v>
      </c>
      <c r="F885" s="69">
        <v>33</v>
      </c>
      <c r="G885" s="69">
        <v>755.4</v>
      </c>
      <c r="H885" s="69">
        <v>15441</v>
      </c>
      <c r="I885" s="67"/>
      <c r="J885" s="67"/>
      <c r="K885" s="67"/>
      <c r="L885" s="67"/>
      <c r="M885" s="67"/>
      <c r="N885" s="67"/>
      <c r="O885" s="67"/>
      <c r="P885" s="67"/>
      <c r="Q885" s="67"/>
      <c r="R885" s="67"/>
      <c r="S885" s="67"/>
      <c r="T885" s="67"/>
      <c r="U885" s="67"/>
      <c r="V885" s="67"/>
      <c r="W885" s="67"/>
      <c r="X885" s="67"/>
      <c r="Y885" s="67"/>
      <c r="Z885" s="67"/>
    </row>
    <row r="886" spans="1:26" ht="12.5">
      <c r="A886" s="68" t="s">
        <v>2124</v>
      </c>
      <c r="B886" s="68" t="s">
        <v>2152</v>
      </c>
      <c r="C886" s="68" t="s">
        <v>2162</v>
      </c>
      <c r="D886" s="68" t="s">
        <v>20</v>
      </c>
      <c r="E886" s="69">
        <v>2020</v>
      </c>
      <c r="F886" s="69">
        <v>46</v>
      </c>
      <c r="G886" s="69">
        <v>923.3</v>
      </c>
      <c r="H886" s="69">
        <v>30135</v>
      </c>
      <c r="I886" s="67"/>
      <c r="J886" s="67"/>
      <c r="K886" s="67"/>
      <c r="L886" s="67"/>
      <c r="M886" s="67"/>
      <c r="N886" s="67"/>
      <c r="O886" s="67"/>
      <c r="P886" s="67"/>
      <c r="Q886" s="67"/>
      <c r="R886" s="67"/>
      <c r="S886" s="67"/>
      <c r="T886" s="67"/>
      <c r="U886" s="67"/>
      <c r="V886" s="67"/>
      <c r="W886" s="67"/>
      <c r="X886" s="67"/>
      <c r="Y886" s="67"/>
      <c r="Z886" s="67"/>
    </row>
    <row r="887" spans="1:26" ht="12.5">
      <c r="A887" s="68" t="s">
        <v>2124</v>
      </c>
      <c r="B887" s="68" t="s">
        <v>2152</v>
      </c>
      <c r="C887" s="68" t="s">
        <v>2164</v>
      </c>
      <c r="D887" s="68" t="s">
        <v>20</v>
      </c>
      <c r="E887" s="69">
        <v>2020</v>
      </c>
      <c r="F887" s="69">
        <v>93</v>
      </c>
      <c r="G887" s="69">
        <v>1062.4000000000001</v>
      </c>
      <c r="H887" s="69">
        <v>32191</v>
      </c>
      <c r="I887" s="67"/>
      <c r="J887" s="67"/>
      <c r="K887" s="67"/>
      <c r="L887" s="67"/>
      <c r="M887" s="67"/>
      <c r="N887" s="67"/>
      <c r="O887" s="67"/>
      <c r="P887" s="67"/>
      <c r="Q887" s="67"/>
      <c r="R887" s="67"/>
      <c r="S887" s="67"/>
      <c r="T887" s="67"/>
      <c r="U887" s="67"/>
      <c r="V887" s="67"/>
      <c r="W887" s="67"/>
      <c r="X887" s="67"/>
      <c r="Y887" s="67"/>
      <c r="Z887" s="67"/>
    </row>
    <row r="888" spans="1:26" ht="12.5">
      <c r="A888" s="68" t="s">
        <v>2124</v>
      </c>
      <c r="B888" s="68" t="s">
        <v>2152</v>
      </c>
      <c r="C888" s="68" t="s">
        <v>2167</v>
      </c>
      <c r="D888" s="68" t="s">
        <v>32</v>
      </c>
      <c r="E888" s="69">
        <v>2020</v>
      </c>
      <c r="F888" s="69">
        <v>37</v>
      </c>
      <c r="G888" s="69">
        <v>621.79999999999995</v>
      </c>
      <c r="H888" s="69">
        <v>9988</v>
      </c>
      <c r="I888" s="67"/>
      <c r="J888" s="67"/>
      <c r="K888" s="67"/>
      <c r="L888" s="67"/>
      <c r="M888" s="67"/>
      <c r="N888" s="67"/>
      <c r="O888" s="67"/>
      <c r="P888" s="67"/>
      <c r="Q888" s="67"/>
      <c r="R888" s="67"/>
      <c r="S888" s="67"/>
      <c r="T888" s="67"/>
      <c r="U888" s="67"/>
      <c r="V888" s="67"/>
      <c r="W888" s="67"/>
      <c r="X888" s="67"/>
      <c r="Y888" s="67"/>
      <c r="Z888" s="67"/>
    </row>
    <row r="889" spans="1:26" ht="12.5">
      <c r="A889" s="68" t="s">
        <v>2124</v>
      </c>
      <c r="B889" s="68" t="s">
        <v>2169</v>
      </c>
      <c r="C889" s="68" t="s">
        <v>1307</v>
      </c>
      <c r="D889" s="68" t="s">
        <v>28</v>
      </c>
      <c r="E889" s="69">
        <v>2020</v>
      </c>
      <c r="F889" s="69">
        <v>29</v>
      </c>
      <c r="G889" s="69">
        <v>313.2</v>
      </c>
      <c r="H889" s="69">
        <v>5278</v>
      </c>
      <c r="I889" s="67"/>
      <c r="J889" s="67"/>
      <c r="K889" s="67"/>
      <c r="L889" s="67"/>
      <c r="M889" s="67"/>
      <c r="N889" s="67"/>
      <c r="O889" s="67"/>
      <c r="P889" s="67"/>
      <c r="Q889" s="67"/>
      <c r="R889" s="67"/>
      <c r="S889" s="67"/>
      <c r="T889" s="67"/>
      <c r="U889" s="67"/>
      <c r="V889" s="67"/>
      <c r="W889" s="67"/>
      <c r="X889" s="67"/>
      <c r="Y889" s="67"/>
      <c r="Z889" s="67"/>
    </row>
    <row r="890" spans="1:26" ht="12.5">
      <c r="A890" s="68" t="s">
        <v>2124</v>
      </c>
      <c r="B890" s="68" t="s">
        <v>2169</v>
      </c>
      <c r="C890" s="68" t="s">
        <v>2171</v>
      </c>
      <c r="D890" s="68" t="s">
        <v>32</v>
      </c>
      <c r="E890" s="69">
        <v>2020</v>
      </c>
      <c r="F890" s="69">
        <v>29</v>
      </c>
      <c r="G890" s="69">
        <v>415.7</v>
      </c>
      <c r="H890" s="69">
        <v>11149</v>
      </c>
      <c r="I890" s="67"/>
      <c r="J890" s="67"/>
      <c r="K890" s="67"/>
      <c r="L890" s="67"/>
      <c r="M890" s="67"/>
      <c r="N890" s="67"/>
      <c r="O890" s="67"/>
      <c r="P890" s="67"/>
      <c r="Q890" s="67"/>
      <c r="R890" s="67"/>
      <c r="S890" s="67"/>
      <c r="T890" s="67"/>
      <c r="U890" s="67"/>
      <c r="V890" s="67"/>
      <c r="W890" s="67"/>
      <c r="X890" s="67"/>
      <c r="Y890" s="67"/>
      <c r="Z890" s="67"/>
    </row>
    <row r="891" spans="1:26" ht="12.5">
      <c r="A891" s="68" t="s">
        <v>2124</v>
      </c>
      <c r="B891" s="68" t="s">
        <v>2169</v>
      </c>
      <c r="C891" s="68" t="s">
        <v>2173</v>
      </c>
      <c r="D891" s="68" t="s">
        <v>28</v>
      </c>
      <c r="E891" s="69">
        <v>2020</v>
      </c>
      <c r="F891" s="69">
        <v>20</v>
      </c>
      <c r="G891" s="69">
        <v>396</v>
      </c>
      <c r="H891" s="69">
        <v>7016</v>
      </c>
      <c r="I891" s="67"/>
      <c r="J891" s="67"/>
      <c r="K891" s="67"/>
      <c r="L891" s="67"/>
      <c r="M891" s="67"/>
      <c r="N891" s="67"/>
      <c r="O891" s="67"/>
      <c r="P891" s="67"/>
      <c r="Q891" s="67"/>
      <c r="R891" s="67"/>
      <c r="S891" s="67"/>
      <c r="T891" s="67"/>
      <c r="U891" s="67"/>
      <c r="V891" s="67"/>
      <c r="W891" s="67"/>
      <c r="X891" s="67"/>
      <c r="Y891" s="67"/>
      <c r="Z891" s="67"/>
    </row>
    <row r="892" spans="1:26" ht="12.5">
      <c r="A892" s="68" t="s">
        <v>2124</v>
      </c>
      <c r="B892" s="68" t="s">
        <v>2169</v>
      </c>
      <c r="C892" s="68" t="s">
        <v>2175</v>
      </c>
      <c r="D892" s="68" t="s">
        <v>28</v>
      </c>
      <c r="E892" s="69">
        <v>2020</v>
      </c>
      <c r="F892" s="69">
        <v>21</v>
      </c>
      <c r="G892" s="69">
        <v>408.3</v>
      </c>
      <c r="H892" s="69">
        <v>7256</v>
      </c>
      <c r="I892" s="67"/>
      <c r="J892" s="67"/>
      <c r="K892" s="67"/>
      <c r="L892" s="67"/>
      <c r="M892" s="67"/>
      <c r="N892" s="67"/>
      <c r="O892" s="67"/>
      <c r="P892" s="67"/>
      <c r="Q892" s="67"/>
      <c r="R892" s="67"/>
      <c r="S892" s="67"/>
      <c r="T892" s="67"/>
      <c r="U892" s="67"/>
      <c r="V892" s="67"/>
      <c r="W892" s="67"/>
      <c r="X892" s="67"/>
      <c r="Y892" s="67"/>
      <c r="Z892" s="67"/>
    </row>
    <row r="893" spans="1:26" ht="12.5">
      <c r="A893" s="68" t="s">
        <v>2124</v>
      </c>
      <c r="B893" s="68" t="s">
        <v>2169</v>
      </c>
      <c r="C893" s="68" t="s">
        <v>2177</v>
      </c>
      <c r="D893" s="68" t="s">
        <v>20</v>
      </c>
      <c r="E893" s="69">
        <v>2020</v>
      </c>
      <c r="F893" s="69">
        <v>21</v>
      </c>
      <c r="G893" s="69">
        <v>205</v>
      </c>
      <c r="H893" s="69">
        <v>26975</v>
      </c>
      <c r="I893" s="67"/>
      <c r="J893" s="67"/>
      <c r="K893" s="67"/>
      <c r="L893" s="67"/>
      <c r="M893" s="67"/>
      <c r="N893" s="67"/>
      <c r="O893" s="67"/>
      <c r="P893" s="67"/>
      <c r="Q893" s="67"/>
      <c r="R893" s="67"/>
      <c r="S893" s="67"/>
      <c r="T893" s="67"/>
      <c r="U893" s="67"/>
      <c r="V893" s="67"/>
      <c r="W893" s="67"/>
      <c r="X893" s="67"/>
      <c r="Y893" s="67"/>
      <c r="Z893" s="67"/>
    </row>
    <row r="894" spans="1:26" ht="12.5">
      <c r="A894" s="68" t="s">
        <v>2124</v>
      </c>
      <c r="B894" s="68" t="s">
        <v>2169</v>
      </c>
      <c r="C894" s="68" t="s">
        <v>2180</v>
      </c>
      <c r="D894" s="68" t="s">
        <v>32</v>
      </c>
      <c r="E894" s="69">
        <v>2020</v>
      </c>
      <c r="F894" s="69">
        <v>10</v>
      </c>
      <c r="G894" s="69">
        <v>189.1</v>
      </c>
      <c r="H894" s="69">
        <v>5404</v>
      </c>
      <c r="I894" s="67"/>
      <c r="J894" s="67"/>
      <c r="K894" s="67"/>
      <c r="L894" s="67"/>
      <c r="M894" s="67"/>
      <c r="N894" s="67"/>
      <c r="O894" s="67"/>
      <c r="P894" s="67"/>
      <c r="Q894" s="67"/>
      <c r="R894" s="67"/>
      <c r="S894" s="67"/>
      <c r="T894" s="67"/>
      <c r="U894" s="67"/>
      <c r="V894" s="67"/>
      <c r="W894" s="67"/>
      <c r="X894" s="67"/>
      <c r="Y894" s="67"/>
      <c r="Z894" s="67"/>
    </row>
    <row r="895" spans="1:26" ht="12.5">
      <c r="A895" s="68" t="s">
        <v>2124</v>
      </c>
      <c r="B895" s="68" t="s">
        <v>2169</v>
      </c>
      <c r="C895" s="68" t="s">
        <v>2182</v>
      </c>
      <c r="D895" s="68" t="s">
        <v>20</v>
      </c>
      <c r="E895" s="69">
        <v>2020</v>
      </c>
      <c r="F895" s="69">
        <v>11</v>
      </c>
      <c r="G895" s="69">
        <v>200</v>
      </c>
      <c r="H895" s="69">
        <v>11324</v>
      </c>
      <c r="I895" s="67"/>
      <c r="J895" s="67"/>
      <c r="K895" s="67"/>
      <c r="L895" s="67"/>
      <c r="M895" s="67"/>
      <c r="N895" s="67"/>
      <c r="O895" s="67"/>
      <c r="P895" s="67"/>
      <c r="Q895" s="67"/>
      <c r="R895" s="67"/>
      <c r="S895" s="67"/>
      <c r="T895" s="67"/>
      <c r="U895" s="67"/>
      <c r="V895" s="67"/>
      <c r="W895" s="67"/>
      <c r="X895" s="67"/>
      <c r="Y895" s="67"/>
      <c r="Z895" s="67"/>
    </row>
    <row r="896" spans="1:26" ht="12.5">
      <c r="A896" s="68" t="s">
        <v>2124</v>
      </c>
      <c r="B896" s="68" t="s">
        <v>2169</v>
      </c>
      <c r="C896" s="68" t="s">
        <v>2185</v>
      </c>
      <c r="D896" s="68" t="s">
        <v>32</v>
      </c>
      <c r="E896" s="69">
        <v>2020</v>
      </c>
      <c r="F896" s="69">
        <v>38</v>
      </c>
      <c r="G896" s="69">
        <v>522.4</v>
      </c>
      <c r="H896" s="69">
        <v>8333</v>
      </c>
      <c r="I896" s="67"/>
      <c r="J896" s="67"/>
      <c r="K896" s="67"/>
      <c r="L896" s="67"/>
      <c r="M896" s="67"/>
      <c r="N896" s="67"/>
      <c r="O896" s="67"/>
      <c r="P896" s="67"/>
      <c r="Q896" s="67"/>
      <c r="R896" s="67"/>
      <c r="S896" s="67"/>
      <c r="T896" s="67"/>
      <c r="U896" s="67"/>
      <c r="V896" s="67"/>
      <c r="W896" s="67"/>
      <c r="X896" s="67"/>
      <c r="Y896" s="67"/>
      <c r="Z896" s="67"/>
    </row>
    <row r="897" spans="1:26" ht="12.5">
      <c r="A897" s="68" t="s">
        <v>2124</v>
      </c>
      <c r="B897" s="68" t="s">
        <v>2169</v>
      </c>
      <c r="C897" s="68" t="s">
        <v>2188</v>
      </c>
      <c r="D897" s="68" t="s">
        <v>28</v>
      </c>
      <c r="E897" s="69">
        <v>2020</v>
      </c>
      <c r="F897" s="69">
        <v>19</v>
      </c>
      <c r="G897" s="69">
        <v>244</v>
      </c>
      <c r="H897" s="69">
        <v>4067</v>
      </c>
      <c r="I897" s="67"/>
      <c r="J897" s="67"/>
      <c r="K897" s="67"/>
      <c r="L897" s="67"/>
      <c r="M897" s="67"/>
      <c r="N897" s="67"/>
      <c r="O897" s="67"/>
      <c r="P897" s="67"/>
      <c r="Q897" s="67"/>
      <c r="R897" s="67"/>
      <c r="S897" s="67"/>
      <c r="T897" s="67"/>
      <c r="U897" s="67"/>
      <c r="V897" s="67"/>
      <c r="W897" s="67"/>
      <c r="X897" s="67"/>
      <c r="Y897" s="67"/>
      <c r="Z897" s="67"/>
    </row>
    <row r="898" spans="1:26" ht="12.5">
      <c r="A898" s="68" t="s">
        <v>2124</v>
      </c>
      <c r="B898" s="68" t="s">
        <v>2169</v>
      </c>
      <c r="C898" s="68" t="s">
        <v>2190</v>
      </c>
      <c r="D898" s="68" t="s">
        <v>20</v>
      </c>
      <c r="E898" s="69">
        <v>2020</v>
      </c>
      <c r="F898" s="69">
        <v>50</v>
      </c>
      <c r="G898" s="69">
        <v>819.5</v>
      </c>
      <c r="H898" s="69">
        <v>22187</v>
      </c>
      <c r="I898" s="67"/>
      <c r="J898" s="67"/>
      <c r="K898" s="67"/>
      <c r="L898" s="67"/>
      <c r="M898" s="67"/>
      <c r="N898" s="67"/>
      <c r="O898" s="67"/>
      <c r="P898" s="67"/>
      <c r="Q898" s="67"/>
      <c r="R898" s="67"/>
      <c r="S898" s="67"/>
      <c r="T898" s="67"/>
      <c r="U898" s="67"/>
      <c r="V898" s="67"/>
      <c r="W898" s="67"/>
      <c r="X898" s="67"/>
      <c r="Y898" s="67"/>
      <c r="Z898" s="67"/>
    </row>
    <row r="899" spans="1:26" ht="12.5">
      <c r="A899" s="68" t="s">
        <v>2124</v>
      </c>
      <c r="B899" s="68" t="s">
        <v>2169</v>
      </c>
      <c r="C899" s="68" t="s">
        <v>2192</v>
      </c>
      <c r="D899" s="68" t="s">
        <v>28</v>
      </c>
      <c r="E899" s="69">
        <v>2020</v>
      </c>
      <c r="F899" s="69">
        <v>12</v>
      </c>
      <c r="G899" s="69">
        <v>374.3</v>
      </c>
      <c r="H899" s="69">
        <v>5152</v>
      </c>
      <c r="I899" s="67"/>
      <c r="J899" s="67"/>
      <c r="K899" s="67"/>
      <c r="L899" s="67"/>
      <c r="M899" s="67"/>
      <c r="N899" s="67"/>
      <c r="O899" s="67"/>
      <c r="P899" s="67"/>
      <c r="Q899" s="67"/>
      <c r="R899" s="67"/>
      <c r="S899" s="67"/>
      <c r="T899" s="67"/>
      <c r="U899" s="67"/>
      <c r="V899" s="67"/>
      <c r="W899" s="67"/>
      <c r="X899" s="67"/>
      <c r="Y899" s="67"/>
      <c r="Z899" s="67"/>
    </row>
    <row r="900" spans="1:26" ht="12.5">
      <c r="A900" s="68" t="s">
        <v>2124</v>
      </c>
      <c r="B900" s="68" t="s">
        <v>2169</v>
      </c>
      <c r="C900" s="68" t="s">
        <v>2195</v>
      </c>
      <c r="D900" s="68" t="s">
        <v>20</v>
      </c>
      <c r="E900" s="69">
        <v>2020</v>
      </c>
      <c r="F900" s="69">
        <v>37</v>
      </c>
      <c r="G900" s="69">
        <v>632.1</v>
      </c>
      <c r="H900" s="69">
        <v>49595</v>
      </c>
      <c r="I900" s="67"/>
      <c r="J900" s="67"/>
      <c r="K900" s="67"/>
      <c r="L900" s="67"/>
      <c r="M900" s="67"/>
      <c r="N900" s="67"/>
      <c r="O900" s="67"/>
      <c r="P900" s="67"/>
      <c r="Q900" s="67"/>
      <c r="R900" s="67"/>
      <c r="S900" s="67"/>
      <c r="T900" s="67"/>
      <c r="U900" s="67"/>
      <c r="V900" s="67"/>
      <c r="W900" s="67"/>
      <c r="X900" s="67"/>
      <c r="Y900" s="67"/>
      <c r="Z900" s="67"/>
    </row>
    <row r="901" spans="1:26" ht="12.5">
      <c r="A901" s="68" t="s">
        <v>2124</v>
      </c>
      <c r="B901" s="68" t="s">
        <v>2169</v>
      </c>
      <c r="C901" s="68" t="s">
        <v>2198</v>
      </c>
      <c r="D901" s="68" t="s">
        <v>28</v>
      </c>
      <c r="E901" s="69">
        <v>2020</v>
      </c>
      <c r="F901" s="69">
        <v>10</v>
      </c>
      <c r="G901" s="69">
        <v>209.7</v>
      </c>
      <c r="H901" s="69">
        <v>4204</v>
      </c>
      <c r="I901" s="67"/>
      <c r="J901" s="67"/>
      <c r="K901" s="67"/>
      <c r="L901" s="67"/>
      <c r="M901" s="67"/>
      <c r="N901" s="67"/>
      <c r="O901" s="67"/>
      <c r="P901" s="67"/>
      <c r="Q901" s="67"/>
      <c r="R901" s="67"/>
      <c r="S901" s="67"/>
      <c r="T901" s="67"/>
      <c r="U901" s="67"/>
      <c r="V901" s="67"/>
      <c r="W901" s="67"/>
      <c r="X901" s="67"/>
      <c r="Y901" s="67"/>
      <c r="Z901" s="67"/>
    </row>
    <row r="902" spans="1:26" ht="12.5">
      <c r="A902" s="68" t="s">
        <v>2124</v>
      </c>
      <c r="B902" s="68" t="s">
        <v>2169</v>
      </c>
      <c r="C902" s="68" t="s">
        <v>2200</v>
      </c>
      <c r="D902" s="68" t="s">
        <v>32</v>
      </c>
      <c r="E902" s="69">
        <v>2020</v>
      </c>
      <c r="F902" s="69">
        <v>7</v>
      </c>
      <c r="G902" s="69">
        <v>88.6</v>
      </c>
      <c r="H902" s="69">
        <v>4904</v>
      </c>
      <c r="I902" s="67"/>
      <c r="J902" s="67"/>
      <c r="K902" s="67"/>
      <c r="L902" s="67"/>
      <c r="M902" s="67"/>
      <c r="N902" s="67"/>
      <c r="O902" s="67"/>
      <c r="P902" s="67"/>
      <c r="Q902" s="67"/>
      <c r="R902" s="67"/>
      <c r="S902" s="67"/>
      <c r="T902" s="67"/>
      <c r="U902" s="67"/>
      <c r="V902" s="67"/>
      <c r="W902" s="67"/>
      <c r="X902" s="67"/>
      <c r="Y902" s="67"/>
      <c r="Z902" s="67"/>
    </row>
    <row r="903" spans="1:26" ht="12.5">
      <c r="A903" s="68" t="s">
        <v>2124</v>
      </c>
      <c r="B903" s="68" t="s">
        <v>2169</v>
      </c>
      <c r="C903" s="68" t="s">
        <v>2202</v>
      </c>
      <c r="D903" s="68" t="s">
        <v>28</v>
      </c>
      <c r="E903" s="69">
        <v>2020</v>
      </c>
      <c r="F903" s="69">
        <v>23</v>
      </c>
      <c r="G903" s="69">
        <v>354.8</v>
      </c>
      <c r="H903" s="69">
        <v>7696</v>
      </c>
      <c r="I903" s="67"/>
      <c r="J903" s="67"/>
      <c r="K903" s="67"/>
      <c r="L903" s="67"/>
      <c r="M903" s="67"/>
      <c r="N903" s="67"/>
      <c r="O903" s="67"/>
      <c r="P903" s="67"/>
      <c r="Q903" s="67"/>
      <c r="R903" s="67"/>
      <c r="S903" s="67"/>
      <c r="T903" s="67"/>
      <c r="U903" s="67"/>
      <c r="V903" s="67"/>
      <c r="W903" s="67"/>
      <c r="X903" s="67"/>
      <c r="Y903" s="67"/>
      <c r="Z903" s="67"/>
    </row>
    <row r="904" spans="1:26" ht="12.5">
      <c r="A904" s="68" t="s">
        <v>2124</v>
      </c>
      <c r="B904" s="68" t="s">
        <v>2169</v>
      </c>
      <c r="C904" s="68" t="s">
        <v>2005</v>
      </c>
      <c r="D904" s="68" t="s">
        <v>28</v>
      </c>
      <c r="E904" s="69">
        <v>2020</v>
      </c>
      <c r="F904" s="69">
        <v>13</v>
      </c>
      <c r="G904" s="69">
        <v>168.1</v>
      </c>
      <c r="H904" s="69">
        <v>2720</v>
      </c>
      <c r="I904" s="67"/>
      <c r="J904" s="67"/>
      <c r="K904" s="67"/>
      <c r="L904" s="67"/>
      <c r="M904" s="67"/>
      <c r="N904" s="67"/>
      <c r="O904" s="67"/>
      <c r="P904" s="67"/>
      <c r="Q904" s="67"/>
      <c r="R904" s="67"/>
      <c r="S904" s="67"/>
      <c r="T904" s="67"/>
      <c r="U904" s="67"/>
      <c r="V904" s="67"/>
      <c r="W904" s="67"/>
      <c r="X904" s="67"/>
      <c r="Y904" s="67"/>
      <c r="Z904" s="67"/>
    </row>
    <row r="905" spans="1:26" ht="12.5">
      <c r="A905" s="68" t="s">
        <v>2124</v>
      </c>
      <c r="B905" s="68" t="s">
        <v>2169</v>
      </c>
      <c r="C905" s="68" t="s">
        <v>2205</v>
      </c>
      <c r="D905" s="68" t="s">
        <v>32</v>
      </c>
      <c r="E905" s="69">
        <v>2020</v>
      </c>
      <c r="F905" s="69">
        <v>75</v>
      </c>
      <c r="G905" s="69">
        <v>754.7</v>
      </c>
      <c r="H905" s="69">
        <v>18468</v>
      </c>
      <c r="I905" s="67"/>
      <c r="J905" s="67"/>
      <c r="K905" s="67"/>
      <c r="L905" s="67"/>
      <c r="M905" s="67"/>
      <c r="N905" s="67"/>
      <c r="O905" s="67"/>
      <c r="P905" s="67"/>
      <c r="Q905" s="67"/>
      <c r="R905" s="67"/>
      <c r="S905" s="67"/>
      <c r="T905" s="67"/>
      <c r="U905" s="67"/>
      <c r="V905" s="67"/>
      <c r="W905" s="67"/>
      <c r="X905" s="67"/>
      <c r="Y905" s="67"/>
      <c r="Z905" s="67"/>
    </row>
    <row r="906" spans="1:26" ht="12.5">
      <c r="A906" s="68" t="s">
        <v>2124</v>
      </c>
      <c r="B906" s="68" t="s">
        <v>2207</v>
      </c>
      <c r="C906" s="68" t="s">
        <v>2208</v>
      </c>
      <c r="D906" s="68" t="s">
        <v>32</v>
      </c>
      <c r="E906" s="69">
        <v>2020</v>
      </c>
      <c r="F906" s="69">
        <v>27</v>
      </c>
      <c r="G906" s="69">
        <v>391.2</v>
      </c>
      <c r="H906" s="69">
        <v>11492</v>
      </c>
      <c r="I906" s="67"/>
      <c r="J906" s="67"/>
      <c r="K906" s="67"/>
      <c r="L906" s="67"/>
      <c r="M906" s="67"/>
      <c r="N906" s="67"/>
      <c r="O906" s="67"/>
      <c r="P906" s="67"/>
      <c r="Q906" s="67"/>
      <c r="R906" s="67"/>
      <c r="S906" s="67"/>
      <c r="T906" s="67"/>
      <c r="U906" s="67"/>
      <c r="V906" s="67"/>
      <c r="W906" s="67"/>
      <c r="X906" s="67"/>
      <c r="Y906" s="67"/>
      <c r="Z906" s="67"/>
    </row>
    <row r="907" spans="1:26" ht="12.5">
      <c r="A907" s="68" t="s">
        <v>2124</v>
      </c>
      <c r="B907" s="68" t="s">
        <v>2207</v>
      </c>
      <c r="C907" s="68" t="s">
        <v>2211</v>
      </c>
      <c r="D907" s="68" t="s">
        <v>28</v>
      </c>
      <c r="E907" s="69">
        <v>2020</v>
      </c>
      <c r="F907" s="69">
        <v>29</v>
      </c>
      <c r="G907" s="69">
        <v>393.3</v>
      </c>
      <c r="H907" s="69">
        <v>4438</v>
      </c>
      <c r="I907" s="67"/>
      <c r="J907" s="67"/>
      <c r="K907" s="67"/>
      <c r="L907" s="67"/>
      <c r="M907" s="67"/>
      <c r="N907" s="67"/>
      <c r="O907" s="67"/>
      <c r="P907" s="67"/>
      <c r="Q907" s="67"/>
      <c r="R907" s="67"/>
      <c r="S907" s="67"/>
      <c r="T907" s="67"/>
      <c r="U907" s="67"/>
      <c r="V907" s="67"/>
      <c r="W907" s="67"/>
      <c r="X907" s="67"/>
      <c r="Y907" s="67"/>
      <c r="Z907" s="67"/>
    </row>
    <row r="908" spans="1:26" ht="12.5">
      <c r="A908" s="68" t="s">
        <v>2124</v>
      </c>
      <c r="B908" s="68" t="s">
        <v>2207</v>
      </c>
      <c r="C908" s="68" t="s">
        <v>2214</v>
      </c>
      <c r="D908" s="68" t="s">
        <v>32</v>
      </c>
      <c r="E908" s="69">
        <v>2020</v>
      </c>
      <c r="F908" s="69">
        <v>58</v>
      </c>
      <c r="G908" s="69">
        <v>682.2</v>
      </c>
      <c r="H908" s="69">
        <v>17937</v>
      </c>
      <c r="I908" s="67"/>
      <c r="J908" s="67"/>
      <c r="K908" s="67"/>
      <c r="L908" s="67"/>
      <c r="M908" s="67"/>
      <c r="N908" s="67"/>
      <c r="O908" s="67"/>
      <c r="P908" s="67"/>
      <c r="Q908" s="67"/>
      <c r="R908" s="67"/>
      <c r="S908" s="67"/>
      <c r="T908" s="67"/>
      <c r="U908" s="67"/>
      <c r="V908" s="67"/>
      <c r="W908" s="67"/>
      <c r="X908" s="67"/>
      <c r="Y908" s="67"/>
      <c r="Z908" s="67"/>
    </row>
    <row r="909" spans="1:26" ht="12.5">
      <c r="A909" s="68" t="s">
        <v>2124</v>
      </c>
      <c r="B909" s="68" t="s">
        <v>2207</v>
      </c>
      <c r="C909" s="68" t="s">
        <v>2217</v>
      </c>
      <c r="D909" s="68" t="s">
        <v>28</v>
      </c>
      <c r="E909" s="69">
        <v>2020</v>
      </c>
      <c r="F909" s="69">
        <v>16</v>
      </c>
      <c r="G909" s="69">
        <v>246.1</v>
      </c>
      <c r="H909" s="69">
        <v>4126</v>
      </c>
      <c r="I909" s="67"/>
      <c r="J909" s="67"/>
      <c r="K909" s="67"/>
      <c r="L909" s="67"/>
      <c r="M909" s="67"/>
      <c r="N909" s="67"/>
      <c r="O909" s="67"/>
      <c r="P909" s="67"/>
      <c r="Q909" s="67"/>
      <c r="R909" s="67"/>
      <c r="S909" s="67"/>
      <c r="T909" s="67"/>
      <c r="U909" s="67"/>
      <c r="V909" s="67"/>
      <c r="W909" s="67"/>
      <c r="X909" s="67"/>
      <c r="Y909" s="67"/>
      <c r="Z909" s="67"/>
    </row>
    <row r="910" spans="1:26" ht="12.5">
      <c r="A910" s="68" t="s">
        <v>2124</v>
      </c>
      <c r="B910" s="68" t="s">
        <v>2207</v>
      </c>
      <c r="C910" s="68" t="s">
        <v>2219</v>
      </c>
      <c r="D910" s="68" t="s">
        <v>20</v>
      </c>
      <c r="E910" s="69">
        <v>2020</v>
      </c>
      <c r="F910" s="69">
        <v>84</v>
      </c>
      <c r="G910" s="69">
        <v>1051.8</v>
      </c>
      <c r="H910" s="69">
        <v>24000</v>
      </c>
      <c r="I910" s="67"/>
      <c r="J910" s="67"/>
      <c r="K910" s="67"/>
      <c r="L910" s="67"/>
      <c r="M910" s="67"/>
      <c r="N910" s="67"/>
      <c r="O910" s="67"/>
      <c r="P910" s="67"/>
      <c r="Q910" s="67"/>
      <c r="R910" s="67"/>
      <c r="S910" s="67"/>
      <c r="T910" s="67"/>
      <c r="U910" s="67"/>
      <c r="V910" s="67"/>
      <c r="W910" s="67"/>
      <c r="X910" s="67"/>
      <c r="Y910" s="67"/>
      <c r="Z910" s="67"/>
    </row>
    <row r="911" spans="1:26" ht="12.5">
      <c r="A911" s="68" t="s">
        <v>2124</v>
      </c>
      <c r="B911" s="68" t="s">
        <v>2207</v>
      </c>
      <c r="C911" s="68" t="s">
        <v>2221</v>
      </c>
      <c r="D911" s="68" t="s">
        <v>20</v>
      </c>
      <c r="E911" s="69">
        <v>2020</v>
      </c>
      <c r="F911" s="69">
        <v>17</v>
      </c>
      <c r="G911" s="69">
        <v>331.2</v>
      </c>
      <c r="H911" s="69">
        <v>20492</v>
      </c>
      <c r="I911" s="67"/>
      <c r="J911" s="67"/>
      <c r="K911" s="67"/>
      <c r="L911" s="67"/>
      <c r="M911" s="67"/>
      <c r="N911" s="67"/>
      <c r="O911" s="67"/>
      <c r="P911" s="67"/>
      <c r="Q911" s="67"/>
      <c r="R911" s="67"/>
      <c r="S911" s="67"/>
      <c r="T911" s="67"/>
      <c r="U911" s="67"/>
      <c r="V911" s="67"/>
      <c r="W911" s="67"/>
      <c r="X911" s="67"/>
      <c r="Y911" s="67"/>
      <c r="Z911" s="67"/>
    </row>
    <row r="912" spans="1:26" ht="12.5">
      <c r="A912" s="68" t="s">
        <v>2124</v>
      </c>
      <c r="B912" s="68" t="s">
        <v>2207</v>
      </c>
      <c r="C912" s="68" t="s">
        <v>2224</v>
      </c>
      <c r="D912" s="68" t="s">
        <v>20</v>
      </c>
      <c r="E912" s="69">
        <v>2020</v>
      </c>
      <c r="F912" s="69">
        <v>63</v>
      </c>
      <c r="G912" s="69">
        <v>1218.9000000000001</v>
      </c>
      <c r="H912" s="69">
        <v>25978</v>
      </c>
      <c r="I912" s="67"/>
      <c r="J912" s="67"/>
      <c r="K912" s="67"/>
      <c r="L912" s="67"/>
      <c r="M912" s="67"/>
      <c r="N912" s="67"/>
      <c r="O912" s="67"/>
      <c r="P912" s="67"/>
      <c r="Q912" s="67"/>
      <c r="R912" s="67"/>
      <c r="S912" s="67"/>
      <c r="T912" s="67"/>
      <c r="U912" s="67"/>
      <c r="V912" s="67"/>
      <c r="W912" s="67"/>
      <c r="X912" s="67"/>
      <c r="Y912" s="67"/>
      <c r="Z912" s="67"/>
    </row>
    <row r="913" spans="1:26" ht="12.5">
      <c r="A913" s="68" t="s">
        <v>2124</v>
      </c>
      <c r="B913" s="68" t="s">
        <v>2207</v>
      </c>
      <c r="C913" s="68" t="s">
        <v>2227</v>
      </c>
      <c r="D913" s="68" t="s">
        <v>28</v>
      </c>
      <c r="E913" s="69">
        <v>2020</v>
      </c>
      <c r="F913" s="69">
        <v>11</v>
      </c>
      <c r="G913" s="69">
        <v>191.7</v>
      </c>
      <c r="H913" s="69">
        <v>4957</v>
      </c>
      <c r="I913" s="67"/>
      <c r="J913" s="67"/>
      <c r="K913" s="67"/>
      <c r="L913" s="67"/>
      <c r="M913" s="67"/>
      <c r="N913" s="67"/>
      <c r="O913" s="67"/>
      <c r="P913" s="67"/>
      <c r="Q913" s="67"/>
      <c r="R913" s="67"/>
      <c r="S913" s="67"/>
      <c r="T913" s="67"/>
      <c r="U913" s="67"/>
      <c r="V913" s="67"/>
      <c r="W913" s="67"/>
      <c r="X913" s="67"/>
      <c r="Y913" s="67"/>
      <c r="Z913" s="67"/>
    </row>
    <row r="914" spans="1:26" ht="12.5">
      <c r="A914" s="68" t="s">
        <v>2124</v>
      </c>
      <c r="B914" s="68" t="s">
        <v>2207</v>
      </c>
      <c r="C914" s="68" t="s">
        <v>2229</v>
      </c>
      <c r="D914" s="68" t="s">
        <v>32</v>
      </c>
      <c r="E914" s="69">
        <v>2020</v>
      </c>
      <c r="F914" s="69">
        <v>10</v>
      </c>
      <c r="G914" s="69">
        <v>403.4</v>
      </c>
      <c r="H914" s="69">
        <v>14304</v>
      </c>
      <c r="I914" s="67"/>
      <c r="J914" s="67"/>
      <c r="K914" s="67"/>
      <c r="L914" s="67"/>
      <c r="M914" s="67"/>
      <c r="N914" s="67"/>
      <c r="O914" s="67"/>
      <c r="P914" s="67"/>
      <c r="Q914" s="67"/>
      <c r="R914" s="67"/>
      <c r="S914" s="67"/>
      <c r="T914" s="67"/>
      <c r="U914" s="67"/>
      <c r="V914" s="67"/>
      <c r="W914" s="67"/>
      <c r="X914" s="67"/>
      <c r="Y914" s="67"/>
      <c r="Z914" s="67"/>
    </row>
    <row r="915" spans="1:26" ht="12.5">
      <c r="A915" s="68" t="s">
        <v>2124</v>
      </c>
      <c r="B915" s="68" t="s">
        <v>2207</v>
      </c>
      <c r="C915" s="68" t="s">
        <v>2232</v>
      </c>
      <c r="D915" s="68" t="s">
        <v>28</v>
      </c>
      <c r="E915" s="69">
        <v>2020</v>
      </c>
      <c r="F915" s="69">
        <v>11</v>
      </c>
      <c r="G915" s="69">
        <v>269.8</v>
      </c>
      <c r="H915" s="69">
        <v>7137</v>
      </c>
      <c r="I915" s="67"/>
      <c r="J915" s="67"/>
      <c r="K915" s="67"/>
      <c r="L915" s="67"/>
      <c r="M915" s="67"/>
      <c r="N915" s="67"/>
      <c r="O915" s="67"/>
      <c r="P915" s="67"/>
      <c r="Q915" s="67"/>
      <c r="R915" s="67"/>
      <c r="S915" s="67"/>
      <c r="T915" s="67"/>
      <c r="U915" s="67"/>
      <c r="V915" s="67"/>
      <c r="W915" s="67"/>
      <c r="X915" s="67"/>
      <c r="Y915" s="67"/>
      <c r="Z915" s="67"/>
    </row>
    <row r="916" spans="1:26" ht="12.5">
      <c r="A916" s="68" t="s">
        <v>2124</v>
      </c>
      <c r="B916" s="68" t="s">
        <v>2207</v>
      </c>
      <c r="C916" s="68" t="s">
        <v>2234</v>
      </c>
      <c r="D916" s="68" t="s">
        <v>28</v>
      </c>
      <c r="E916" s="69">
        <v>2020</v>
      </c>
      <c r="F916" s="69">
        <v>9</v>
      </c>
      <c r="G916" s="69">
        <v>253.4</v>
      </c>
      <c r="H916" s="69">
        <v>4610</v>
      </c>
      <c r="I916" s="67"/>
      <c r="J916" s="67"/>
      <c r="K916" s="67"/>
      <c r="L916" s="67"/>
      <c r="M916" s="67"/>
      <c r="N916" s="67"/>
      <c r="O916" s="67"/>
      <c r="P916" s="67"/>
      <c r="Q916" s="67"/>
      <c r="R916" s="67"/>
      <c r="S916" s="67"/>
      <c r="T916" s="67"/>
      <c r="U916" s="67"/>
      <c r="V916" s="67"/>
      <c r="W916" s="67"/>
      <c r="X916" s="67"/>
      <c r="Y916" s="67"/>
      <c r="Z916" s="67"/>
    </row>
    <row r="917" spans="1:26" ht="12.5">
      <c r="A917" s="68" t="s">
        <v>2124</v>
      </c>
      <c r="B917" s="68" t="s">
        <v>2207</v>
      </c>
      <c r="C917" s="68" t="s">
        <v>2237</v>
      </c>
      <c r="D917" s="68" t="s">
        <v>28</v>
      </c>
      <c r="E917" s="69">
        <v>2020</v>
      </c>
      <c r="F917" s="69">
        <v>27</v>
      </c>
      <c r="G917" s="69">
        <v>247.4</v>
      </c>
      <c r="H917" s="69">
        <v>7967</v>
      </c>
      <c r="I917" s="67"/>
      <c r="J917" s="67"/>
      <c r="K917" s="67"/>
      <c r="L917" s="67"/>
      <c r="M917" s="67"/>
      <c r="N917" s="67"/>
      <c r="O917" s="67"/>
      <c r="P917" s="67"/>
      <c r="Q917" s="67"/>
      <c r="R917" s="67"/>
      <c r="S917" s="67"/>
      <c r="T917" s="67"/>
      <c r="U917" s="67"/>
      <c r="V917" s="67"/>
      <c r="W917" s="67"/>
      <c r="X917" s="67"/>
      <c r="Y917" s="67"/>
      <c r="Z917" s="67"/>
    </row>
    <row r="918" spans="1:26" ht="12.5">
      <c r="A918" s="68" t="s">
        <v>2124</v>
      </c>
      <c r="B918" s="68" t="s">
        <v>2207</v>
      </c>
      <c r="C918" s="68" t="s">
        <v>2239</v>
      </c>
      <c r="D918" s="68" t="s">
        <v>32</v>
      </c>
      <c r="E918" s="69">
        <v>2020</v>
      </c>
      <c r="F918" s="69">
        <v>21</v>
      </c>
      <c r="G918" s="69">
        <v>391</v>
      </c>
      <c r="H918" s="69">
        <v>11911</v>
      </c>
      <c r="I918" s="67"/>
      <c r="J918" s="67"/>
      <c r="K918" s="67"/>
      <c r="L918" s="67"/>
      <c r="M918" s="67"/>
      <c r="N918" s="67"/>
      <c r="O918" s="67"/>
      <c r="P918" s="67"/>
      <c r="Q918" s="67"/>
      <c r="R918" s="67"/>
      <c r="S918" s="67"/>
      <c r="T918" s="67"/>
      <c r="U918" s="67"/>
      <c r="V918" s="67"/>
      <c r="W918" s="67"/>
      <c r="X918" s="67"/>
      <c r="Y918" s="67"/>
      <c r="Z918" s="67"/>
    </row>
    <row r="919" spans="1:26" ht="12.5">
      <c r="A919" s="68" t="s">
        <v>2124</v>
      </c>
      <c r="B919" s="68" t="s">
        <v>2207</v>
      </c>
      <c r="C919" s="68" t="s">
        <v>956</v>
      </c>
      <c r="D919" s="68" t="s">
        <v>28</v>
      </c>
      <c r="E919" s="69">
        <v>2020</v>
      </c>
      <c r="F919" s="69">
        <v>14</v>
      </c>
      <c r="G919" s="69">
        <v>445.6</v>
      </c>
      <c r="H919" s="69">
        <v>5827</v>
      </c>
      <c r="I919" s="67"/>
      <c r="J919" s="67"/>
      <c r="K919" s="67"/>
      <c r="L919" s="67"/>
      <c r="M919" s="67"/>
      <c r="N919" s="67"/>
      <c r="O919" s="67"/>
      <c r="P919" s="67"/>
      <c r="Q919" s="67"/>
      <c r="R919" s="67"/>
      <c r="S919" s="67"/>
      <c r="T919" s="67"/>
      <c r="U919" s="67"/>
      <c r="V919" s="67"/>
      <c r="W919" s="67"/>
      <c r="X919" s="67"/>
      <c r="Y919" s="67"/>
      <c r="Z919" s="67"/>
    </row>
    <row r="920" spans="1:26" ht="12.5">
      <c r="A920" s="68" t="s">
        <v>2124</v>
      </c>
      <c r="B920" s="68" t="s">
        <v>2207</v>
      </c>
      <c r="C920" s="68" t="s">
        <v>2242</v>
      </c>
      <c r="D920" s="68" t="s">
        <v>28</v>
      </c>
      <c r="E920" s="69">
        <v>2020</v>
      </c>
      <c r="F920" s="69">
        <v>10</v>
      </c>
      <c r="G920" s="69">
        <v>288.5</v>
      </c>
      <c r="H920" s="69">
        <v>4996</v>
      </c>
      <c r="I920" s="67"/>
      <c r="J920" s="67"/>
      <c r="K920" s="67"/>
      <c r="L920" s="67"/>
      <c r="M920" s="67"/>
      <c r="N920" s="67"/>
      <c r="O920" s="67"/>
      <c r="P920" s="67"/>
      <c r="Q920" s="67"/>
      <c r="R920" s="67"/>
      <c r="S920" s="67"/>
      <c r="T920" s="67"/>
      <c r="U920" s="67"/>
      <c r="V920" s="67"/>
      <c r="W920" s="67"/>
      <c r="X920" s="67"/>
      <c r="Y920" s="67"/>
      <c r="Z920" s="67"/>
    </row>
    <row r="921" spans="1:26" ht="12.5">
      <c r="A921" s="68" t="s">
        <v>2124</v>
      </c>
      <c r="B921" s="68" t="s">
        <v>2207</v>
      </c>
      <c r="C921" s="68" t="s">
        <v>2244</v>
      </c>
      <c r="D921" s="68" t="s">
        <v>32</v>
      </c>
      <c r="E921" s="69">
        <v>2020</v>
      </c>
      <c r="F921" s="69">
        <v>47</v>
      </c>
      <c r="G921" s="69">
        <v>662</v>
      </c>
      <c r="H921" s="69">
        <v>22145</v>
      </c>
      <c r="I921" s="67"/>
      <c r="J921" s="67"/>
      <c r="K921" s="67"/>
      <c r="L921" s="67"/>
      <c r="M921" s="67"/>
      <c r="N921" s="67"/>
      <c r="O921" s="67"/>
      <c r="P921" s="67"/>
      <c r="Q921" s="67"/>
      <c r="R921" s="67"/>
      <c r="S921" s="67"/>
      <c r="T921" s="67"/>
      <c r="U921" s="67"/>
      <c r="V921" s="67"/>
      <c r="W921" s="67"/>
      <c r="X921" s="67"/>
      <c r="Y921" s="67"/>
      <c r="Z921" s="67"/>
    </row>
    <row r="922" spans="1:26" ht="12.5">
      <c r="A922" s="68" t="s">
        <v>2124</v>
      </c>
      <c r="B922" s="68" t="s">
        <v>2207</v>
      </c>
      <c r="C922" s="68" t="s">
        <v>2246</v>
      </c>
      <c r="D922" s="68" t="s">
        <v>28</v>
      </c>
      <c r="E922" s="69">
        <v>2020</v>
      </c>
      <c r="F922" s="69">
        <v>34</v>
      </c>
      <c r="G922" s="69">
        <v>254.5</v>
      </c>
      <c r="H922" s="69">
        <v>6363</v>
      </c>
      <c r="I922" s="67"/>
      <c r="J922" s="67"/>
      <c r="K922" s="67"/>
      <c r="L922" s="67"/>
      <c r="M922" s="67"/>
      <c r="N922" s="67"/>
      <c r="O922" s="67"/>
      <c r="P922" s="67"/>
      <c r="Q922" s="67"/>
      <c r="R922" s="67"/>
      <c r="S922" s="67"/>
      <c r="T922" s="67"/>
      <c r="U922" s="67"/>
      <c r="V922" s="67"/>
      <c r="W922" s="67"/>
      <c r="X922" s="67"/>
      <c r="Y922" s="67"/>
      <c r="Z922" s="67"/>
    </row>
    <row r="923" spans="1:26" ht="12.5">
      <c r="A923" s="68" t="s">
        <v>2124</v>
      </c>
      <c r="B923" s="68" t="s">
        <v>2207</v>
      </c>
      <c r="C923" s="68" t="s">
        <v>2248</v>
      </c>
      <c r="D923" s="68" t="s">
        <v>32</v>
      </c>
      <c r="E923" s="69">
        <v>2020</v>
      </c>
      <c r="F923" s="69">
        <v>31</v>
      </c>
      <c r="G923" s="69">
        <v>309.3</v>
      </c>
      <c r="H923" s="69">
        <v>8247</v>
      </c>
      <c r="I923" s="67"/>
      <c r="J923" s="67"/>
      <c r="K923" s="67"/>
      <c r="L923" s="67"/>
      <c r="M923" s="67"/>
      <c r="N923" s="67"/>
      <c r="O923" s="67"/>
      <c r="P923" s="67"/>
      <c r="Q923" s="67"/>
      <c r="R923" s="67"/>
      <c r="S923" s="67"/>
      <c r="T923" s="67"/>
      <c r="U923" s="67"/>
      <c r="V923" s="67"/>
      <c r="W923" s="67"/>
      <c r="X923" s="67"/>
      <c r="Y923" s="67"/>
      <c r="Z923" s="67"/>
    </row>
    <row r="924" spans="1:26" ht="12.5">
      <c r="A924" s="68" t="s">
        <v>2124</v>
      </c>
      <c r="B924" s="68" t="s">
        <v>2207</v>
      </c>
      <c r="C924" s="68" t="s">
        <v>2250</v>
      </c>
      <c r="D924" s="68" t="s">
        <v>20</v>
      </c>
      <c r="E924" s="69">
        <v>2020</v>
      </c>
      <c r="F924" s="69">
        <v>56</v>
      </c>
      <c r="G924" s="69">
        <v>550.29999999999995</v>
      </c>
      <c r="H924" s="69">
        <v>309647</v>
      </c>
      <c r="I924" s="67"/>
      <c r="J924" s="67"/>
      <c r="K924" s="67"/>
      <c r="L924" s="67"/>
      <c r="M924" s="67"/>
      <c r="N924" s="67"/>
      <c r="O924" s="67"/>
      <c r="P924" s="67"/>
      <c r="Q924" s="67"/>
      <c r="R924" s="67"/>
      <c r="S924" s="67"/>
      <c r="T924" s="67"/>
      <c r="U924" s="67"/>
      <c r="V924" s="67"/>
      <c r="W924" s="67"/>
      <c r="X924" s="67"/>
      <c r="Y924" s="67"/>
      <c r="Z924" s="67"/>
    </row>
    <row r="925" spans="1:26" ht="12.5">
      <c r="A925" s="68" t="s">
        <v>2124</v>
      </c>
      <c r="B925" s="68" t="s">
        <v>2207</v>
      </c>
      <c r="C925" s="68" t="s">
        <v>2253</v>
      </c>
      <c r="D925" s="68" t="s">
        <v>20</v>
      </c>
      <c r="E925" s="69">
        <v>2020</v>
      </c>
      <c r="F925" s="69">
        <v>85</v>
      </c>
      <c r="G925" s="69">
        <v>1106.3</v>
      </c>
      <c r="H925" s="69">
        <v>26080</v>
      </c>
      <c r="I925" s="67"/>
      <c r="J925" s="67"/>
      <c r="K925" s="67"/>
      <c r="L925" s="67"/>
      <c r="M925" s="67"/>
      <c r="N925" s="67"/>
      <c r="O925" s="67"/>
      <c r="P925" s="67"/>
      <c r="Q925" s="67"/>
      <c r="R925" s="67"/>
      <c r="S925" s="67"/>
      <c r="T925" s="67"/>
      <c r="U925" s="67"/>
      <c r="V925" s="67"/>
      <c r="W925" s="67"/>
      <c r="X925" s="67"/>
      <c r="Y925" s="67"/>
      <c r="Z925" s="67"/>
    </row>
    <row r="926" spans="1:26" ht="12.5">
      <c r="A926" s="68" t="s">
        <v>2124</v>
      </c>
      <c r="B926" s="68" t="s">
        <v>2207</v>
      </c>
      <c r="C926" s="68" t="s">
        <v>2255</v>
      </c>
      <c r="D926" s="68" t="s">
        <v>32</v>
      </c>
      <c r="E926" s="69">
        <v>2020</v>
      </c>
      <c r="F926" s="69">
        <v>22</v>
      </c>
      <c r="G926" s="69">
        <v>326.2</v>
      </c>
      <c r="H926" s="69">
        <v>8808</v>
      </c>
      <c r="I926" s="67"/>
      <c r="J926" s="67"/>
      <c r="K926" s="67"/>
      <c r="L926" s="67"/>
      <c r="M926" s="67"/>
      <c r="N926" s="67"/>
      <c r="O926" s="67"/>
      <c r="P926" s="67"/>
      <c r="Q926" s="67"/>
      <c r="R926" s="67"/>
      <c r="S926" s="67"/>
      <c r="T926" s="67"/>
      <c r="U926" s="67"/>
      <c r="V926" s="67"/>
      <c r="W926" s="67"/>
      <c r="X926" s="67"/>
      <c r="Y926" s="67"/>
      <c r="Z926" s="67"/>
    </row>
    <row r="927" spans="1:26" ht="12.5">
      <c r="A927" s="68" t="s">
        <v>2124</v>
      </c>
      <c r="B927" s="68" t="s">
        <v>2207</v>
      </c>
      <c r="C927" s="68" t="s">
        <v>2257</v>
      </c>
      <c r="D927" s="68" t="s">
        <v>28</v>
      </c>
      <c r="E927" s="69">
        <v>2020</v>
      </c>
      <c r="F927" s="69">
        <v>20</v>
      </c>
      <c r="G927" s="69">
        <v>208.4</v>
      </c>
      <c r="H927" s="69">
        <v>12126</v>
      </c>
      <c r="I927" s="67"/>
      <c r="J927" s="67"/>
      <c r="K927" s="67"/>
      <c r="L927" s="67"/>
      <c r="M927" s="67"/>
      <c r="N927" s="67"/>
      <c r="O927" s="67"/>
      <c r="P927" s="67"/>
      <c r="Q927" s="67"/>
      <c r="R927" s="67"/>
      <c r="S927" s="67"/>
      <c r="T927" s="67"/>
      <c r="U927" s="67"/>
      <c r="V927" s="67"/>
      <c r="W927" s="67"/>
      <c r="X927" s="67"/>
      <c r="Y927" s="67"/>
      <c r="Z927" s="67"/>
    </row>
    <row r="928" spans="1:26" ht="12.5">
      <c r="A928" s="68" t="s">
        <v>2124</v>
      </c>
      <c r="B928" s="68" t="s">
        <v>2207</v>
      </c>
      <c r="C928" s="68" t="s">
        <v>2259</v>
      </c>
      <c r="D928" s="68" t="s">
        <v>32</v>
      </c>
      <c r="E928" s="69">
        <v>2020</v>
      </c>
      <c r="F928" s="69">
        <v>29</v>
      </c>
      <c r="G928" s="69">
        <v>536.4</v>
      </c>
      <c r="H928" s="69">
        <v>13122</v>
      </c>
      <c r="I928" s="67"/>
      <c r="J928" s="67"/>
      <c r="K928" s="67"/>
      <c r="L928" s="67"/>
      <c r="M928" s="67"/>
      <c r="N928" s="67"/>
      <c r="O928" s="67"/>
      <c r="P928" s="67"/>
      <c r="Q928" s="67"/>
      <c r="R928" s="67"/>
      <c r="S928" s="67"/>
      <c r="T928" s="67"/>
      <c r="U928" s="67"/>
      <c r="V928" s="67"/>
      <c r="W928" s="67"/>
      <c r="X928" s="67"/>
      <c r="Y928" s="67"/>
      <c r="Z928" s="67"/>
    </row>
    <row r="929" spans="1:26" ht="12.5">
      <c r="A929" s="68" t="s">
        <v>2124</v>
      </c>
      <c r="B929" s="68" t="s">
        <v>2207</v>
      </c>
      <c r="C929" s="68" t="s">
        <v>2262</v>
      </c>
      <c r="D929" s="68" t="s">
        <v>28</v>
      </c>
      <c r="E929" s="69">
        <v>2020</v>
      </c>
      <c r="F929" s="69">
        <v>15</v>
      </c>
      <c r="G929" s="69">
        <v>99.7</v>
      </c>
      <c r="H929" s="69">
        <v>13212</v>
      </c>
      <c r="I929" s="67"/>
      <c r="J929" s="67"/>
      <c r="K929" s="67"/>
      <c r="L929" s="67"/>
      <c r="M929" s="67"/>
      <c r="N929" s="67"/>
      <c r="O929" s="67"/>
      <c r="P929" s="67"/>
      <c r="Q929" s="67"/>
      <c r="R929" s="67"/>
      <c r="S929" s="67"/>
      <c r="T929" s="67"/>
      <c r="U929" s="67"/>
      <c r="V929" s="67"/>
      <c r="W929" s="67"/>
      <c r="X929" s="67"/>
      <c r="Y929" s="67"/>
      <c r="Z929" s="67"/>
    </row>
    <row r="930" spans="1:26" ht="12.5">
      <c r="A930" s="68" t="s">
        <v>2264</v>
      </c>
      <c r="B930" s="68" t="s">
        <v>2265</v>
      </c>
      <c r="C930" s="68" t="s">
        <v>2266</v>
      </c>
      <c r="D930" s="68" t="s">
        <v>28</v>
      </c>
      <c r="E930" s="69">
        <v>2020</v>
      </c>
      <c r="F930" s="69">
        <v>4</v>
      </c>
      <c r="G930" s="69">
        <v>117</v>
      </c>
      <c r="H930" s="69">
        <v>5699</v>
      </c>
      <c r="I930" s="67"/>
      <c r="J930" s="67"/>
      <c r="K930" s="67"/>
      <c r="L930" s="67"/>
      <c r="M930" s="67"/>
      <c r="N930" s="67"/>
      <c r="O930" s="67"/>
      <c r="P930" s="67"/>
      <c r="Q930" s="67"/>
      <c r="R930" s="67"/>
      <c r="S930" s="67"/>
      <c r="T930" s="67"/>
      <c r="U930" s="67"/>
      <c r="V930" s="67"/>
      <c r="W930" s="67"/>
      <c r="X930" s="67"/>
      <c r="Y930" s="67"/>
      <c r="Z930" s="67"/>
    </row>
    <row r="931" spans="1:26" ht="12.5">
      <c r="A931" s="68" t="s">
        <v>2264</v>
      </c>
      <c r="B931" s="68" t="s">
        <v>2265</v>
      </c>
      <c r="C931" s="68" t="s">
        <v>2268</v>
      </c>
      <c r="D931" s="68" t="s">
        <v>20</v>
      </c>
      <c r="E931" s="69">
        <v>2020</v>
      </c>
      <c r="F931" s="69">
        <v>18</v>
      </c>
      <c r="G931" s="69">
        <v>608.70000000000005</v>
      </c>
      <c r="H931" s="69">
        <v>52916</v>
      </c>
      <c r="I931" s="67"/>
      <c r="J931" s="67"/>
      <c r="K931" s="67"/>
      <c r="L931" s="67"/>
      <c r="M931" s="67"/>
      <c r="N931" s="67"/>
      <c r="O931" s="67"/>
      <c r="P931" s="67"/>
      <c r="Q931" s="67"/>
      <c r="R931" s="67"/>
      <c r="S931" s="67"/>
      <c r="T931" s="67"/>
      <c r="U931" s="67"/>
      <c r="V931" s="67"/>
      <c r="W931" s="67"/>
      <c r="X931" s="67"/>
      <c r="Y931" s="67"/>
      <c r="Z931" s="67"/>
    </row>
    <row r="932" spans="1:26" ht="12.5">
      <c r="A932" s="68" t="s">
        <v>2264</v>
      </c>
      <c r="B932" s="68" t="s">
        <v>2265</v>
      </c>
      <c r="C932" s="68" t="s">
        <v>2271</v>
      </c>
      <c r="D932" s="68" t="s">
        <v>32</v>
      </c>
      <c r="E932" s="69">
        <v>2020</v>
      </c>
      <c r="F932" s="69">
        <v>22</v>
      </c>
      <c r="G932" s="69">
        <v>702.2</v>
      </c>
      <c r="H932" s="69">
        <v>26380</v>
      </c>
      <c r="I932" s="67"/>
      <c r="J932" s="67"/>
      <c r="K932" s="67"/>
      <c r="L932" s="67"/>
      <c r="M932" s="67"/>
      <c r="N932" s="67"/>
      <c r="O932" s="67"/>
      <c r="P932" s="67"/>
      <c r="Q932" s="67"/>
      <c r="R932" s="67"/>
      <c r="S932" s="67"/>
      <c r="T932" s="67"/>
      <c r="U932" s="67"/>
      <c r="V932" s="67"/>
      <c r="W932" s="67"/>
      <c r="X932" s="67"/>
      <c r="Y932" s="67"/>
      <c r="Z932" s="67"/>
    </row>
    <row r="933" spans="1:26" ht="12.5">
      <c r="A933" s="68" t="s">
        <v>2264</v>
      </c>
      <c r="B933" s="68" t="s">
        <v>2265</v>
      </c>
      <c r="C933" s="68" t="s">
        <v>2274</v>
      </c>
      <c r="D933" s="68" t="s">
        <v>32</v>
      </c>
      <c r="E933" s="69">
        <v>2020</v>
      </c>
      <c r="F933" s="69">
        <v>31</v>
      </c>
      <c r="G933" s="69">
        <v>1086.8</v>
      </c>
      <c r="H933" s="69">
        <v>28604</v>
      </c>
      <c r="I933" s="67"/>
      <c r="J933" s="67"/>
      <c r="K933" s="67"/>
      <c r="L933" s="67"/>
      <c r="M933" s="67"/>
      <c r="N933" s="67"/>
      <c r="O933" s="67"/>
      <c r="P933" s="67"/>
      <c r="Q933" s="67"/>
      <c r="R933" s="67"/>
      <c r="S933" s="67"/>
      <c r="T933" s="67"/>
      <c r="U933" s="67"/>
      <c r="V933" s="67"/>
      <c r="W933" s="67"/>
      <c r="X933" s="67"/>
      <c r="Y933" s="67"/>
      <c r="Z933" s="67"/>
    </row>
    <row r="934" spans="1:26" ht="12.5">
      <c r="A934" s="68" t="s">
        <v>2264</v>
      </c>
      <c r="B934" s="68" t="s">
        <v>2265</v>
      </c>
      <c r="C934" s="68" t="s">
        <v>2277</v>
      </c>
      <c r="D934" s="68" t="s">
        <v>28</v>
      </c>
      <c r="E934" s="69">
        <v>2020</v>
      </c>
      <c r="F934" s="69">
        <v>5</v>
      </c>
      <c r="G934" s="69">
        <v>165.3</v>
      </c>
      <c r="H934" s="69">
        <v>6190</v>
      </c>
      <c r="I934" s="67"/>
      <c r="J934" s="67"/>
      <c r="K934" s="67"/>
      <c r="L934" s="67"/>
      <c r="M934" s="67"/>
      <c r="N934" s="67"/>
      <c r="O934" s="67"/>
      <c r="P934" s="67"/>
      <c r="Q934" s="67"/>
      <c r="R934" s="67"/>
      <c r="S934" s="67"/>
      <c r="T934" s="67"/>
      <c r="U934" s="67"/>
      <c r="V934" s="67"/>
      <c r="W934" s="67"/>
      <c r="X934" s="67"/>
      <c r="Y934" s="67"/>
      <c r="Z934" s="67"/>
    </row>
    <row r="935" spans="1:26" ht="12.5">
      <c r="A935" s="68" t="s">
        <v>2264</v>
      </c>
      <c r="B935" s="68" t="s">
        <v>2265</v>
      </c>
      <c r="C935" s="68" t="s">
        <v>2279</v>
      </c>
      <c r="D935" s="68" t="s">
        <v>28</v>
      </c>
      <c r="E935" s="69">
        <v>2020</v>
      </c>
      <c r="F935" s="69">
        <v>20</v>
      </c>
      <c r="G935" s="69">
        <v>355.1</v>
      </c>
      <c r="H935" s="69">
        <v>5880</v>
      </c>
      <c r="I935" s="67"/>
      <c r="J935" s="67"/>
      <c r="K935" s="67"/>
      <c r="L935" s="67"/>
      <c r="M935" s="67"/>
      <c r="N935" s="67"/>
      <c r="O935" s="67"/>
      <c r="P935" s="67"/>
      <c r="Q935" s="67"/>
      <c r="R935" s="67"/>
      <c r="S935" s="67"/>
      <c r="T935" s="67"/>
      <c r="U935" s="67"/>
      <c r="V935" s="67"/>
      <c r="W935" s="67"/>
      <c r="X935" s="67"/>
      <c r="Y935" s="67"/>
      <c r="Z935" s="67"/>
    </row>
    <row r="936" spans="1:26" ht="12.5">
      <c r="A936" s="68" t="s">
        <v>2264</v>
      </c>
      <c r="B936" s="68" t="s">
        <v>2265</v>
      </c>
      <c r="C936" s="68" t="s">
        <v>2281</v>
      </c>
      <c r="D936" s="68" t="s">
        <v>28</v>
      </c>
      <c r="E936" s="69">
        <v>2020</v>
      </c>
      <c r="F936" s="69">
        <v>8</v>
      </c>
      <c r="G936" s="69">
        <v>177</v>
      </c>
      <c r="H936" s="69">
        <v>5674</v>
      </c>
      <c r="I936" s="67"/>
      <c r="J936" s="67"/>
      <c r="K936" s="67"/>
      <c r="L936" s="67"/>
      <c r="M936" s="67"/>
      <c r="N936" s="67"/>
      <c r="O936" s="67"/>
      <c r="P936" s="67"/>
      <c r="Q936" s="67"/>
      <c r="R936" s="67"/>
      <c r="S936" s="67"/>
      <c r="T936" s="67"/>
      <c r="U936" s="67"/>
      <c r="V936" s="67"/>
      <c r="W936" s="67"/>
      <c r="X936" s="67"/>
      <c r="Y936" s="67"/>
      <c r="Z936" s="67"/>
    </row>
    <row r="937" spans="1:26" ht="12.5">
      <c r="A937" s="68" t="s">
        <v>2264</v>
      </c>
      <c r="B937" s="68" t="s">
        <v>2265</v>
      </c>
      <c r="C937" s="68" t="s">
        <v>2283</v>
      </c>
      <c r="D937" s="68" t="s">
        <v>32</v>
      </c>
      <c r="E937" s="69">
        <v>2020</v>
      </c>
      <c r="F937" s="69">
        <v>8</v>
      </c>
      <c r="G937" s="69">
        <v>111.4</v>
      </c>
      <c r="H937" s="69">
        <v>7256</v>
      </c>
      <c r="I937" s="67"/>
      <c r="J937" s="67"/>
      <c r="K937" s="67"/>
      <c r="L937" s="67"/>
      <c r="M937" s="67"/>
      <c r="N937" s="67"/>
      <c r="O937" s="67"/>
      <c r="P937" s="67"/>
      <c r="Q937" s="67"/>
      <c r="R937" s="67"/>
      <c r="S937" s="67"/>
      <c r="T937" s="67"/>
      <c r="U937" s="67"/>
      <c r="V937" s="67"/>
      <c r="W937" s="67"/>
      <c r="X937" s="67"/>
      <c r="Y937" s="67"/>
      <c r="Z937" s="67"/>
    </row>
    <row r="938" spans="1:26" ht="12.5">
      <c r="A938" s="68" t="s">
        <v>2264</v>
      </c>
      <c r="B938" s="68" t="s">
        <v>2285</v>
      </c>
      <c r="C938" s="68" t="s">
        <v>2286</v>
      </c>
      <c r="D938" s="68" t="s">
        <v>28</v>
      </c>
      <c r="E938" s="69">
        <v>2020</v>
      </c>
      <c r="F938" s="69">
        <v>14</v>
      </c>
      <c r="G938" s="69">
        <v>192</v>
      </c>
      <c r="H938" s="69">
        <v>5450</v>
      </c>
      <c r="I938" s="67"/>
      <c r="J938" s="67"/>
      <c r="K938" s="67"/>
      <c r="L938" s="67"/>
      <c r="M938" s="67"/>
      <c r="N938" s="67"/>
      <c r="O938" s="67"/>
      <c r="P938" s="67"/>
      <c r="Q938" s="67"/>
      <c r="R938" s="67"/>
      <c r="S938" s="67"/>
      <c r="T938" s="67"/>
      <c r="U938" s="67"/>
      <c r="V938" s="67"/>
      <c r="W938" s="67"/>
      <c r="X938" s="67"/>
      <c r="Y938" s="67"/>
      <c r="Z938" s="67"/>
    </row>
    <row r="939" spans="1:26" ht="12.5">
      <c r="A939" s="68" t="s">
        <v>2264</v>
      </c>
      <c r="B939" s="68" t="s">
        <v>2285</v>
      </c>
      <c r="C939" s="68" t="s">
        <v>2288</v>
      </c>
      <c r="D939" s="68" t="s">
        <v>28</v>
      </c>
      <c r="E939" s="69">
        <v>2020</v>
      </c>
      <c r="F939" s="69">
        <v>11</v>
      </c>
      <c r="G939" s="69">
        <v>102.8</v>
      </c>
      <c r="H939" s="69">
        <v>3153</v>
      </c>
      <c r="I939" s="67"/>
      <c r="J939" s="67"/>
      <c r="K939" s="67"/>
      <c r="L939" s="67"/>
      <c r="M939" s="67"/>
      <c r="N939" s="67"/>
      <c r="O939" s="67"/>
      <c r="P939" s="67"/>
      <c r="Q939" s="67"/>
      <c r="R939" s="67"/>
      <c r="S939" s="67"/>
      <c r="T939" s="67"/>
      <c r="U939" s="67"/>
      <c r="V939" s="67"/>
      <c r="W939" s="67"/>
      <c r="X939" s="67"/>
      <c r="Y939" s="67"/>
      <c r="Z939" s="67"/>
    </row>
    <row r="940" spans="1:26" ht="12.5">
      <c r="A940" s="68" t="s">
        <v>2264</v>
      </c>
      <c r="B940" s="68" t="s">
        <v>2285</v>
      </c>
      <c r="C940" s="68" t="s">
        <v>2290</v>
      </c>
      <c r="D940" s="68" t="s">
        <v>28</v>
      </c>
      <c r="E940" s="69">
        <v>2020</v>
      </c>
      <c r="F940" s="69">
        <v>12</v>
      </c>
      <c r="G940" s="69">
        <v>148.19999999999999</v>
      </c>
      <c r="H940" s="69">
        <v>5385</v>
      </c>
      <c r="I940" s="67"/>
      <c r="J940" s="67"/>
      <c r="K940" s="67"/>
      <c r="L940" s="67"/>
      <c r="M940" s="67"/>
      <c r="N940" s="67"/>
      <c r="O940" s="67"/>
      <c r="P940" s="67"/>
      <c r="Q940" s="67"/>
      <c r="R940" s="67"/>
      <c r="S940" s="67"/>
      <c r="T940" s="67"/>
      <c r="U940" s="67"/>
      <c r="V940" s="67"/>
      <c r="W940" s="67"/>
      <c r="X940" s="67"/>
      <c r="Y940" s="67"/>
      <c r="Z940" s="67"/>
    </row>
    <row r="941" spans="1:26" ht="12.5">
      <c r="A941" s="68" t="s">
        <v>2264</v>
      </c>
      <c r="B941" s="68" t="s">
        <v>2285</v>
      </c>
      <c r="C941" s="68" t="s">
        <v>2293</v>
      </c>
      <c r="D941" s="68" t="s">
        <v>28</v>
      </c>
      <c r="E941" s="69">
        <v>2020</v>
      </c>
      <c r="F941" s="69">
        <v>9</v>
      </c>
      <c r="G941" s="69">
        <v>112.6</v>
      </c>
      <c r="H941" s="69">
        <v>4534</v>
      </c>
      <c r="I941" s="67"/>
      <c r="J941" s="67"/>
      <c r="K941" s="67"/>
      <c r="L941" s="67"/>
      <c r="M941" s="67"/>
      <c r="N941" s="67"/>
      <c r="O941" s="67"/>
      <c r="P941" s="67"/>
      <c r="Q941" s="67"/>
      <c r="R941" s="67"/>
      <c r="S941" s="67"/>
      <c r="T941" s="67"/>
      <c r="U941" s="67"/>
      <c r="V941" s="67"/>
      <c r="W941" s="67"/>
      <c r="X941" s="67"/>
      <c r="Y941" s="67"/>
      <c r="Z941" s="67"/>
    </row>
    <row r="942" spans="1:26" ht="12.5">
      <c r="A942" s="68" t="s">
        <v>2264</v>
      </c>
      <c r="B942" s="68" t="s">
        <v>2285</v>
      </c>
      <c r="C942" s="68" t="s">
        <v>2296</v>
      </c>
      <c r="D942" s="68" t="s">
        <v>32</v>
      </c>
      <c r="E942" s="69">
        <v>2020</v>
      </c>
      <c r="F942" s="69">
        <v>23</v>
      </c>
      <c r="G942" s="69">
        <v>312.60000000000002</v>
      </c>
      <c r="H942" s="69">
        <v>11997</v>
      </c>
      <c r="I942" s="67"/>
      <c r="J942" s="67"/>
      <c r="K942" s="67"/>
      <c r="L942" s="67"/>
      <c r="M942" s="67"/>
      <c r="N942" s="67"/>
      <c r="O942" s="67"/>
      <c r="P942" s="67"/>
      <c r="Q942" s="67"/>
      <c r="R942" s="67"/>
      <c r="S942" s="67"/>
      <c r="T942" s="67"/>
      <c r="U942" s="67"/>
      <c r="V942" s="67"/>
      <c r="W942" s="67"/>
      <c r="X942" s="67"/>
      <c r="Y942" s="67"/>
      <c r="Z942" s="67"/>
    </row>
    <row r="943" spans="1:26" ht="12.5">
      <c r="A943" s="68" t="s">
        <v>2264</v>
      </c>
      <c r="B943" s="68" t="s">
        <v>2285</v>
      </c>
      <c r="C943" s="68" t="s">
        <v>2298</v>
      </c>
      <c r="D943" s="68" t="s">
        <v>20</v>
      </c>
      <c r="E943" s="69">
        <v>2020</v>
      </c>
      <c r="F943" s="69">
        <v>1</v>
      </c>
      <c r="G943" s="69">
        <v>27.1</v>
      </c>
      <c r="H943" s="69">
        <v>37257</v>
      </c>
      <c r="I943" s="67"/>
      <c r="J943" s="67"/>
      <c r="K943" s="67"/>
      <c r="L943" s="67"/>
      <c r="M943" s="67"/>
      <c r="N943" s="67"/>
      <c r="O943" s="67"/>
      <c r="P943" s="67"/>
      <c r="Q943" s="67"/>
      <c r="R943" s="67"/>
      <c r="S943" s="67"/>
      <c r="T943" s="67"/>
      <c r="U943" s="67"/>
      <c r="V943" s="67"/>
      <c r="W943" s="67"/>
      <c r="X943" s="67"/>
      <c r="Y943" s="67"/>
      <c r="Z943" s="67"/>
    </row>
    <row r="944" spans="1:26" ht="12.5">
      <c r="A944" s="68" t="s">
        <v>2264</v>
      </c>
      <c r="B944" s="68" t="s">
        <v>2285</v>
      </c>
      <c r="C944" s="68" t="s">
        <v>1371</v>
      </c>
      <c r="D944" s="68" t="s">
        <v>28</v>
      </c>
      <c r="E944" s="69">
        <v>2020</v>
      </c>
      <c r="F944" s="69">
        <v>22</v>
      </c>
      <c r="G944" s="69">
        <v>181.1</v>
      </c>
      <c r="H944" s="69">
        <v>7255</v>
      </c>
      <c r="I944" s="67"/>
      <c r="J944" s="67"/>
      <c r="K944" s="67"/>
      <c r="L944" s="67"/>
      <c r="M944" s="67"/>
      <c r="N944" s="67"/>
      <c r="O944" s="67"/>
      <c r="P944" s="67"/>
      <c r="Q944" s="67"/>
      <c r="R944" s="67"/>
      <c r="S944" s="67"/>
      <c r="T944" s="67"/>
      <c r="U944" s="67"/>
      <c r="V944" s="67"/>
      <c r="W944" s="67"/>
      <c r="X944" s="67"/>
      <c r="Y944" s="67"/>
      <c r="Z944" s="67"/>
    </row>
    <row r="945" spans="1:26" ht="12.5">
      <c r="A945" s="68" t="s">
        <v>2264</v>
      </c>
      <c r="B945" s="68" t="s">
        <v>2285</v>
      </c>
      <c r="C945" s="68" t="s">
        <v>2302</v>
      </c>
      <c r="D945" s="68" t="s">
        <v>28</v>
      </c>
      <c r="E945" s="69">
        <v>2020</v>
      </c>
      <c r="F945" s="69">
        <v>25</v>
      </c>
      <c r="G945" s="69">
        <v>297.89999999999998</v>
      </c>
      <c r="H945" s="69">
        <v>8967</v>
      </c>
      <c r="I945" s="67"/>
      <c r="J945" s="67"/>
      <c r="K945" s="67"/>
      <c r="L945" s="67"/>
      <c r="M945" s="67"/>
      <c r="N945" s="67"/>
      <c r="O945" s="67"/>
      <c r="P945" s="67"/>
      <c r="Q945" s="67"/>
      <c r="R945" s="67"/>
      <c r="S945" s="67"/>
      <c r="T945" s="67"/>
      <c r="U945" s="67"/>
      <c r="V945" s="67"/>
      <c r="W945" s="67"/>
      <c r="X945" s="67"/>
      <c r="Y945" s="67"/>
      <c r="Z945" s="67"/>
    </row>
    <row r="946" spans="1:26" ht="12.5">
      <c r="A946" s="68" t="s">
        <v>2264</v>
      </c>
      <c r="B946" s="68" t="s">
        <v>2285</v>
      </c>
      <c r="C946" s="68" t="s">
        <v>2304</v>
      </c>
      <c r="D946" s="68" t="s">
        <v>28</v>
      </c>
      <c r="E946" s="69">
        <v>2020</v>
      </c>
      <c r="F946" s="69">
        <v>14</v>
      </c>
      <c r="G946" s="69">
        <v>114.4</v>
      </c>
      <c r="H946" s="69">
        <v>6774</v>
      </c>
      <c r="I946" s="67"/>
      <c r="J946" s="67"/>
      <c r="K946" s="67"/>
      <c r="L946" s="67"/>
      <c r="M946" s="67"/>
      <c r="N946" s="67"/>
      <c r="O946" s="67"/>
      <c r="P946" s="67"/>
      <c r="Q946" s="67"/>
      <c r="R946" s="67"/>
      <c r="S946" s="67"/>
      <c r="T946" s="67"/>
      <c r="U946" s="67"/>
      <c r="V946" s="67"/>
      <c r="W946" s="67"/>
      <c r="X946" s="67"/>
      <c r="Y946" s="67"/>
      <c r="Z946" s="67"/>
    </row>
    <row r="947" spans="1:26" ht="12.5">
      <c r="A947" s="68" t="s">
        <v>2264</v>
      </c>
      <c r="B947" s="68" t="s">
        <v>2285</v>
      </c>
      <c r="C947" s="68" t="s">
        <v>2307</v>
      </c>
      <c r="D947" s="68" t="s">
        <v>32</v>
      </c>
      <c r="E947" s="69">
        <v>2020</v>
      </c>
      <c r="F947" s="69">
        <v>41</v>
      </c>
      <c r="G947" s="69">
        <v>401.2</v>
      </c>
      <c r="H947" s="69">
        <v>19714</v>
      </c>
      <c r="I947" s="67"/>
      <c r="J947" s="67"/>
      <c r="K947" s="67"/>
      <c r="L947" s="67"/>
      <c r="M947" s="67"/>
      <c r="N947" s="67"/>
      <c r="O947" s="67"/>
      <c r="P947" s="67"/>
      <c r="Q947" s="67"/>
      <c r="R947" s="67"/>
      <c r="S947" s="67"/>
      <c r="T947" s="67"/>
      <c r="U947" s="67"/>
      <c r="V947" s="67"/>
      <c r="W947" s="67"/>
      <c r="X947" s="67"/>
      <c r="Y947" s="67"/>
      <c r="Z947" s="67"/>
    </row>
    <row r="948" spans="1:26" ht="12.5">
      <c r="A948" s="68" t="s">
        <v>2264</v>
      </c>
      <c r="B948" s="68" t="s">
        <v>2285</v>
      </c>
      <c r="C948" s="68" t="s">
        <v>2309</v>
      </c>
      <c r="D948" s="68" t="s">
        <v>28</v>
      </c>
      <c r="E948" s="69">
        <v>2020</v>
      </c>
      <c r="F948" s="69">
        <v>14</v>
      </c>
      <c r="G948" s="69">
        <v>139</v>
      </c>
      <c r="H948" s="69">
        <v>5810</v>
      </c>
      <c r="I948" s="67"/>
      <c r="J948" s="67"/>
      <c r="K948" s="67"/>
      <c r="L948" s="67"/>
      <c r="M948" s="67"/>
      <c r="N948" s="67"/>
      <c r="O948" s="67"/>
      <c r="P948" s="67"/>
      <c r="Q948" s="67"/>
      <c r="R948" s="67"/>
      <c r="S948" s="67"/>
      <c r="T948" s="67"/>
      <c r="U948" s="67"/>
      <c r="V948" s="67"/>
      <c r="W948" s="67"/>
      <c r="X948" s="67"/>
      <c r="Y948" s="67"/>
      <c r="Z948" s="67"/>
    </row>
    <row r="949" spans="1:26" ht="12.5">
      <c r="A949" s="68" t="s">
        <v>2264</v>
      </c>
      <c r="B949" s="68" t="s">
        <v>2285</v>
      </c>
      <c r="C949" s="68" t="s">
        <v>2311</v>
      </c>
      <c r="D949" s="68" t="s">
        <v>28</v>
      </c>
      <c r="E949" s="69">
        <v>2020</v>
      </c>
      <c r="F949" s="69">
        <v>9</v>
      </c>
      <c r="G949" s="69">
        <v>94.1</v>
      </c>
      <c r="H949" s="69">
        <v>2853</v>
      </c>
      <c r="I949" s="67"/>
      <c r="J949" s="67"/>
      <c r="K949" s="67"/>
      <c r="L949" s="67"/>
      <c r="M949" s="67"/>
      <c r="N949" s="67"/>
      <c r="O949" s="67"/>
      <c r="P949" s="67"/>
      <c r="Q949" s="67"/>
      <c r="R949" s="67"/>
      <c r="S949" s="67"/>
      <c r="T949" s="67"/>
      <c r="U949" s="67"/>
      <c r="V949" s="67"/>
      <c r="W949" s="67"/>
      <c r="X949" s="67"/>
      <c r="Y949" s="67"/>
      <c r="Z949" s="67"/>
    </row>
    <row r="950" spans="1:26" ht="12.5">
      <c r="A950" s="68" t="s">
        <v>2264</v>
      </c>
      <c r="B950" s="68" t="s">
        <v>2285</v>
      </c>
      <c r="C950" s="68" t="s">
        <v>1806</v>
      </c>
      <c r="D950" s="68" t="s">
        <v>28</v>
      </c>
      <c r="E950" s="69">
        <v>2020</v>
      </c>
      <c r="F950" s="69">
        <v>16</v>
      </c>
      <c r="G950" s="69">
        <v>147.19999999999999</v>
      </c>
      <c r="H950" s="69">
        <v>5528</v>
      </c>
      <c r="I950" s="67"/>
      <c r="J950" s="67"/>
      <c r="K950" s="67"/>
      <c r="L950" s="67"/>
      <c r="M950" s="67"/>
      <c r="N950" s="67"/>
      <c r="O950" s="67"/>
      <c r="P950" s="67"/>
      <c r="Q950" s="67"/>
      <c r="R950" s="67"/>
      <c r="S950" s="67"/>
      <c r="T950" s="67"/>
      <c r="U950" s="67"/>
      <c r="V950" s="67"/>
      <c r="W950" s="67"/>
      <c r="X950" s="67"/>
      <c r="Y950" s="67"/>
      <c r="Z950" s="67"/>
    </row>
    <row r="951" spans="1:26" ht="12.5">
      <c r="A951" s="68" t="s">
        <v>2264</v>
      </c>
      <c r="B951" s="68" t="s">
        <v>2285</v>
      </c>
      <c r="C951" s="68" t="s">
        <v>2314</v>
      </c>
      <c r="D951" s="68" t="s">
        <v>28</v>
      </c>
      <c r="E951" s="69">
        <v>2020</v>
      </c>
      <c r="F951" s="69">
        <v>9</v>
      </c>
      <c r="G951" s="69">
        <v>63.5</v>
      </c>
      <c r="H951" s="69">
        <v>1836</v>
      </c>
      <c r="I951" s="67"/>
      <c r="J951" s="67"/>
      <c r="K951" s="67"/>
      <c r="L951" s="67"/>
      <c r="M951" s="67"/>
      <c r="N951" s="67"/>
      <c r="O951" s="67"/>
      <c r="P951" s="67"/>
      <c r="Q951" s="67"/>
      <c r="R951" s="67"/>
      <c r="S951" s="67"/>
      <c r="T951" s="67"/>
      <c r="U951" s="67"/>
      <c r="V951" s="67"/>
      <c r="W951" s="67"/>
      <c r="X951" s="67"/>
      <c r="Y951" s="67"/>
      <c r="Z951" s="67"/>
    </row>
    <row r="952" spans="1:26" ht="12.5">
      <c r="A952" s="68" t="s">
        <v>2264</v>
      </c>
      <c r="B952" s="68" t="s">
        <v>2285</v>
      </c>
      <c r="C952" s="68" t="s">
        <v>2316</v>
      </c>
      <c r="D952" s="68" t="s">
        <v>20</v>
      </c>
      <c r="E952" s="69">
        <v>2020</v>
      </c>
      <c r="F952" s="69">
        <v>24</v>
      </c>
      <c r="G952" s="69">
        <v>227.5</v>
      </c>
      <c r="H952" s="69">
        <v>18663</v>
      </c>
      <c r="I952" s="67"/>
      <c r="J952" s="67"/>
      <c r="K952" s="67"/>
      <c r="L952" s="67"/>
      <c r="M952" s="67"/>
      <c r="N952" s="67"/>
      <c r="O952" s="67"/>
      <c r="P952" s="67"/>
      <c r="Q952" s="67"/>
      <c r="R952" s="67"/>
      <c r="S952" s="67"/>
      <c r="T952" s="67"/>
      <c r="U952" s="67"/>
      <c r="V952" s="67"/>
      <c r="W952" s="67"/>
      <c r="X952" s="67"/>
      <c r="Y952" s="67"/>
      <c r="Z952" s="67"/>
    </row>
    <row r="953" spans="1:26" ht="12.5">
      <c r="A953" s="68" t="s">
        <v>2264</v>
      </c>
      <c r="B953" s="68" t="s">
        <v>2285</v>
      </c>
      <c r="C953" s="68" t="s">
        <v>2318</v>
      </c>
      <c r="D953" s="68" t="s">
        <v>28</v>
      </c>
      <c r="E953" s="69">
        <v>2020</v>
      </c>
      <c r="F953" s="69">
        <v>17</v>
      </c>
      <c r="G953" s="69">
        <v>216</v>
      </c>
      <c r="H953" s="69">
        <v>4454</v>
      </c>
      <c r="I953" s="67"/>
      <c r="J953" s="67"/>
      <c r="K953" s="67"/>
      <c r="L953" s="67"/>
      <c r="M953" s="67"/>
      <c r="N953" s="67"/>
      <c r="O953" s="67"/>
      <c r="P953" s="67"/>
      <c r="Q953" s="67"/>
      <c r="R953" s="67"/>
      <c r="S953" s="67"/>
      <c r="T953" s="67"/>
      <c r="U953" s="67"/>
      <c r="V953" s="67"/>
      <c r="W953" s="67"/>
      <c r="X953" s="67"/>
      <c r="Y953" s="67"/>
      <c r="Z953" s="67"/>
    </row>
    <row r="954" spans="1:26" ht="12.5">
      <c r="A954" s="68" t="s">
        <v>2264</v>
      </c>
      <c r="B954" s="68" t="s">
        <v>2285</v>
      </c>
      <c r="C954" s="68" t="s">
        <v>2320</v>
      </c>
      <c r="D954" s="68" t="s">
        <v>32</v>
      </c>
      <c r="E954" s="69">
        <v>2020</v>
      </c>
      <c r="F954" s="69">
        <v>14</v>
      </c>
      <c r="G954" s="69">
        <v>192.8</v>
      </c>
      <c r="H954" s="69">
        <v>7459</v>
      </c>
      <c r="I954" s="67"/>
      <c r="J954" s="67"/>
      <c r="K954" s="67"/>
      <c r="L954" s="67"/>
      <c r="M954" s="67"/>
      <c r="N954" s="67"/>
      <c r="O954" s="67"/>
      <c r="P954" s="67"/>
      <c r="Q954" s="67"/>
      <c r="R954" s="67"/>
      <c r="S954" s="67"/>
      <c r="T954" s="67"/>
      <c r="U954" s="67"/>
      <c r="V954" s="67"/>
      <c r="W954" s="67"/>
      <c r="X954" s="67"/>
      <c r="Y954" s="67"/>
      <c r="Z954" s="67"/>
    </row>
    <row r="955" spans="1:26" ht="12.5">
      <c r="A955" s="68" t="s">
        <v>2264</v>
      </c>
      <c r="B955" s="68" t="s">
        <v>2285</v>
      </c>
      <c r="C955" s="68" t="s">
        <v>2323</v>
      </c>
      <c r="D955" s="68" t="s">
        <v>28</v>
      </c>
      <c r="E955" s="69">
        <v>2020</v>
      </c>
      <c r="F955" s="69">
        <v>18</v>
      </c>
      <c r="G955" s="69">
        <v>217.4</v>
      </c>
      <c r="H955" s="69">
        <v>7937</v>
      </c>
      <c r="I955" s="67"/>
      <c r="J955" s="67"/>
      <c r="K955" s="67"/>
      <c r="L955" s="67"/>
      <c r="M955" s="67"/>
      <c r="N955" s="67"/>
      <c r="O955" s="67"/>
      <c r="P955" s="67"/>
      <c r="Q955" s="67"/>
      <c r="R955" s="67"/>
      <c r="S955" s="67"/>
      <c r="T955" s="67"/>
      <c r="U955" s="67"/>
      <c r="V955" s="67"/>
      <c r="W955" s="67"/>
      <c r="X955" s="67"/>
      <c r="Y955" s="67"/>
      <c r="Z955" s="67"/>
    </row>
    <row r="956" spans="1:26" ht="12.5">
      <c r="A956" s="68" t="s">
        <v>2264</v>
      </c>
      <c r="B956" s="68" t="s">
        <v>2285</v>
      </c>
      <c r="C956" s="68" t="s">
        <v>2325</v>
      </c>
      <c r="D956" s="68" t="s">
        <v>28</v>
      </c>
      <c r="E956" s="69">
        <v>2020</v>
      </c>
      <c r="F956" s="69">
        <v>10</v>
      </c>
      <c r="G956" s="69">
        <v>106.8</v>
      </c>
      <c r="H956" s="69">
        <v>2702</v>
      </c>
      <c r="I956" s="67"/>
      <c r="J956" s="67"/>
      <c r="K956" s="67"/>
      <c r="L956" s="67"/>
      <c r="M956" s="67"/>
      <c r="N956" s="67"/>
      <c r="O956" s="67"/>
      <c r="P956" s="67"/>
      <c r="Q956" s="67"/>
      <c r="R956" s="67"/>
      <c r="S956" s="67"/>
      <c r="T956" s="67"/>
      <c r="U956" s="67"/>
      <c r="V956" s="67"/>
      <c r="W956" s="67"/>
      <c r="X956" s="67"/>
      <c r="Y956" s="67"/>
      <c r="Z956" s="67"/>
    </row>
    <row r="957" spans="1:26" ht="12.5">
      <c r="A957" s="68" t="s">
        <v>2264</v>
      </c>
      <c r="B957" s="68" t="s">
        <v>2327</v>
      </c>
      <c r="C957" s="68" t="s">
        <v>2328</v>
      </c>
      <c r="D957" s="68" t="s">
        <v>28</v>
      </c>
      <c r="E957" s="69">
        <v>2020</v>
      </c>
      <c r="F957" s="69">
        <v>11</v>
      </c>
      <c r="G957" s="69">
        <v>121.1</v>
      </c>
      <c r="H957" s="69">
        <v>6930</v>
      </c>
      <c r="I957" s="67"/>
      <c r="J957" s="67"/>
      <c r="K957" s="67"/>
      <c r="L957" s="67"/>
      <c r="M957" s="67"/>
      <c r="N957" s="67"/>
      <c r="O957" s="67"/>
      <c r="P957" s="67"/>
      <c r="Q957" s="67"/>
      <c r="R957" s="67"/>
      <c r="S957" s="67"/>
      <c r="T957" s="67"/>
      <c r="U957" s="67"/>
      <c r="V957" s="67"/>
      <c r="W957" s="67"/>
      <c r="X957" s="67"/>
      <c r="Y957" s="67"/>
      <c r="Z957" s="67"/>
    </row>
    <row r="958" spans="1:26" ht="12.5">
      <c r="A958" s="68" t="s">
        <v>2264</v>
      </c>
      <c r="B958" s="68" t="s">
        <v>2327</v>
      </c>
      <c r="C958" s="68" t="s">
        <v>2330</v>
      </c>
      <c r="D958" s="68" t="s">
        <v>20</v>
      </c>
      <c r="E958" s="69">
        <v>2020</v>
      </c>
      <c r="F958" s="69">
        <v>37</v>
      </c>
      <c r="G958" s="69">
        <v>1184.4000000000001</v>
      </c>
      <c r="H958" s="69">
        <v>51285</v>
      </c>
      <c r="I958" s="67"/>
      <c r="J958" s="67"/>
      <c r="K958" s="67"/>
      <c r="L958" s="67"/>
      <c r="M958" s="67"/>
      <c r="N958" s="67"/>
      <c r="O958" s="67"/>
      <c r="P958" s="67"/>
      <c r="Q958" s="67"/>
      <c r="R958" s="67"/>
      <c r="S958" s="67"/>
      <c r="T958" s="67"/>
      <c r="U958" s="67"/>
      <c r="V958" s="67"/>
      <c r="W958" s="67"/>
      <c r="X958" s="67"/>
      <c r="Y958" s="67"/>
      <c r="Z958" s="67"/>
    </row>
    <row r="959" spans="1:26" ht="12.5">
      <c r="A959" s="68" t="s">
        <v>2264</v>
      </c>
      <c r="B959" s="68" t="s">
        <v>2327</v>
      </c>
      <c r="C959" s="68" t="s">
        <v>2333</v>
      </c>
      <c r="D959" s="68" t="s">
        <v>28</v>
      </c>
      <c r="E959" s="69">
        <v>2020</v>
      </c>
      <c r="F959" s="69">
        <v>12</v>
      </c>
      <c r="G959" s="69">
        <v>90</v>
      </c>
      <c r="H959" s="69">
        <v>4118</v>
      </c>
      <c r="I959" s="67"/>
      <c r="J959" s="67"/>
      <c r="K959" s="67"/>
      <c r="L959" s="67"/>
      <c r="M959" s="67"/>
      <c r="N959" s="67"/>
      <c r="O959" s="67"/>
      <c r="P959" s="67"/>
      <c r="Q959" s="67"/>
      <c r="R959" s="67"/>
      <c r="S959" s="67"/>
      <c r="T959" s="67"/>
      <c r="U959" s="67"/>
      <c r="V959" s="67"/>
      <c r="W959" s="67"/>
      <c r="X959" s="67"/>
      <c r="Y959" s="67"/>
      <c r="Z959" s="67"/>
    </row>
    <row r="960" spans="1:26" ht="12.5">
      <c r="A960" s="68" t="s">
        <v>2264</v>
      </c>
      <c r="B960" s="68" t="s">
        <v>2327</v>
      </c>
      <c r="C960" s="68" t="s">
        <v>2335</v>
      </c>
      <c r="D960" s="68" t="s">
        <v>28</v>
      </c>
      <c r="E960" s="69">
        <v>2020</v>
      </c>
      <c r="F960" s="69">
        <v>11</v>
      </c>
      <c r="G960" s="69">
        <v>122</v>
      </c>
      <c r="H960" s="69">
        <v>9830</v>
      </c>
      <c r="I960" s="67"/>
      <c r="J960" s="67"/>
      <c r="K960" s="67"/>
      <c r="L960" s="67"/>
      <c r="M960" s="67"/>
      <c r="N960" s="67"/>
      <c r="O960" s="67"/>
      <c r="P960" s="67"/>
      <c r="Q960" s="67"/>
      <c r="R960" s="67"/>
      <c r="S960" s="67"/>
      <c r="T960" s="67"/>
      <c r="U960" s="67"/>
      <c r="V960" s="67"/>
      <c r="W960" s="67"/>
      <c r="X960" s="67"/>
      <c r="Y960" s="67"/>
      <c r="Z960" s="67"/>
    </row>
    <row r="961" spans="1:26" ht="12.5">
      <c r="A961" s="68" t="s">
        <v>2264</v>
      </c>
      <c r="B961" s="68" t="s">
        <v>2327</v>
      </c>
      <c r="C961" s="68" t="s">
        <v>2338</v>
      </c>
      <c r="D961" s="68" t="s">
        <v>28</v>
      </c>
      <c r="E961" s="69">
        <v>2020</v>
      </c>
      <c r="F961" s="69">
        <v>16</v>
      </c>
      <c r="G961" s="69">
        <v>191.6</v>
      </c>
      <c r="H961" s="69">
        <v>7892</v>
      </c>
      <c r="I961" s="67"/>
      <c r="J961" s="67"/>
      <c r="K961" s="67"/>
      <c r="L961" s="67"/>
      <c r="M961" s="67"/>
      <c r="N961" s="67"/>
      <c r="O961" s="67"/>
      <c r="P961" s="67"/>
      <c r="Q961" s="67"/>
      <c r="R961" s="67"/>
      <c r="S961" s="67"/>
      <c r="T961" s="67"/>
      <c r="U961" s="67"/>
      <c r="V961" s="67"/>
      <c r="W961" s="67"/>
      <c r="X961" s="67"/>
      <c r="Y961" s="67"/>
      <c r="Z961" s="67"/>
    </row>
    <row r="962" spans="1:26" ht="12.5">
      <c r="A962" s="68" t="s">
        <v>2264</v>
      </c>
      <c r="B962" s="68" t="s">
        <v>2327</v>
      </c>
      <c r="C962" s="68" t="s">
        <v>2341</v>
      </c>
      <c r="D962" s="68" t="s">
        <v>28</v>
      </c>
      <c r="E962" s="69">
        <v>2020</v>
      </c>
      <c r="F962" s="69">
        <v>6</v>
      </c>
      <c r="G962" s="69">
        <v>103.2</v>
      </c>
      <c r="H962" s="69">
        <v>3736</v>
      </c>
      <c r="I962" s="67"/>
      <c r="J962" s="67"/>
      <c r="K962" s="67"/>
      <c r="L962" s="67"/>
      <c r="M962" s="67"/>
      <c r="N962" s="67"/>
      <c r="O962" s="67"/>
      <c r="P962" s="67"/>
      <c r="Q962" s="67"/>
      <c r="R962" s="67"/>
      <c r="S962" s="67"/>
      <c r="T962" s="67"/>
      <c r="U962" s="67"/>
      <c r="V962" s="67"/>
      <c r="W962" s="67"/>
      <c r="X962" s="67"/>
      <c r="Y962" s="67"/>
      <c r="Z962" s="67"/>
    </row>
    <row r="963" spans="1:26" ht="12.5">
      <c r="A963" s="68" t="s">
        <v>2264</v>
      </c>
      <c r="B963" s="68" t="s">
        <v>2327</v>
      </c>
      <c r="C963" s="68" t="s">
        <v>2343</v>
      </c>
      <c r="D963" s="68" t="s">
        <v>28</v>
      </c>
      <c r="E963" s="69">
        <v>2020</v>
      </c>
      <c r="F963" s="69">
        <v>12</v>
      </c>
      <c r="G963" s="69">
        <v>201.9</v>
      </c>
      <c r="H963" s="69">
        <v>7114</v>
      </c>
      <c r="I963" s="67"/>
      <c r="J963" s="67"/>
      <c r="K963" s="67"/>
      <c r="L963" s="67"/>
      <c r="M963" s="67"/>
      <c r="N963" s="67"/>
      <c r="O963" s="67"/>
      <c r="P963" s="67"/>
      <c r="Q963" s="67"/>
      <c r="R963" s="67"/>
      <c r="S963" s="67"/>
      <c r="T963" s="67"/>
      <c r="U963" s="67"/>
      <c r="V963" s="67"/>
      <c r="W963" s="67"/>
      <c r="X963" s="67"/>
      <c r="Y963" s="67"/>
      <c r="Z963" s="67"/>
    </row>
    <row r="964" spans="1:26" ht="12.5">
      <c r="A964" s="68" t="s">
        <v>2264</v>
      </c>
      <c r="B964" s="68" t="s">
        <v>2327</v>
      </c>
      <c r="C964" s="68" t="s">
        <v>626</v>
      </c>
      <c r="D964" s="68" t="s">
        <v>28</v>
      </c>
      <c r="E964" s="69">
        <v>2020</v>
      </c>
      <c r="F964" s="69">
        <v>12</v>
      </c>
      <c r="G964" s="69">
        <v>131.69999999999999</v>
      </c>
      <c r="H964" s="69">
        <v>10657</v>
      </c>
      <c r="I964" s="67"/>
      <c r="J964" s="67"/>
      <c r="K964" s="67"/>
      <c r="L964" s="67"/>
      <c r="M964" s="67"/>
      <c r="N964" s="67"/>
      <c r="O964" s="67"/>
      <c r="P964" s="67"/>
      <c r="Q964" s="67"/>
      <c r="R964" s="67"/>
      <c r="S964" s="67"/>
      <c r="T964" s="67"/>
      <c r="U964" s="67"/>
      <c r="V964" s="67"/>
      <c r="W964" s="67"/>
      <c r="X964" s="67"/>
      <c r="Y964" s="67"/>
      <c r="Z964" s="67"/>
    </row>
    <row r="965" spans="1:26" ht="12.5">
      <c r="A965" s="68" t="s">
        <v>2264</v>
      </c>
      <c r="B965" s="68" t="s">
        <v>2327</v>
      </c>
      <c r="C965" s="68" t="s">
        <v>2346</v>
      </c>
      <c r="D965" s="68" t="s">
        <v>32</v>
      </c>
      <c r="E965" s="69">
        <v>2020</v>
      </c>
      <c r="F965" s="69">
        <v>40</v>
      </c>
      <c r="G965" s="69">
        <v>480.3</v>
      </c>
      <c r="H965" s="69">
        <v>22923</v>
      </c>
      <c r="I965" s="67"/>
      <c r="J965" s="67"/>
      <c r="K965" s="67"/>
      <c r="L965" s="67"/>
      <c r="M965" s="67"/>
      <c r="N965" s="67"/>
      <c r="O965" s="67"/>
      <c r="P965" s="67"/>
      <c r="Q965" s="67"/>
      <c r="R965" s="67"/>
      <c r="S965" s="67"/>
      <c r="T965" s="67"/>
      <c r="U965" s="67"/>
      <c r="V965" s="67"/>
      <c r="W965" s="67"/>
      <c r="X965" s="67"/>
      <c r="Y965" s="67"/>
      <c r="Z965" s="67"/>
    </row>
    <row r="966" spans="1:26" ht="12.5">
      <c r="A966" s="68" t="s">
        <v>2264</v>
      </c>
      <c r="B966" s="68" t="s">
        <v>2327</v>
      </c>
      <c r="C966" s="68" t="s">
        <v>2349</v>
      </c>
      <c r="D966" s="68" t="s">
        <v>28</v>
      </c>
      <c r="E966" s="69">
        <v>2020</v>
      </c>
      <c r="F966" s="69">
        <v>9</v>
      </c>
      <c r="G966" s="69">
        <v>225.5</v>
      </c>
      <c r="H966" s="69">
        <v>6242</v>
      </c>
      <c r="I966" s="67"/>
      <c r="J966" s="67"/>
      <c r="K966" s="67"/>
      <c r="L966" s="67"/>
      <c r="M966" s="67"/>
      <c r="N966" s="67"/>
      <c r="O966" s="67"/>
      <c r="P966" s="67"/>
      <c r="Q966" s="67"/>
      <c r="R966" s="67"/>
      <c r="S966" s="67"/>
      <c r="T966" s="67"/>
      <c r="U966" s="67"/>
      <c r="V966" s="67"/>
      <c r="W966" s="67"/>
      <c r="X966" s="67"/>
      <c r="Y966" s="67"/>
      <c r="Z966" s="67"/>
    </row>
    <row r="967" spans="1:26" ht="12.5">
      <c r="A967" s="68" t="s">
        <v>2264</v>
      </c>
      <c r="B967" s="68" t="s">
        <v>2327</v>
      </c>
      <c r="C967" s="68" t="s">
        <v>2351</v>
      </c>
      <c r="D967" s="68" t="s">
        <v>28</v>
      </c>
      <c r="E967" s="69">
        <v>2020</v>
      </c>
      <c r="F967" s="69">
        <v>17</v>
      </c>
      <c r="G967" s="69">
        <v>157.1</v>
      </c>
      <c r="H967" s="69">
        <v>5802</v>
      </c>
      <c r="I967" s="67"/>
      <c r="J967" s="67"/>
      <c r="K967" s="67"/>
      <c r="L967" s="67"/>
      <c r="M967" s="67"/>
      <c r="N967" s="67"/>
      <c r="O967" s="67"/>
      <c r="P967" s="67"/>
      <c r="Q967" s="67"/>
      <c r="R967" s="67"/>
      <c r="S967" s="67"/>
      <c r="T967" s="67"/>
      <c r="U967" s="67"/>
      <c r="V967" s="67"/>
      <c r="W967" s="67"/>
      <c r="X967" s="67"/>
      <c r="Y967" s="67"/>
      <c r="Z967" s="67"/>
    </row>
    <row r="968" spans="1:26" ht="12.5">
      <c r="A968" s="68" t="s">
        <v>2264</v>
      </c>
      <c r="B968" s="68" t="s">
        <v>2327</v>
      </c>
      <c r="C968" s="68" t="s">
        <v>2353</v>
      </c>
      <c r="D968" s="68" t="s">
        <v>28</v>
      </c>
      <c r="E968" s="69">
        <v>2020</v>
      </c>
      <c r="F968" s="69">
        <v>15</v>
      </c>
      <c r="G968" s="69">
        <v>149.30000000000001</v>
      </c>
      <c r="H968" s="69">
        <v>9940</v>
      </c>
      <c r="I968" s="67"/>
      <c r="J968" s="67"/>
      <c r="K968" s="67"/>
      <c r="L968" s="67"/>
      <c r="M968" s="67"/>
      <c r="N968" s="67"/>
      <c r="O968" s="67"/>
      <c r="P968" s="67"/>
      <c r="Q968" s="67"/>
      <c r="R968" s="67"/>
      <c r="S968" s="67"/>
      <c r="T968" s="67"/>
      <c r="U968" s="67"/>
      <c r="V968" s="67"/>
      <c r="W968" s="67"/>
      <c r="X968" s="67"/>
      <c r="Y968" s="67"/>
      <c r="Z968" s="67"/>
    </row>
    <row r="969" spans="1:26" ht="12.5">
      <c r="A969" s="68" t="s">
        <v>2264</v>
      </c>
      <c r="B969" s="68" t="s">
        <v>2327</v>
      </c>
      <c r="C969" s="68" t="s">
        <v>2356</v>
      </c>
      <c r="D969" s="68" t="s">
        <v>20</v>
      </c>
      <c r="E969" s="69">
        <v>2020</v>
      </c>
      <c r="F969" s="69">
        <v>14</v>
      </c>
      <c r="G969" s="69">
        <v>152.19999999999999</v>
      </c>
      <c r="H969" s="69">
        <v>31528</v>
      </c>
      <c r="I969" s="67"/>
      <c r="J969" s="67"/>
      <c r="K969" s="67"/>
      <c r="L969" s="67"/>
      <c r="M969" s="67"/>
      <c r="N969" s="67"/>
      <c r="O969" s="67"/>
      <c r="P969" s="67"/>
      <c r="Q969" s="67"/>
      <c r="R969" s="67"/>
      <c r="S969" s="67"/>
      <c r="T969" s="67"/>
      <c r="U969" s="67"/>
      <c r="V969" s="67"/>
      <c r="W969" s="67"/>
      <c r="X969" s="67"/>
      <c r="Y969" s="67"/>
      <c r="Z969" s="67"/>
    </row>
    <row r="970" spans="1:26" ht="12.5">
      <c r="A970" s="68" t="s">
        <v>2264</v>
      </c>
      <c r="B970" s="68" t="s">
        <v>2327</v>
      </c>
      <c r="C970" s="68" t="s">
        <v>2359</v>
      </c>
      <c r="D970" s="68" t="s">
        <v>28</v>
      </c>
      <c r="E970" s="69">
        <v>2020</v>
      </c>
      <c r="F970" s="69">
        <v>15</v>
      </c>
      <c r="G970" s="69">
        <v>192.5</v>
      </c>
      <c r="H970" s="69">
        <v>13394</v>
      </c>
      <c r="I970" s="67"/>
      <c r="J970" s="67"/>
      <c r="K970" s="67"/>
      <c r="L970" s="67"/>
      <c r="M970" s="67"/>
      <c r="N970" s="67"/>
      <c r="O970" s="67"/>
      <c r="P970" s="67"/>
      <c r="Q970" s="67"/>
      <c r="R970" s="67"/>
      <c r="S970" s="67"/>
      <c r="T970" s="67"/>
      <c r="U970" s="67"/>
      <c r="V970" s="67"/>
      <c r="W970" s="67"/>
      <c r="X970" s="67"/>
      <c r="Y970" s="67"/>
      <c r="Z970" s="67"/>
    </row>
    <row r="971" spans="1:26" ht="12.5">
      <c r="A971" s="68" t="s">
        <v>2264</v>
      </c>
      <c r="B971" s="68" t="s">
        <v>2327</v>
      </c>
      <c r="C971" s="68" t="s">
        <v>2362</v>
      </c>
      <c r="D971" s="68" t="s">
        <v>32</v>
      </c>
      <c r="E971" s="69">
        <v>2020</v>
      </c>
      <c r="F971" s="69">
        <v>6</v>
      </c>
      <c r="G971" s="69">
        <v>110.6</v>
      </c>
      <c r="H971" s="69">
        <v>13744</v>
      </c>
      <c r="I971" s="67"/>
      <c r="J971" s="67"/>
      <c r="K971" s="67"/>
      <c r="L971" s="67"/>
      <c r="M971" s="67"/>
      <c r="N971" s="67"/>
      <c r="O971" s="67"/>
      <c r="P971" s="67"/>
      <c r="Q971" s="67"/>
      <c r="R971" s="67"/>
      <c r="S971" s="67"/>
      <c r="T971" s="67"/>
      <c r="U971" s="67"/>
      <c r="V971" s="67"/>
      <c r="W971" s="67"/>
      <c r="X971" s="67"/>
      <c r="Y971" s="67"/>
      <c r="Z971" s="67"/>
    </row>
    <row r="972" spans="1:26" ht="12.5">
      <c r="A972" s="68" t="s">
        <v>2264</v>
      </c>
      <c r="B972" s="68" t="s">
        <v>2327</v>
      </c>
      <c r="C972" s="68" t="s">
        <v>2364</v>
      </c>
      <c r="D972" s="68" t="s">
        <v>20</v>
      </c>
      <c r="E972" s="69">
        <v>2020</v>
      </c>
      <c r="F972" s="69">
        <v>34</v>
      </c>
      <c r="G972" s="69">
        <v>527.79999999999995</v>
      </c>
      <c r="H972" s="69">
        <v>24327</v>
      </c>
      <c r="I972" s="67"/>
      <c r="J972" s="67"/>
      <c r="K972" s="67"/>
      <c r="L972" s="67"/>
      <c r="M972" s="67"/>
      <c r="N972" s="67"/>
      <c r="O972" s="67"/>
      <c r="P972" s="67"/>
      <c r="Q972" s="67"/>
      <c r="R972" s="67"/>
      <c r="S972" s="67"/>
      <c r="T972" s="67"/>
      <c r="U972" s="67"/>
      <c r="V972" s="67"/>
      <c r="W972" s="67"/>
      <c r="X972" s="67"/>
      <c r="Y972" s="67"/>
      <c r="Z972" s="67"/>
    </row>
    <row r="973" spans="1:26" ht="12.5">
      <c r="A973" s="68" t="s">
        <v>2264</v>
      </c>
      <c r="B973" s="68" t="s">
        <v>2327</v>
      </c>
      <c r="C973" s="68" t="s">
        <v>634</v>
      </c>
      <c r="D973" s="68" t="s">
        <v>28</v>
      </c>
      <c r="E973" s="69">
        <v>2020</v>
      </c>
      <c r="F973" s="69">
        <v>5</v>
      </c>
      <c r="G973" s="69">
        <v>66</v>
      </c>
      <c r="H973" s="69">
        <v>7439</v>
      </c>
      <c r="I973" s="67"/>
      <c r="J973" s="67"/>
      <c r="K973" s="67"/>
      <c r="L973" s="67"/>
      <c r="M973" s="67"/>
      <c r="N973" s="67"/>
      <c r="O973" s="67"/>
      <c r="P973" s="67"/>
      <c r="Q973" s="67"/>
      <c r="R973" s="67"/>
      <c r="S973" s="67"/>
      <c r="T973" s="67"/>
      <c r="U973" s="67"/>
      <c r="V973" s="67"/>
      <c r="W973" s="67"/>
      <c r="X973" s="67"/>
      <c r="Y973" s="67"/>
      <c r="Z973" s="67"/>
    </row>
    <row r="974" spans="1:26" ht="12.5">
      <c r="A974" s="68" t="s">
        <v>2264</v>
      </c>
      <c r="B974" s="68" t="s">
        <v>2327</v>
      </c>
      <c r="C974" s="68" t="s">
        <v>2368</v>
      </c>
      <c r="D974" s="68" t="s">
        <v>20</v>
      </c>
      <c r="E974" s="69">
        <v>2020</v>
      </c>
      <c r="F974" s="69">
        <v>30</v>
      </c>
      <c r="G974" s="69">
        <v>653.4</v>
      </c>
      <c r="H974" s="69">
        <v>44042</v>
      </c>
      <c r="I974" s="67"/>
      <c r="J974" s="67"/>
      <c r="K974" s="67"/>
      <c r="L974" s="67"/>
      <c r="M974" s="67"/>
      <c r="N974" s="67"/>
      <c r="O974" s="67"/>
      <c r="P974" s="67"/>
      <c r="Q974" s="67"/>
      <c r="R974" s="67"/>
      <c r="S974" s="67"/>
      <c r="T974" s="67"/>
      <c r="U974" s="67"/>
      <c r="V974" s="67"/>
      <c r="W974" s="67"/>
      <c r="X974" s="67"/>
      <c r="Y974" s="67"/>
      <c r="Z974" s="67"/>
    </row>
    <row r="975" spans="1:26" ht="12.5">
      <c r="A975" s="68" t="s">
        <v>2264</v>
      </c>
      <c r="B975" s="68" t="s">
        <v>2327</v>
      </c>
      <c r="C975" s="68" t="s">
        <v>691</v>
      </c>
      <c r="D975" s="68" t="s">
        <v>28</v>
      </c>
      <c r="E975" s="69">
        <v>2020</v>
      </c>
      <c r="F975" s="69">
        <v>6</v>
      </c>
      <c r="G975" s="69">
        <v>210.7</v>
      </c>
      <c r="H975" s="69">
        <v>5615</v>
      </c>
      <c r="I975" s="67"/>
      <c r="J975" s="67"/>
      <c r="K975" s="67"/>
      <c r="L975" s="67"/>
      <c r="M975" s="67"/>
      <c r="N975" s="67"/>
      <c r="O975" s="67"/>
      <c r="P975" s="67"/>
      <c r="Q975" s="67"/>
      <c r="R975" s="67"/>
      <c r="S975" s="67"/>
      <c r="T975" s="67"/>
      <c r="U975" s="67"/>
      <c r="V975" s="67"/>
      <c r="W975" s="67"/>
      <c r="X975" s="67"/>
      <c r="Y975" s="67"/>
      <c r="Z975" s="67"/>
    </row>
    <row r="976" spans="1:26" ht="12.5">
      <c r="A976" s="68" t="s">
        <v>2264</v>
      </c>
      <c r="B976" s="68" t="s">
        <v>2327</v>
      </c>
      <c r="C976" s="68" t="s">
        <v>2372</v>
      </c>
      <c r="D976" s="68" t="s">
        <v>28</v>
      </c>
      <c r="E976" s="69">
        <v>2020</v>
      </c>
      <c r="F976" s="69">
        <v>11</v>
      </c>
      <c r="G976" s="69">
        <v>416.7</v>
      </c>
      <c r="H976" s="69">
        <v>5649</v>
      </c>
      <c r="I976" s="67"/>
      <c r="J976" s="67"/>
      <c r="K976" s="67"/>
      <c r="L976" s="67"/>
      <c r="M976" s="67"/>
      <c r="N976" s="67"/>
      <c r="O976" s="67"/>
      <c r="P976" s="67"/>
      <c r="Q976" s="67"/>
      <c r="R976" s="67"/>
      <c r="S976" s="67"/>
      <c r="T976" s="67"/>
      <c r="U976" s="67"/>
      <c r="V976" s="67"/>
      <c r="W976" s="67"/>
      <c r="X976" s="67"/>
      <c r="Y976" s="67"/>
      <c r="Z976" s="67"/>
    </row>
    <row r="977" spans="1:26" ht="12.5">
      <c r="A977" s="68" t="s">
        <v>2264</v>
      </c>
      <c r="B977" s="68" t="s">
        <v>2327</v>
      </c>
      <c r="C977" s="68" t="s">
        <v>2374</v>
      </c>
      <c r="D977" s="68" t="s">
        <v>32</v>
      </c>
      <c r="E977" s="69">
        <v>2020</v>
      </c>
      <c r="F977" s="69">
        <v>26</v>
      </c>
      <c r="G977" s="69">
        <v>356.6</v>
      </c>
      <c r="H977" s="69">
        <v>14127</v>
      </c>
      <c r="I977" s="67"/>
      <c r="J977" s="67"/>
      <c r="K977" s="67"/>
      <c r="L977" s="67"/>
      <c r="M977" s="67"/>
      <c r="N977" s="67"/>
      <c r="O977" s="67"/>
      <c r="P977" s="67"/>
      <c r="Q977" s="67"/>
      <c r="R977" s="67"/>
      <c r="S977" s="67"/>
      <c r="T977" s="67"/>
      <c r="U977" s="67"/>
      <c r="V977" s="67"/>
      <c r="W977" s="67"/>
      <c r="X977" s="67"/>
      <c r="Y977" s="67"/>
      <c r="Z977" s="67"/>
    </row>
    <row r="978" spans="1:26" ht="12.5">
      <c r="A978" s="68" t="s">
        <v>2264</v>
      </c>
      <c r="B978" s="68" t="s">
        <v>2327</v>
      </c>
      <c r="C978" s="68" t="s">
        <v>1515</v>
      </c>
      <c r="D978" s="68" t="s">
        <v>28</v>
      </c>
      <c r="E978" s="69">
        <v>2020</v>
      </c>
      <c r="F978" s="69">
        <v>15</v>
      </c>
      <c r="G978" s="69">
        <v>207.8</v>
      </c>
      <c r="H978" s="69">
        <v>9799</v>
      </c>
      <c r="I978" s="67"/>
      <c r="J978" s="67"/>
      <c r="K978" s="67"/>
      <c r="L978" s="67"/>
      <c r="M978" s="67"/>
      <c r="N978" s="67"/>
      <c r="O978" s="67"/>
      <c r="P978" s="67"/>
      <c r="Q978" s="67"/>
      <c r="R978" s="67"/>
      <c r="S978" s="67"/>
      <c r="T978" s="67"/>
      <c r="U978" s="67"/>
      <c r="V978" s="67"/>
      <c r="W978" s="67"/>
      <c r="X978" s="67"/>
      <c r="Y978" s="67"/>
      <c r="Z978" s="67"/>
    </row>
    <row r="979" spans="1:26" ht="12.5">
      <c r="A979" s="68" t="s">
        <v>2264</v>
      </c>
      <c r="B979" s="68" t="s">
        <v>2327</v>
      </c>
      <c r="C979" s="68" t="s">
        <v>2378</v>
      </c>
      <c r="D979" s="68" t="s">
        <v>20</v>
      </c>
      <c r="E979" s="69">
        <v>2020</v>
      </c>
      <c r="F979" s="69">
        <v>56</v>
      </c>
      <c r="G979" s="69">
        <v>704.7</v>
      </c>
      <c r="H979" s="69">
        <v>42678</v>
      </c>
      <c r="I979" s="67"/>
      <c r="J979" s="67"/>
      <c r="K979" s="67"/>
      <c r="L979" s="67"/>
      <c r="M979" s="67"/>
      <c r="N979" s="67"/>
      <c r="O979" s="67"/>
      <c r="P979" s="67"/>
      <c r="Q979" s="67"/>
      <c r="R979" s="67"/>
      <c r="S979" s="67"/>
      <c r="T979" s="67"/>
      <c r="U979" s="67"/>
      <c r="V979" s="67"/>
      <c r="W979" s="67"/>
      <c r="X979" s="67"/>
      <c r="Y979" s="67"/>
      <c r="Z979" s="67"/>
    </row>
    <row r="980" spans="1:26" ht="12.5">
      <c r="A980" s="68" t="s">
        <v>2264</v>
      </c>
      <c r="B980" s="68" t="s">
        <v>2327</v>
      </c>
      <c r="C980" s="68" t="s">
        <v>240</v>
      </c>
      <c r="D980" s="68" t="s">
        <v>20</v>
      </c>
      <c r="E980" s="69">
        <v>2020</v>
      </c>
      <c r="F980" s="69">
        <v>2</v>
      </c>
      <c r="G980" s="69">
        <v>62.7</v>
      </c>
      <c r="H980" s="69">
        <v>253406</v>
      </c>
      <c r="I980" s="67"/>
      <c r="J980" s="67"/>
      <c r="K980" s="67"/>
      <c r="L980" s="67"/>
      <c r="M980" s="67"/>
      <c r="N980" s="67"/>
      <c r="O980" s="67"/>
      <c r="P980" s="67"/>
      <c r="Q980" s="67"/>
      <c r="R980" s="67"/>
      <c r="S980" s="67"/>
      <c r="T980" s="67"/>
      <c r="U980" s="67"/>
      <c r="V980" s="67"/>
      <c r="W980" s="67"/>
      <c r="X980" s="67"/>
      <c r="Y980" s="67"/>
      <c r="Z980" s="67"/>
    </row>
    <row r="981" spans="1:26" ht="12.5">
      <c r="A981" s="68" t="s">
        <v>2264</v>
      </c>
      <c r="B981" s="68" t="s">
        <v>2327</v>
      </c>
      <c r="C981" s="68" t="s">
        <v>2382</v>
      </c>
      <c r="D981" s="68" t="s">
        <v>32</v>
      </c>
      <c r="E981" s="69">
        <v>2020</v>
      </c>
      <c r="F981" s="69">
        <v>12</v>
      </c>
      <c r="G981" s="69">
        <v>316.5</v>
      </c>
      <c r="H981" s="69">
        <v>6756</v>
      </c>
      <c r="I981" s="67"/>
      <c r="J981" s="67"/>
      <c r="K981" s="67"/>
      <c r="L981" s="67"/>
      <c r="M981" s="67"/>
      <c r="N981" s="67"/>
      <c r="O981" s="67"/>
      <c r="P981" s="67"/>
      <c r="Q981" s="67"/>
      <c r="R981" s="67"/>
      <c r="S981" s="67"/>
      <c r="T981" s="67"/>
      <c r="U981" s="67"/>
      <c r="V981" s="67"/>
      <c r="W981" s="67"/>
      <c r="X981" s="67"/>
      <c r="Y981" s="67"/>
      <c r="Z981" s="67"/>
    </row>
    <row r="982" spans="1:26" ht="12.5">
      <c r="A982" s="68" t="s">
        <v>2264</v>
      </c>
      <c r="B982" s="68" t="s">
        <v>2327</v>
      </c>
      <c r="C982" s="68" t="s">
        <v>2385</v>
      </c>
      <c r="D982" s="68" t="s">
        <v>28</v>
      </c>
      <c r="E982" s="69">
        <v>2020</v>
      </c>
      <c r="F982" s="69">
        <v>9</v>
      </c>
      <c r="G982" s="69">
        <v>80.3</v>
      </c>
      <c r="H982" s="69">
        <v>10558</v>
      </c>
      <c r="I982" s="67"/>
      <c r="J982" s="67"/>
      <c r="K982" s="67"/>
      <c r="L982" s="67"/>
      <c r="M982" s="67"/>
      <c r="N982" s="67"/>
      <c r="O982" s="67"/>
      <c r="P982" s="67"/>
      <c r="Q982" s="67"/>
      <c r="R982" s="67"/>
      <c r="S982" s="67"/>
      <c r="T982" s="67"/>
      <c r="U982" s="67"/>
      <c r="V982" s="67"/>
      <c r="W982" s="67"/>
      <c r="X982" s="67"/>
      <c r="Y982" s="67"/>
      <c r="Z982" s="67"/>
    </row>
    <row r="983" spans="1:26" ht="12.5">
      <c r="A983" s="68" t="s">
        <v>2264</v>
      </c>
      <c r="B983" s="68" t="s">
        <v>2387</v>
      </c>
      <c r="C983" s="68" t="s">
        <v>610</v>
      </c>
      <c r="D983" s="68" t="s">
        <v>28</v>
      </c>
      <c r="E983" s="69">
        <v>2020</v>
      </c>
      <c r="F983" s="69">
        <v>10</v>
      </c>
      <c r="G983" s="69">
        <v>505.4</v>
      </c>
      <c r="H983" s="69">
        <v>12022</v>
      </c>
      <c r="I983" s="67"/>
      <c r="J983" s="67"/>
      <c r="K983" s="67"/>
      <c r="L983" s="67"/>
      <c r="M983" s="67"/>
      <c r="N983" s="67"/>
      <c r="O983" s="67"/>
      <c r="P983" s="67"/>
      <c r="Q983" s="67"/>
      <c r="R983" s="67"/>
      <c r="S983" s="67"/>
      <c r="T983" s="67"/>
      <c r="U983" s="67"/>
      <c r="V983" s="67"/>
      <c r="W983" s="67"/>
      <c r="X983" s="67"/>
      <c r="Y983" s="67"/>
      <c r="Z983" s="67"/>
    </row>
    <row r="984" spans="1:26" ht="12.5">
      <c r="A984" s="68" t="s">
        <v>2264</v>
      </c>
      <c r="B984" s="68" t="s">
        <v>2387</v>
      </c>
      <c r="C984" s="68" t="s">
        <v>2390</v>
      </c>
      <c r="D984" s="68" t="s">
        <v>28</v>
      </c>
      <c r="E984" s="69">
        <v>2020</v>
      </c>
      <c r="F984" s="69">
        <v>11</v>
      </c>
      <c r="G984" s="69">
        <v>390</v>
      </c>
      <c r="H984" s="69">
        <v>12857</v>
      </c>
      <c r="I984" s="67"/>
      <c r="J984" s="67"/>
      <c r="K984" s="67"/>
      <c r="L984" s="67"/>
      <c r="M984" s="67"/>
      <c r="N984" s="67"/>
      <c r="O984" s="67"/>
      <c r="P984" s="67"/>
      <c r="Q984" s="67"/>
      <c r="R984" s="67"/>
      <c r="S984" s="67"/>
      <c r="T984" s="67"/>
      <c r="U984" s="67"/>
      <c r="V984" s="67"/>
      <c r="W984" s="67"/>
      <c r="X984" s="67"/>
      <c r="Y984" s="67"/>
      <c r="Z984" s="67"/>
    </row>
    <row r="985" spans="1:26" ht="12.5">
      <c r="A985" s="68" t="s">
        <v>2264</v>
      </c>
      <c r="B985" s="68" t="s">
        <v>2387</v>
      </c>
      <c r="C985" s="68" t="s">
        <v>2392</v>
      </c>
      <c r="D985" s="68" t="s">
        <v>28</v>
      </c>
      <c r="E985" s="69">
        <v>2020</v>
      </c>
      <c r="F985" s="69">
        <v>10</v>
      </c>
      <c r="G985" s="69">
        <v>299.60000000000002</v>
      </c>
      <c r="H985" s="69">
        <v>5694</v>
      </c>
      <c r="I985" s="67"/>
      <c r="J985" s="67"/>
      <c r="K985" s="67"/>
      <c r="L985" s="67"/>
      <c r="M985" s="67"/>
      <c r="N985" s="67"/>
      <c r="O985" s="67"/>
      <c r="P985" s="67"/>
      <c r="Q985" s="67"/>
      <c r="R985" s="67"/>
      <c r="S985" s="67"/>
      <c r="T985" s="67"/>
      <c r="U985" s="67"/>
      <c r="V985" s="67"/>
      <c r="W985" s="67"/>
      <c r="X985" s="67"/>
      <c r="Y985" s="67"/>
      <c r="Z985" s="67"/>
    </row>
    <row r="986" spans="1:26" ht="12.5">
      <c r="A986" s="68" t="s">
        <v>2264</v>
      </c>
      <c r="B986" s="68" t="s">
        <v>2387</v>
      </c>
      <c r="C986" s="68" t="s">
        <v>2394</v>
      </c>
      <c r="D986" s="68" t="s">
        <v>20</v>
      </c>
      <c r="E986" s="69">
        <v>2020</v>
      </c>
      <c r="F986" s="69">
        <v>40</v>
      </c>
      <c r="G986" s="69">
        <v>1094.2</v>
      </c>
      <c r="H986" s="69">
        <v>34625</v>
      </c>
      <c r="I986" s="67"/>
      <c r="J986" s="67"/>
      <c r="K986" s="67"/>
      <c r="L986" s="67"/>
      <c r="M986" s="67"/>
      <c r="N986" s="67"/>
      <c r="O986" s="67"/>
      <c r="P986" s="67"/>
      <c r="Q986" s="67"/>
      <c r="R986" s="67"/>
      <c r="S986" s="67"/>
      <c r="T986" s="67"/>
      <c r="U986" s="67"/>
      <c r="V986" s="67"/>
      <c r="W986" s="67"/>
      <c r="X986" s="67"/>
      <c r="Y986" s="67"/>
      <c r="Z986" s="67"/>
    </row>
    <row r="987" spans="1:26" ht="12.5">
      <c r="A987" s="68" t="s">
        <v>2264</v>
      </c>
      <c r="B987" s="68" t="s">
        <v>2387</v>
      </c>
      <c r="C987" s="68" t="s">
        <v>2397</v>
      </c>
      <c r="D987" s="68" t="s">
        <v>32</v>
      </c>
      <c r="E987" s="69">
        <v>2020</v>
      </c>
      <c r="F987" s="69">
        <v>7</v>
      </c>
      <c r="G987" s="69">
        <v>338.6</v>
      </c>
      <c r="H987" s="69">
        <v>10493</v>
      </c>
      <c r="I987" s="67"/>
      <c r="J987" s="67"/>
      <c r="K987" s="67"/>
      <c r="L987" s="67"/>
      <c r="M987" s="67"/>
      <c r="N987" s="67"/>
      <c r="O987" s="67"/>
      <c r="P987" s="67"/>
      <c r="Q987" s="67"/>
      <c r="R987" s="67"/>
      <c r="S987" s="67"/>
      <c r="T987" s="67"/>
      <c r="U987" s="67"/>
      <c r="V987" s="67"/>
      <c r="W987" s="67"/>
      <c r="X987" s="67"/>
      <c r="Y987" s="67"/>
      <c r="Z987" s="67"/>
    </row>
    <row r="988" spans="1:26" ht="12.5">
      <c r="A988" s="68" t="s">
        <v>2264</v>
      </c>
      <c r="B988" s="68" t="s">
        <v>2387</v>
      </c>
      <c r="C988" s="68" t="s">
        <v>2399</v>
      </c>
      <c r="D988" s="68" t="s">
        <v>28</v>
      </c>
      <c r="E988" s="69">
        <v>2020</v>
      </c>
      <c r="F988" s="69">
        <v>9</v>
      </c>
      <c r="G988" s="69">
        <v>422.5</v>
      </c>
      <c r="H988" s="69">
        <v>6164</v>
      </c>
      <c r="I988" s="67"/>
      <c r="J988" s="67"/>
      <c r="K988" s="67"/>
      <c r="L988" s="67"/>
      <c r="M988" s="67"/>
      <c r="N988" s="67"/>
      <c r="O988" s="67"/>
      <c r="P988" s="67"/>
      <c r="Q988" s="67"/>
      <c r="R988" s="67"/>
      <c r="S988" s="67"/>
      <c r="T988" s="67"/>
      <c r="U988" s="67"/>
      <c r="V988" s="67"/>
      <c r="W988" s="67"/>
      <c r="X988" s="67"/>
      <c r="Y988" s="67"/>
      <c r="Z988" s="67"/>
    </row>
    <row r="989" spans="1:26" ht="12.5">
      <c r="A989" s="68" t="s">
        <v>2264</v>
      </c>
      <c r="B989" s="68" t="s">
        <v>2387</v>
      </c>
      <c r="C989" s="68" t="s">
        <v>2401</v>
      </c>
      <c r="D989" s="68" t="s">
        <v>28</v>
      </c>
      <c r="E989" s="69">
        <v>2020</v>
      </c>
      <c r="F989" s="69">
        <v>6</v>
      </c>
      <c r="G989" s="69">
        <v>277.60000000000002</v>
      </c>
      <c r="H989" s="69">
        <v>11256</v>
      </c>
      <c r="I989" s="67"/>
      <c r="J989" s="67"/>
      <c r="K989" s="67"/>
      <c r="L989" s="67"/>
      <c r="M989" s="67"/>
      <c r="N989" s="67"/>
      <c r="O989" s="67"/>
      <c r="P989" s="67"/>
      <c r="Q989" s="67"/>
      <c r="R989" s="67"/>
      <c r="S989" s="67"/>
      <c r="T989" s="67"/>
      <c r="U989" s="67"/>
      <c r="V989" s="67"/>
      <c r="W989" s="67"/>
      <c r="X989" s="67"/>
      <c r="Y989" s="67"/>
      <c r="Z989" s="67"/>
    </row>
    <row r="990" spans="1:26" ht="12.5">
      <c r="A990" s="68" t="s">
        <v>2264</v>
      </c>
      <c r="B990" s="68" t="s">
        <v>2387</v>
      </c>
      <c r="C990" s="68" t="s">
        <v>2403</v>
      </c>
      <c r="D990" s="68" t="s">
        <v>32</v>
      </c>
      <c r="E990" s="69">
        <v>2020</v>
      </c>
      <c r="F990" s="69">
        <v>25</v>
      </c>
      <c r="G990" s="69">
        <v>1572.1</v>
      </c>
      <c r="H990" s="69">
        <v>39468</v>
      </c>
      <c r="I990" s="67"/>
      <c r="J990" s="67"/>
      <c r="K990" s="67"/>
      <c r="L990" s="67"/>
      <c r="M990" s="67"/>
      <c r="N990" s="67"/>
      <c r="O990" s="67"/>
      <c r="P990" s="67"/>
      <c r="Q990" s="67"/>
      <c r="R990" s="67"/>
      <c r="S990" s="67"/>
      <c r="T990" s="67"/>
      <c r="U990" s="67"/>
      <c r="V990" s="67"/>
      <c r="W990" s="67"/>
      <c r="X990" s="67"/>
      <c r="Y990" s="67"/>
      <c r="Z990" s="67"/>
    </row>
    <row r="991" spans="1:26" ht="12.5">
      <c r="A991" s="68" t="s">
        <v>2264</v>
      </c>
      <c r="B991" s="68" t="s">
        <v>2387</v>
      </c>
      <c r="C991" s="68" t="s">
        <v>2405</v>
      </c>
      <c r="D991" s="68" t="s">
        <v>20</v>
      </c>
      <c r="E991" s="69">
        <v>2020</v>
      </c>
      <c r="F991" s="69">
        <v>36</v>
      </c>
      <c r="G991" s="69">
        <v>815.4</v>
      </c>
      <c r="H991" s="69">
        <v>65963</v>
      </c>
      <c r="I991" s="67"/>
      <c r="J991" s="67"/>
      <c r="K991" s="67"/>
      <c r="L991" s="67"/>
      <c r="M991" s="67"/>
      <c r="N991" s="67"/>
      <c r="O991" s="67"/>
      <c r="P991" s="67"/>
      <c r="Q991" s="67"/>
      <c r="R991" s="67"/>
      <c r="S991" s="67"/>
      <c r="T991" s="67"/>
      <c r="U991" s="67"/>
      <c r="V991" s="67"/>
      <c r="W991" s="67"/>
      <c r="X991" s="67"/>
      <c r="Y991" s="67"/>
      <c r="Z991" s="67"/>
    </row>
    <row r="992" spans="1:26" ht="12.5">
      <c r="A992" s="68" t="s">
        <v>2264</v>
      </c>
      <c r="B992" s="68" t="s">
        <v>2387</v>
      </c>
      <c r="C992" s="68" t="s">
        <v>2408</v>
      </c>
      <c r="D992" s="68" t="s">
        <v>28</v>
      </c>
      <c r="E992" s="69">
        <v>2020</v>
      </c>
      <c r="F992" s="69">
        <v>4</v>
      </c>
      <c r="G992" s="69">
        <v>274.5</v>
      </c>
      <c r="H992" s="69">
        <v>6952</v>
      </c>
      <c r="I992" s="67"/>
      <c r="J992" s="67"/>
      <c r="K992" s="67"/>
      <c r="L992" s="67"/>
      <c r="M992" s="67"/>
      <c r="N992" s="67"/>
      <c r="O992" s="67"/>
      <c r="P992" s="67"/>
      <c r="Q992" s="67"/>
      <c r="R992" s="67"/>
      <c r="S992" s="67"/>
      <c r="T992" s="67"/>
      <c r="U992" s="67"/>
      <c r="V992" s="67"/>
      <c r="W992" s="67"/>
      <c r="X992" s="67"/>
      <c r="Y992" s="67"/>
      <c r="Z992" s="67"/>
    </row>
    <row r="993" spans="1:26" ht="12.5">
      <c r="A993" s="68" t="s">
        <v>2264</v>
      </c>
      <c r="B993" s="68" t="s">
        <v>2387</v>
      </c>
      <c r="C993" s="68" t="s">
        <v>2410</v>
      </c>
      <c r="D993" s="68" t="s">
        <v>32</v>
      </c>
      <c r="E993" s="69">
        <v>2020</v>
      </c>
      <c r="F993" s="69">
        <v>10</v>
      </c>
      <c r="G993" s="69">
        <v>222.8</v>
      </c>
      <c r="H993" s="69">
        <v>7104</v>
      </c>
      <c r="I993" s="67"/>
      <c r="J993" s="67"/>
      <c r="K993" s="67"/>
      <c r="L993" s="67"/>
      <c r="M993" s="67"/>
      <c r="N993" s="67"/>
      <c r="O993" s="67"/>
      <c r="P993" s="67"/>
      <c r="Q993" s="67"/>
      <c r="R993" s="67"/>
      <c r="S993" s="67"/>
      <c r="T993" s="67"/>
      <c r="U993" s="67"/>
      <c r="V993" s="67"/>
      <c r="W993" s="67"/>
      <c r="X993" s="67"/>
      <c r="Y993" s="67"/>
      <c r="Z993" s="67"/>
    </row>
    <row r="994" spans="1:26" ht="12.5">
      <c r="A994" s="68" t="s">
        <v>2412</v>
      </c>
      <c r="B994" s="68" t="s">
        <v>2413</v>
      </c>
      <c r="C994" s="68" t="s">
        <v>2414</v>
      </c>
      <c r="D994" s="68" t="s">
        <v>28</v>
      </c>
      <c r="E994" s="69">
        <v>2020</v>
      </c>
      <c r="F994" s="69">
        <v>13</v>
      </c>
      <c r="G994" s="69">
        <v>380.1</v>
      </c>
      <c r="H994" s="69">
        <v>4411</v>
      </c>
      <c r="I994" s="67"/>
      <c r="J994" s="67"/>
      <c r="K994" s="67"/>
      <c r="L994" s="67"/>
      <c r="M994" s="67"/>
      <c r="N994" s="67"/>
      <c r="O994" s="67"/>
      <c r="P994" s="67"/>
      <c r="Q994" s="67"/>
      <c r="R994" s="67"/>
      <c r="S994" s="67"/>
      <c r="T994" s="67"/>
      <c r="U994" s="67"/>
      <c r="V994" s="67"/>
      <c r="W994" s="67"/>
      <c r="X994" s="67"/>
      <c r="Y994" s="67"/>
      <c r="Z994" s="67"/>
    </row>
    <row r="995" spans="1:26" ht="12.5">
      <c r="A995" s="68" t="s">
        <v>2412</v>
      </c>
      <c r="B995" s="68" t="s">
        <v>2413</v>
      </c>
      <c r="C995" s="68" t="s">
        <v>2416</v>
      </c>
      <c r="D995" s="68" t="s">
        <v>20</v>
      </c>
      <c r="E995" s="69">
        <v>2020</v>
      </c>
      <c r="F995" s="69">
        <v>50</v>
      </c>
      <c r="G995" s="69">
        <v>897.6</v>
      </c>
      <c r="H995" s="69">
        <v>20172</v>
      </c>
      <c r="I995" s="67"/>
      <c r="J995" s="67"/>
      <c r="K995" s="67"/>
      <c r="L995" s="67"/>
      <c r="M995" s="67"/>
      <c r="N995" s="67"/>
      <c r="O995" s="67"/>
      <c r="P995" s="67"/>
      <c r="Q995" s="67"/>
      <c r="R995" s="67"/>
      <c r="S995" s="67"/>
      <c r="T995" s="67"/>
      <c r="U995" s="67"/>
      <c r="V995" s="67"/>
      <c r="W995" s="67"/>
      <c r="X995" s="67"/>
      <c r="Y995" s="67"/>
      <c r="Z995" s="67"/>
    </row>
    <row r="996" spans="1:26" ht="12.5">
      <c r="A996" s="68" t="s">
        <v>2412</v>
      </c>
      <c r="B996" s="68" t="s">
        <v>2413</v>
      </c>
      <c r="C996" s="68" t="s">
        <v>2418</v>
      </c>
      <c r="D996" s="68" t="s">
        <v>32</v>
      </c>
      <c r="E996" s="69">
        <v>2020</v>
      </c>
      <c r="F996" s="69">
        <v>33</v>
      </c>
      <c r="G996" s="69">
        <v>525.9</v>
      </c>
      <c r="H996" s="69">
        <v>10001</v>
      </c>
      <c r="I996" s="67"/>
      <c r="J996" s="67"/>
      <c r="K996" s="67"/>
      <c r="L996" s="67"/>
      <c r="M996" s="67"/>
      <c r="N996" s="67"/>
      <c r="O996" s="67"/>
      <c r="P996" s="67"/>
      <c r="Q996" s="67"/>
      <c r="R996" s="67"/>
      <c r="S996" s="67"/>
      <c r="T996" s="67"/>
      <c r="U996" s="67"/>
      <c r="V996" s="67"/>
      <c r="W996" s="67"/>
      <c r="X996" s="67"/>
      <c r="Y996" s="67"/>
      <c r="Z996" s="67"/>
    </row>
    <row r="997" spans="1:26" ht="12.5">
      <c r="A997" s="68" t="s">
        <v>2412</v>
      </c>
      <c r="B997" s="68" t="s">
        <v>2413</v>
      </c>
      <c r="C997" s="68" t="s">
        <v>2420</v>
      </c>
      <c r="D997" s="68" t="s">
        <v>20</v>
      </c>
      <c r="E997" s="69">
        <v>2020</v>
      </c>
      <c r="F997" s="69">
        <v>4</v>
      </c>
      <c r="G997" s="69">
        <v>100.8</v>
      </c>
      <c r="H997" s="69">
        <v>88758</v>
      </c>
      <c r="I997" s="67"/>
      <c r="J997" s="67"/>
      <c r="K997" s="67"/>
      <c r="L997" s="67"/>
      <c r="M997" s="67"/>
      <c r="N997" s="67"/>
      <c r="O997" s="67"/>
      <c r="P997" s="67"/>
      <c r="Q997" s="67"/>
      <c r="R997" s="67"/>
      <c r="S997" s="67"/>
      <c r="T997" s="67"/>
      <c r="U997" s="67"/>
      <c r="V997" s="67"/>
      <c r="W997" s="67"/>
      <c r="X997" s="67"/>
      <c r="Y997" s="67"/>
      <c r="Z997" s="67"/>
    </row>
    <row r="998" spans="1:26" ht="12.5">
      <c r="A998" s="68" t="s">
        <v>2412</v>
      </c>
      <c r="B998" s="68" t="s">
        <v>2413</v>
      </c>
      <c r="C998" s="68" t="s">
        <v>2423</v>
      </c>
      <c r="D998" s="68" t="s">
        <v>20</v>
      </c>
      <c r="E998" s="69">
        <v>2020</v>
      </c>
      <c r="F998" s="69">
        <v>74</v>
      </c>
      <c r="G998" s="69">
        <v>1283</v>
      </c>
      <c r="H998" s="69">
        <v>35733</v>
      </c>
      <c r="I998" s="67"/>
      <c r="J998" s="67"/>
      <c r="K998" s="67"/>
      <c r="L998" s="67"/>
      <c r="M998" s="67"/>
      <c r="N998" s="67"/>
      <c r="O998" s="67"/>
      <c r="P998" s="67"/>
      <c r="Q998" s="67"/>
      <c r="R998" s="67"/>
      <c r="S998" s="67"/>
      <c r="T998" s="67"/>
      <c r="U998" s="67"/>
      <c r="V998" s="67"/>
      <c r="W998" s="67"/>
      <c r="X998" s="67"/>
      <c r="Y998" s="67"/>
      <c r="Z998" s="67"/>
    </row>
    <row r="999" spans="1:26" ht="12.5">
      <c r="A999" s="68" t="s">
        <v>2412</v>
      </c>
      <c r="B999" s="68" t="s">
        <v>2413</v>
      </c>
      <c r="C999" s="68" t="s">
        <v>2425</v>
      </c>
      <c r="D999" s="68" t="s">
        <v>28</v>
      </c>
      <c r="E999" s="69">
        <v>2020</v>
      </c>
      <c r="F999" s="69">
        <v>37</v>
      </c>
      <c r="G999" s="69">
        <v>517.4</v>
      </c>
      <c r="H999" s="69">
        <v>5031</v>
      </c>
      <c r="I999" s="67"/>
      <c r="J999" s="67"/>
      <c r="K999" s="67"/>
      <c r="L999" s="67"/>
      <c r="M999" s="67"/>
      <c r="N999" s="67"/>
      <c r="O999" s="67"/>
      <c r="P999" s="67"/>
      <c r="Q999" s="67"/>
      <c r="R999" s="67"/>
      <c r="S999" s="67"/>
      <c r="T999" s="67"/>
      <c r="U999" s="67"/>
      <c r="V999" s="67"/>
      <c r="W999" s="67"/>
      <c r="X999" s="67"/>
      <c r="Y999" s="67"/>
      <c r="Z999" s="67"/>
    </row>
    <row r="1000" spans="1:26" ht="12.5">
      <c r="A1000" s="68" t="s">
        <v>2412</v>
      </c>
      <c r="B1000" s="68" t="s">
        <v>2413</v>
      </c>
      <c r="C1000" s="68" t="s">
        <v>2427</v>
      </c>
      <c r="D1000" s="68" t="s">
        <v>28</v>
      </c>
      <c r="E1000" s="69">
        <v>2020</v>
      </c>
      <c r="F1000" s="69">
        <v>44</v>
      </c>
      <c r="G1000" s="69">
        <v>893.2</v>
      </c>
      <c r="H1000" s="69">
        <v>13402</v>
      </c>
      <c r="I1000" s="67"/>
      <c r="J1000" s="67"/>
      <c r="K1000" s="67"/>
      <c r="L1000" s="67"/>
      <c r="M1000" s="67"/>
      <c r="N1000" s="67"/>
      <c r="O1000" s="67"/>
      <c r="P1000" s="67"/>
      <c r="Q1000" s="67"/>
      <c r="R1000" s="67"/>
      <c r="S1000" s="67"/>
      <c r="T1000" s="67"/>
      <c r="U1000" s="67"/>
      <c r="V1000" s="67"/>
      <c r="W1000" s="67"/>
      <c r="X1000" s="67"/>
      <c r="Y1000" s="67"/>
      <c r="Z1000" s="67"/>
    </row>
    <row r="1001" spans="1:26" ht="12.5">
      <c r="A1001" s="68" t="s">
        <v>2412</v>
      </c>
      <c r="B1001" s="68" t="s">
        <v>2413</v>
      </c>
      <c r="C1001" s="68" t="s">
        <v>2430</v>
      </c>
      <c r="D1001" s="68" t="s">
        <v>20</v>
      </c>
      <c r="E1001" s="69">
        <v>2020</v>
      </c>
      <c r="F1001" s="69">
        <v>56</v>
      </c>
      <c r="G1001" s="69">
        <v>588.5</v>
      </c>
      <c r="H1001" s="69">
        <v>20730</v>
      </c>
      <c r="I1001" s="67"/>
      <c r="J1001" s="67"/>
      <c r="K1001" s="67"/>
      <c r="L1001" s="67"/>
      <c r="M1001" s="67"/>
      <c r="N1001" s="67"/>
      <c r="O1001" s="67"/>
      <c r="P1001" s="67"/>
      <c r="Q1001" s="67"/>
      <c r="R1001" s="67"/>
      <c r="S1001" s="67"/>
      <c r="T1001" s="67"/>
      <c r="U1001" s="67"/>
      <c r="V1001" s="67"/>
      <c r="W1001" s="67"/>
      <c r="X1001" s="67"/>
      <c r="Y1001" s="67"/>
      <c r="Z1001" s="67"/>
    </row>
    <row r="1002" spans="1:26" ht="12.5">
      <c r="A1002" s="68" t="s">
        <v>2412</v>
      </c>
      <c r="B1002" s="68" t="s">
        <v>2432</v>
      </c>
      <c r="C1002" s="68" t="s">
        <v>2433</v>
      </c>
      <c r="D1002" s="68" t="s">
        <v>28</v>
      </c>
      <c r="E1002" s="69">
        <v>2020</v>
      </c>
      <c r="F1002" s="69">
        <v>12</v>
      </c>
      <c r="G1002" s="69">
        <v>305.7</v>
      </c>
      <c r="H1002" s="69">
        <v>5038</v>
      </c>
      <c r="I1002" s="67"/>
      <c r="J1002" s="67"/>
      <c r="K1002" s="67"/>
      <c r="L1002" s="67"/>
      <c r="M1002" s="67"/>
      <c r="N1002" s="67"/>
      <c r="O1002" s="67"/>
      <c r="P1002" s="67"/>
      <c r="Q1002" s="67"/>
      <c r="R1002" s="67"/>
      <c r="S1002" s="67"/>
      <c r="T1002" s="67"/>
      <c r="U1002" s="67"/>
      <c r="V1002" s="67"/>
      <c r="W1002" s="67"/>
      <c r="X1002" s="67"/>
      <c r="Y1002" s="67"/>
      <c r="Z1002" s="67"/>
    </row>
    <row r="1003" spans="1:26" ht="12.5">
      <c r="A1003" s="68" t="s">
        <v>2412</v>
      </c>
      <c r="B1003" s="68" t="s">
        <v>2432</v>
      </c>
      <c r="C1003" s="68" t="s">
        <v>2435</v>
      </c>
      <c r="D1003" s="68" t="s">
        <v>32</v>
      </c>
      <c r="E1003" s="69">
        <v>2020</v>
      </c>
      <c r="F1003" s="69">
        <v>24</v>
      </c>
      <c r="G1003" s="69">
        <v>513.6</v>
      </c>
      <c r="H1003" s="69">
        <v>10230</v>
      </c>
      <c r="I1003" s="67"/>
      <c r="J1003" s="67"/>
      <c r="K1003" s="67"/>
      <c r="L1003" s="67"/>
      <c r="M1003" s="67"/>
      <c r="N1003" s="67"/>
      <c r="O1003" s="67"/>
      <c r="P1003" s="67"/>
      <c r="Q1003" s="67"/>
      <c r="R1003" s="67"/>
      <c r="S1003" s="67"/>
      <c r="T1003" s="67"/>
      <c r="U1003" s="67"/>
      <c r="V1003" s="67"/>
      <c r="W1003" s="67"/>
      <c r="X1003" s="67"/>
      <c r="Y1003" s="67"/>
      <c r="Z1003" s="67"/>
    </row>
    <row r="1004" spans="1:26" ht="12.5">
      <c r="A1004" s="68" t="s">
        <v>2412</v>
      </c>
      <c r="B1004" s="68" t="s">
        <v>2432</v>
      </c>
      <c r="C1004" s="68" t="s">
        <v>2438</v>
      </c>
      <c r="D1004" s="68" t="s">
        <v>28</v>
      </c>
      <c r="E1004" s="69">
        <v>2020</v>
      </c>
      <c r="F1004" s="69">
        <v>17</v>
      </c>
      <c r="G1004" s="69">
        <v>243</v>
      </c>
      <c r="H1004" s="69">
        <v>5397</v>
      </c>
      <c r="I1004" s="67"/>
      <c r="J1004" s="67"/>
      <c r="K1004" s="67"/>
      <c r="L1004" s="67"/>
      <c r="M1004" s="67"/>
      <c r="N1004" s="67"/>
      <c r="O1004" s="67"/>
      <c r="P1004" s="67"/>
      <c r="Q1004" s="67"/>
      <c r="R1004" s="67"/>
      <c r="S1004" s="67"/>
      <c r="T1004" s="67"/>
      <c r="U1004" s="67"/>
      <c r="V1004" s="67"/>
      <c r="W1004" s="67"/>
      <c r="X1004" s="67"/>
      <c r="Y1004" s="67"/>
      <c r="Z1004" s="67"/>
    </row>
    <row r="1005" spans="1:26" ht="12.5">
      <c r="A1005" s="68" t="s">
        <v>2412</v>
      </c>
      <c r="B1005" s="68" t="s">
        <v>2432</v>
      </c>
      <c r="C1005" s="68" t="s">
        <v>2440</v>
      </c>
      <c r="D1005" s="68" t="s">
        <v>32</v>
      </c>
      <c r="E1005" s="69">
        <v>2020</v>
      </c>
      <c r="F1005" s="69">
        <v>14</v>
      </c>
      <c r="G1005" s="69">
        <v>270.89999999999998</v>
      </c>
      <c r="H1005" s="69">
        <v>6205</v>
      </c>
      <c r="I1005" s="67"/>
      <c r="J1005" s="67"/>
      <c r="K1005" s="67"/>
      <c r="L1005" s="67"/>
      <c r="M1005" s="67"/>
      <c r="N1005" s="67"/>
      <c r="O1005" s="67"/>
      <c r="P1005" s="67"/>
      <c r="Q1005" s="67"/>
      <c r="R1005" s="67"/>
      <c r="S1005" s="67"/>
      <c r="T1005" s="67"/>
      <c r="U1005" s="67"/>
      <c r="V1005" s="67"/>
      <c r="W1005" s="67"/>
      <c r="X1005" s="67"/>
      <c r="Y1005" s="67"/>
      <c r="Z1005" s="67"/>
    </row>
    <row r="1006" spans="1:26" ht="12.5">
      <c r="A1006" s="68" t="s">
        <v>2412</v>
      </c>
      <c r="B1006" s="68" t="s">
        <v>2432</v>
      </c>
      <c r="C1006" s="68" t="s">
        <v>2442</v>
      </c>
      <c r="D1006" s="68" t="s">
        <v>28</v>
      </c>
      <c r="E1006" s="69">
        <v>2020</v>
      </c>
      <c r="F1006" s="69">
        <v>15</v>
      </c>
      <c r="G1006" s="69">
        <v>131</v>
      </c>
      <c r="H1006" s="69">
        <v>3060</v>
      </c>
      <c r="I1006" s="67"/>
      <c r="J1006" s="67"/>
      <c r="K1006" s="67"/>
      <c r="L1006" s="67"/>
      <c r="M1006" s="67"/>
      <c r="N1006" s="67"/>
      <c r="O1006" s="67"/>
      <c r="P1006" s="67"/>
      <c r="Q1006" s="67"/>
      <c r="R1006" s="67"/>
      <c r="S1006" s="67"/>
      <c r="T1006" s="67"/>
      <c r="U1006" s="67"/>
      <c r="V1006" s="67"/>
      <c r="W1006" s="67"/>
      <c r="X1006" s="67"/>
      <c r="Y1006" s="67"/>
      <c r="Z1006" s="67"/>
    </row>
    <row r="1007" spans="1:26" ht="12.5">
      <c r="A1007" s="68" t="s">
        <v>2412</v>
      </c>
      <c r="B1007" s="68" t="s">
        <v>2432</v>
      </c>
      <c r="C1007" s="68" t="s">
        <v>2444</v>
      </c>
      <c r="D1007" s="68" t="s">
        <v>20</v>
      </c>
      <c r="E1007" s="69">
        <v>2020</v>
      </c>
      <c r="F1007" s="69">
        <v>11</v>
      </c>
      <c r="G1007" s="69">
        <v>82.8</v>
      </c>
      <c r="H1007" s="69">
        <v>48221</v>
      </c>
      <c r="I1007" s="67"/>
      <c r="J1007" s="67"/>
      <c r="K1007" s="67"/>
      <c r="L1007" s="67"/>
      <c r="M1007" s="67"/>
      <c r="N1007" s="67"/>
      <c r="O1007" s="67"/>
      <c r="P1007" s="67"/>
      <c r="Q1007" s="67"/>
      <c r="R1007" s="67"/>
      <c r="S1007" s="67"/>
      <c r="T1007" s="67"/>
      <c r="U1007" s="67"/>
      <c r="V1007" s="67"/>
      <c r="W1007" s="67"/>
      <c r="X1007" s="67"/>
      <c r="Y1007" s="67"/>
      <c r="Z1007" s="67"/>
    </row>
    <row r="1008" spans="1:26" ht="12.5">
      <c r="A1008" s="68" t="s">
        <v>2412</v>
      </c>
      <c r="B1008" s="68" t="s">
        <v>2432</v>
      </c>
      <c r="C1008" s="68" t="s">
        <v>92</v>
      </c>
      <c r="D1008" s="68" t="s">
        <v>20</v>
      </c>
      <c r="E1008" s="69">
        <v>2020</v>
      </c>
      <c r="F1008" s="69">
        <v>38</v>
      </c>
      <c r="G1008" s="69">
        <v>788.1</v>
      </c>
      <c r="H1008" s="69">
        <v>28565</v>
      </c>
      <c r="I1008" s="67"/>
      <c r="J1008" s="67"/>
      <c r="K1008" s="67"/>
      <c r="L1008" s="67"/>
      <c r="M1008" s="67"/>
      <c r="N1008" s="67"/>
      <c r="O1008" s="67"/>
      <c r="P1008" s="67"/>
      <c r="Q1008" s="67"/>
      <c r="R1008" s="67"/>
      <c r="S1008" s="67"/>
      <c r="T1008" s="67"/>
      <c r="U1008" s="67"/>
      <c r="V1008" s="67"/>
      <c r="W1008" s="67"/>
      <c r="X1008" s="67"/>
      <c r="Y1008" s="67"/>
      <c r="Z1008" s="67"/>
    </row>
    <row r="1009" spans="1:26" ht="12.5">
      <c r="A1009" s="68" t="s">
        <v>2412</v>
      </c>
      <c r="B1009" s="68" t="s">
        <v>2432</v>
      </c>
      <c r="C1009" s="68" t="s">
        <v>394</v>
      </c>
      <c r="D1009" s="68" t="s">
        <v>28</v>
      </c>
      <c r="E1009" s="69">
        <v>2020</v>
      </c>
      <c r="F1009" s="69">
        <v>32</v>
      </c>
      <c r="G1009" s="69">
        <v>586.79999999999995</v>
      </c>
      <c r="H1009" s="69">
        <v>9806</v>
      </c>
      <c r="I1009" s="67"/>
      <c r="J1009" s="67"/>
      <c r="K1009" s="67"/>
      <c r="L1009" s="67"/>
      <c r="M1009" s="67"/>
      <c r="N1009" s="67"/>
      <c r="O1009" s="67"/>
      <c r="P1009" s="67"/>
      <c r="Q1009" s="67"/>
      <c r="R1009" s="67"/>
      <c r="S1009" s="67"/>
      <c r="T1009" s="67"/>
      <c r="U1009" s="67"/>
      <c r="V1009" s="67"/>
      <c r="W1009" s="67"/>
      <c r="X1009" s="67"/>
      <c r="Y1009" s="67"/>
      <c r="Z1009" s="67"/>
    </row>
    <row r="1010" spans="1:26" ht="12.5">
      <c r="A1010" s="68" t="s">
        <v>2412</v>
      </c>
      <c r="B1010" s="68" t="s">
        <v>2432</v>
      </c>
      <c r="C1010" s="68" t="s">
        <v>2449</v>
      </c>
      <c r="D1010" s="68" t="s">
        <v>32</v>
      </c>
      <c r="E1010" s="69">
        <v>2020</v>
      </c>
      <c r="F1010" s="69">
        <v>22</v>
      </c>
      <c r="G1010" s="69">
        <v>273.7</v>
      </c>
      <c r="H1010" s="69">
        <v>5624</v>
      </c>
      <c r="I1010" s="67"/>
      <c r="J1010" s="67"/>
      <c r="K1010" s="67"/>
      <c r="L1010" s="67"/>
      <c r="M1010" s="67"/>
      <c r="N1010" s="67"/>
      <c r="O1010" s="67"/>
      <c r="P1010" s="67"/>
      <c r="Q1010" s="67"/>
      <c r="R1010" s="67"/>
      <c r="S1010" s="67"/>
      <c r="T1010" s="67"/>
      <c r="U1010" s="67"/>
      <c r="V1010" s="67"/>
      <c r="W1010" s="67"/>
      <c r="X1010" s="67"/>
      <c r="Y1010" s="67"/>
      <c r="Z1010" s="67"/>
    </row>
    <row r="1011" spans="1:26" ht="12.5">
      <c r="A1011" s="68" t="s">
        <v>2412</v>
      </c>
      <c r="B1011" s="68" t="s">
        <v>2451</v>
      </c>
      <c r="C1011" s="68" t="s">
        <v>2452</v>
      </c>
      <c r="D1011" s="68" t="s">
        <v>28</v>
      </c>
      <c r="E1011" s="69">
        <v>2020</v>
      </c>
      <c r="F1011" s="69">
        <v>34</v>
      </c>
      <c r="G1011" s="69">
        <v>605.5</v>
      </c>
      <c r="H1011" s="69">
        <v>8582</v>
      </c>
      <c r="I1011" s="67"/>
      <c r="J1011" s="67"/>
      <c r="K1011" s="67"/>
      <c r="L1011" s="67"/>
      <c r="M1011" s="67"/>
      <c r="N1011" s="67"/>
      <c r="O1011" s="67"/>
      <c r="P1011" s="67"/>
      <c r="Q1011" s="67"/>
      <c r="R1011" s="67"/>
      <c r="S1011" s="67"/>
      <c r="T1011" s="67"/>
      <c r="U1011" s="67"/>
      <c r="V1011" s="67"/>
      <c r="W1011" s="67"/>
      <c r="X1011" s="67"/>
      <c r="Y1011" s="67"/>
      <c r="Z1011" s="67"/>
    </row>
    <row r="1012" spans="1:26" ht="12.5">
      <c r="A1012" s="68" t="s">
        <v>2412</v>
      </c>
      <c r="B1012" s="68" t="s">
        <v>2451</v>
      </c>
      <c r="C1012" s="68" t="s">
        <v>622</v>
      </c>
      <c r="D1012" s="68" t="s">
        <v>28</v>
      </c>
      <c r="E1012" s="69">
        <v>2020</v>
      </c>
      <c r="F1012" s="69">
        <v>22</v>
      </c>
      <c r="G1012" s="69">
        <v>260.60000000000002</v>
      </c>
      <c r="H1012" s="69">
        <v>4636</v>
      </c>
      <c r="I1012" s="67"/>
      <c r="J1012" s="67"/>
      <c r="K1012" s="67"/>
      <c r="L1012" s="67"/>
      <c r="M1012" s="67"/>
      <c r="N1012" s="67"/>
      <c r="O1012" s="67"/>
      <c r="P1012" s="67"/>
      <c r="Q1012" s="67"/>
      <c r="R1012" s="67"/>
      <c r="S1012" s="67"/>
      <c r="T1012" s="67"/>
      <c r="U1012" s="67"/>
      <c r="V1012" s="67"/>
      <c r="W1012" s="67"/>
      <c r="X1012" s="67"/>
      <c r="Y1012" s="67"/>
      <c r="Z1012" s="67"/>
    </row>
    <row r="1013" spans="1:26" ht="12.5">
      <c r="A1013" s="68" t="s">
        <v>2412</v>
      </c>
      <c r="B1013" s="68" t="s">
        <v>2451</v>
      </c>
      <c r="C1013" s="68" t="s">
        <v>2455</v>
      </c>
      <c r="D1013" s="68" t="s">
        <v>28</v>
      </c>
      <c r="E1013" s="69">
        <v>2020</v>
      </c>
      <c r="F1013" s="69">
        <v>20</v>
      </c>
      <c r="G1013" s="69">
        <v>192.5</v>
      </c>
      <c r="H1013" s="69">
        <v>3724</v>
      </c>
      <c r="I1013" s="67"/>
      <c r="J1013" s="67"/>
      <c r="K1013" s="67"/>
      <c r="L1013" s="67"/>
      <c r="M1013" s="67"/>
      <c r="N1013" s="67"/>
      <c r="O1013" s="67"/>
      <c r="P1013" s="67"/>
      <c r="Q1013" s="67"/>
      <c r="R1013" s="67"/>
      <c r="S1013" s="67"/>
      <c r="T1013" s="67"/>
      <c r="U1013" s="67"/>
      <c r="V1013" s="67"/>
      <c r="W1013" s="67"/>
      <c r="X1013" s="67"/>
      <c r="Y1013" s="67"/>
      <c r="Z1013" s="67"/>
    </row>
    <row r="1014" spans="1:26" ht="12.5">
      <c r="A1014" s="68" t="s">
        <v>2412</v>
      </c>
      <c r="B1014" s="68" t="s">
        <v>2451</v>
      </c>
      <c r="C1014" s="68" t="s">
        <v>2457</v>
      </c>
      <c r="D1014" s="68" t="s">
        <v>32</v>
      </c>
      <c r="E1014" s="69">
        <v>2020</v>
      </c>
      <c r="F1014" s="69">
        <v>40</v>
      </c>
      <c r="G1014" s="69">
        <v>587.70000000000005</v>
      </c>
      <c r="H1014" s="69">
        <v>12734</v>
      </c>
      <c r="I1014" s="67"/>
      <c r="J1014" s="67"/>
      <c r="K1014" s="67"/>
      <c r="L1014" s="67"/>
      <c r="M1014" s="67"/>
      <c r="N1014" s="67"/>
      <c r="O1014" s="67"/>
      <c r="P1014" s="67"/>
      <c r="Q1014" s="67"/>
      <c r="R1014" s="67"/>
      <c r="S1014" s="67"/>
      <c r="T1014" s="67"/>
      <c r="U1014" s="67"/>
      <c r="V1014" s="67"/>
      <c r="W1014" s="67"/>
      <c r="X1014" s="67"/>
      <c r="Y1014" s="67"/>
      <c r="Z1014" s="67"/>
    </row>
    <row r="1015" spans="1:26" ht="12.5">
      <c r="A1015" s="68" t="s">
        <v>2412</v>
      </c>
      <c r="B1015" s="68" t="s">
        <v>2451</v>
      </c>
      <c r="C1015" s="68" t="s">
        <v>2459</v>
      </c>
      <c r="D1015" s="68" t="s">
        <v>32</v>
      </c>
      <c r="E1015" s="69">
        <v>2020</v>
      </c>
      <c r="F1015" s="69">
        <v>53</v>
      </c>
      <c r="G1015" s="69">
        <v>583.79999999999995</v>
      </c>
      <c r="H1015" s="69">
        <v>14215</v>
      </c>
      <c r="I1015" s="67"/>
      <c r="J1015" s="67"/>
      <c r="K1015" s="67"/>
      <c r="L1015" s="67"/>
      <c r="M1015" s="67"/>
      <c r="N1015" s="67"/>
      <c r="O1015" s="67"/>
      <c r="P1015" s="67"/>
      <c r="Q1015" s="67"/>
      <c r="R1015" s="67"/>
      <c r="S1015" s="67"/>
      <c r="T1015" s="67"/>
      <c r="U1015" s="67"/>
      <c r="V1015" s="67"/>
      <c r="W1015" s="67"/>
      <c r="X1015" s="67"/>
      <c r="Y1015" s="67"/>
      <c r="Z1015" s="67"/>
    </row>
    <row r="1016" spans="1:26" ht="12.5">
      <c r="A1016" s="68" t="s">
        <v>2412</v>
      </c>
      <c r="B1016" s="68" t="s">
        <v>2451</v>
      </c>
      <c r="C1016" s="68" t="s">
        <v>2461</v>
      </c>
      <c r="D1016" s="68" t="s">
        <v>20</v>
      </c>
      <c r="E1016" s="69">
        <v>2020</v>
      </c>
      <c r="F1016" s="69">
        <v>75</v>
      </c>
      <c r="G1016" s="69">
        <v>969.1</v>
      </c>
      <c r="H1016" s="69">
        <v>55225</v>
      </c>
      <c r="I1016" s="67"/>
      <c r="J1016" s="67"/>
      <c r="K1016" s="67"/>
      <c r="L1016" s="67"/>
      <c r="M1016" s="67"/>
      <c r="N1016" s="67"/>
      <c r="O1016" s="67"/>
      <c r="P1016" s="67"/>
      <c r="Q1016" s="67"/>
      <c r="R1016" s="67"/>
      <c r="S1016" s="67"/>
      <c r="T1016" s="67"/>
      <c r="U1016" s="67"/>
      <c r="V1016" s="67"/>
      <c r="W1016" s="67"/>
      <c r="X1016" s="67"/>
      <c r="Y1016" s="67"/>
      <c r="Z1016" s="67"/>
    </row>
    <row r="1017" spans="1:26" ht="12.5">
      <c r="A1017" s="68" t="s">
        <v>2412</v>
      </c>
      <c r="B1017" s="68" t="s">
        <v>2451</v>
      </c>
      <c r="C1017" s="68" t="s">
        <v>2464</v>
      </c>
      <c r="D1017" s="68" t="s">
        <v>28</v>
      </c>
      <c r="E1017" s="69">
        <v>2020</v>
      </c>
      <c r="F1017" s="69">
        <v>28</v>
      </c>
      <c r="G1017" s="69">
        <v>295.39999999999998</v>
      </c>
      <c r="H1017" s="69">
        <v>4692</v>
      </c>
      <c r="I1017" s="67"/>
      <c r="J1017" s="67"/>
      <c r="K1017" s="67"/>
      <c r="L1017" s="67"/>
      <c r="M1017" s="67"/>
      <c r="N1017" s="67"/>
      <c r="O1017" s="67"/>
      <c r="P1017" s="67"/>
      <c r="Q1017" s="67"/>
      <c r="R1017" s="67"/>
      <c r="S1017" s="67"/>
      <c r="T1017" s="67"/>
      <c r="U1017" s="67"/>
      <c r="V1017" s="67"/>
      <c r="W1017" s="67"/>
      <c r="X1017" s="67"/>
      <c r="Y1017" s="67"/>
      <c r="Z1017" s="67"/>
    </row>
    <row r="1018" spans="1:26" ht="12.5">
      <c r="A1018" s="68" t="s">
        <v>2412</v>
      </c>
      <c r="B1018" s="68" t="s">
        <v>2451</v>
      </c>
      <c r="C1018" s="68" t="s">
        <v>2467</v>
      </c>
      <c r="D1018" s="68" t="s">
        <v>28</v>
      </c>
      <c r="E1018" s="69">
        <v>2020</v>
      </c>
      <c r="F1018" s="69">
        <v>25</v>
      </c>
      <c r="G1018" s="69">
        <v>387.5</v>
      </c>
      <c r="H1018" s="69">
        <v>5850</v>
      </c>
      <c r="I1018" s="67"/>
      <c r="J1018" s="67"/>
      <c r="K1018" s="67"/>
      <c r="L1018" s="67"/>
      <c r="M1018" s="67"/>
      <c r="N1018" s="67"/>
      <c r="O1018" s="67"/>
      <c r="P1018" s="67"/>
      <c r="Q1018" s="67"/>
      <c r="R1018" s="67"/>
      <c r="S1018" s="67"/>
      <c r="T1018" s="67"/>
      <c r="U1018" s="67"/>
      <c r="V1018" s="67"/>
      <c r="W1018" s="67"/>
      <c r="X1018" s="67"/>
      <c r="Y1018" s="67"/>
      <c r="Z1018" s="67"/>
    </row>
    <row r="1019" spans="1:26" ht="12.5">
      <c r="A1019" s="68" t="s">
        <v>2412</v>
      </c>
      <c r="B1019" s="68" t="s">
        <v>2470</v>
      </c>
      <c r="C1019" s="68" t="s">
        <v>2471</v>
      </c>
      <c r="D1019" s="68" t="s">
        <v>28</v>
      </c>
      <c r="E1019" s="69">
        <v>2020</v>
      </c>
      <c r="F1019" s="69">
        <v>4</v>
      </c>
      <c r="G1019" s="69">
        <v>77.900000000000006</v>
      </c>
      <c r="H1019" s="69">
        <v>3493</v>
      </c>
      <c r="I1019" s="67"/>
      <c r="J1019" s="67"/>
      <c r="K1019" s="67"/>
      <c r="L1019" s="67"/>
      <c r="M1019" s="67"/>
      <c r="N1019" s="67"/>
      <c r="O1019" s="67"/>
      <c r="P1019" s="67"/>
      <c r="Q1019" s="67"/>
      <c r="R1019" s="67"/>
      <c r="S1019" s="67"/>
      <c r="T1019" s="67"/>
      <c r="U1019" s="67"/>
      <c r="V1019" s="67"/>
      <c r="W1019" s="67"/>
      <c r="X1019" s="67"/>
      <c r="Y1019" s="67"/>
      <c r="Z1019" s="67"/>
    </row>
    <row r="1020" spans="1:26" ht="12.5">
      <c r="A1020" s="68" t="s">
        <v>2412</v>
      </c>
      <c r="B1020" s="68" t="s">
        <v>2470</v>
      </c>
      <c r="C1020" s="68" t="s">
        <v>2473</v>
      </c>
      <c r="D1020" s="68" t="s">
        <v>20</v>
      </c>
      <c r="E1020" s="69">
        <v>2020</v>
      </c>
      <c r="F1020" s="69">
        <v>54</v>
      </c>
      <c r="G1020" s="69">
        <v>543.20000000000005</v>
      </c>
      <c r="H1020" s="69">
        <v>22966</v>
      </c>
      <c r="I1020" s="67"/>
      <c r="J1020" s="67"/>
      <c r="K1020" s="67"/>
      <c r="L1020" s="67"/>
      <c r="M1020" s="67"/>
      <c r="N1020" s="67"/>
      <c r="O1020" s="67"/>
      <c r="P1020" s="67"/>
      <c r="Q1020" s="67"/>
      <c r="R1020" s="67"/>
      <c r="S1020" s="67"/>
      <c r="T1020" s="67"/>
      <c r="U1020" s="67"/>
      <c r="V1020" s="67"/>
      <c r="W1020" s="67"/>
      <c r="X1020" s="67"/>
      <c r="Y1020" s="67"/>
      <c r="Z1020" s="67"/>
    </row>
    <row r="1021" spans="1:26" ht="12.5">
      <c r="A1021" s="68" t="s">
        <v>2412</v>
      </c>
      <c r="B1021" s="68" t="s">
        <v>2470</v>
      </c>
      <c r="C1021" s="68" t="s">
        <v>2475</v>
      </c>
      <c r="D1021" s="68" t="s">
        <v>28</v>
      </c>
      <c r="E1021" s="69">
        <v>2020</v>
      </c>
      <c r="F1021" s="69">
        <v>10</v>
      </c>
      <c r="G1021" s="69">
        <v>176.7</v>
      </c>
      <c r="H1021" s="69">
        <v>6136</v>
      </c>
      <c r="I1021" s="67"/>
      <c r="J1021" s="67"/>
      <c r="K1021" s="67"/>
      <c r="L1021" s="67"/>
      <c r="M1021" s="67"/>
      <c r="N1021" s="67"/>
      <c r="O1021" s="67"/>
      <c r="P1021" s="67"/>
      <c r="Q1021" s="67"/>
      <c r="R1021" s="67"/>
      <c r="S1021" s="67"/>
      <c r="T1021" s="67"/>
      <c r="U1021" s="67"/>
      <c r="V1021" s="67"/>
      <c r="W1021" s="67"/>
      <c r="X1021" s="67"/>
      <c r="Y1021" s="67"/>
      <c r="Z1021" s="67"/>
    </row>
    <row r="1022" spans="1:26" ht="12.5">
      <c r="A1022" s="68" t="s">
        <v>2412</v>
      </c>
      <c r="B1022" s="68" t="s">
        <v>2470</v>
      </c>
      <c r="C1022" s="68" t="s">
        <v>2477</v>
      </c>
      <c r="D1022" s="68" t="s">
        <v>20</v>
      </c>
      <c r="E1022" s="69">
        <v>2020</v>
      </c>
      <c r="F1022" s="69">
        <v>13</v>
      </c>
      <c r="G1022" s="69">
        <v>147.9</v>
      </c>
      <c r="H1022" s="69">
        <v>8278</v>
      </c>
      <c r="I1022" s="67"/>
      <c r="J1022" s="67"/>
      <c r="K1022" s="67"/>
      <c r="L1022" s="67"/>
      <c r="M1022" s="67"/>
      <c r="N1022" s="67"/>
      <c r="O1022" s="67"/>
      <c r="P1022" s="67"/>
      <c r="Q1022" s="67"/>
      <c r="R1022" s="67"/>
      <c r="S1022" s="67"/>
      <c r="T1022" s="67"/>
      <c r="U1022" s="67"/>
      <c r="V1022" s="67"/>
      <c r="W1022" s="67"/>
      <c r="X1022" s="67"/>
      <c r="Y1022" s="67"/>
      <c r="Z1022" s="67"/>
    </row>
    <row r="1023" spans="1:26" ht="12.5">
      <c r="A1023" s="68" t="s">
        <v>2412</v>
      </c>
      <c r="B1023" s="68" t="s">
        <v>2470</v>
      </c>
      <c r="C1023" s="68" t="s">
        <v>76</v>
      </c>
      <c r="D1023" s="68" t="s">
        <v>32</v>
      </c>
      <c r="E1023" s="69">
        <v>2020</v>
      </c>
      <c r="F1023" s="69">
        <v>43</v>
      </c>
      <c r="G1023" s="69">
        <v>972.1</v>
      </c>
      <c r="H1023" s="69">
        <v>20760</v>
      </c>
      <c r="I1023" s="67"/>
      <c r="J1023" s="67"/>
      <c r="K1023" s="67"/>
      <c r="L1023" s="67"/>
      <c r="M1023" s="67"/>
      <c r="N1023" s="67"/>
      <c r="O1023" s="67"/>
      <c r="P1023" s="67"/>
      <c r="Q1023" s="67"/>
      <c r="R1023" s="67"/>
      <c r="S1023" s="67"/>
      <c r="T1023" s="67"/>
      <c r="U1023" s="67"/>
      <c r="V1023" s="67"/>
      <c r="W1023" s="67"/>
      <c r="X1023" s="67"/>
      <c r="Y1023" s="67"/>
      <c r="Z1023" s="67"/>
    </row>
    <row r="1024" spans="1:26" ht="12.5">
      <c r="A1024" s="68" t="s">
        <v>2412</v>
      </c>
      <c r="B1024" s="68" t="s">
        <v>2470</v>
      </c>
      <c r="C1024" s="68" t="s">
        <v>2481</v>
      </c>
      <c r="D1024" s="68" t="s">
        <v>20</v>
      </c>
      <c r="E1024" s="69">
        <v>2020</v>
      </c>
      <c r="F1024" s="69">
        <v>125</v>
      </c>
      <c r="G1024" s="69">
        <v>1646.5</v>
      </c>
      <c r="H1024" s="69">
        <v>42111</v>
      </c>
      <c r="I1024" s="67"/>
      <c r="J1024" s="67"/>
      <c r="K1024" s="67"/>
      <c r="L1024" s="67"/>
      <c r="M1024" s="67"/>
      <c r="N1024" s="67"/>
      <c r="O1024" s="67"/>
      <c r="P1024" s="67"/>
      <c r="Q1024" s="67"/>
      <c r="R1024" s="67"/>
      <c r="S1024" s="67"/>
      <c r="T1024" s="67"/>
      <c r="U1024" s="67"/>
      <c r="V1024" s="67"/>
      <c r="W1024" s="67"/>
      <c r="X1024" s="67"/>
      <c r="Y1024" s="67"/>
      <c r="Z1024" s="67"/>
    </row>
    <row r="1025" spans="1:26" ht="12.5">
      <c r="A1025" s="68" t="s">
        <v>2412</v>
      </c>
      <c r="B1025" s="68" t="s">
        <v>2470</v>
      </c>
      <c r="C1025" s="68" t="s">
        <v>297</v>
      </c>
      <c r="D1025" s="68" t="s">
        <v>28</v>
      </c>
      <c r="E1025" s="69">
        <v>2020</v>
      </c>
      <c r="F1025" s="69">
        <v>26</v>
      </c>
      <c r="G1025" s="69">
        <v>270.7</v>
      </c>
      <c r="H1025" s="69">
        <v>6817</v>
      </c>
      <c r="I1025" s="67"/>
      <c r="J1025" s="67"/>
      <c r="K1025" s="67"/>
      <c r="L1025" s="67"/>
      <c r="M1025" s="67"/>
      <c r="N1025" s="67"/>
      <c r="O1025" s="67"/>
      <c r="P1025" s="67"/>
      <c r="Q1025" s="67"/>
      <c r="R1025" s="67"/>
      <c r="S1025" s="67"/>
      <c r="T1025" s="67"/>
      <c r="U1025" s="67"/>
      <c r="V1025" s="67"/>
      <c r="W1025" s="67"/>
      <c r="X1025" s="67"/>
      <c r="Y1025" s="67"/>
      <c r="Z1025" s="67"/>
    </row>
    <row r="1026" spans="1:26" ht="12.5">
      <c r="A1026" s="68" t="s">
        <v>2412</v>
      </c>
      <c r="B1026" s="68" t="s">
        <v>2470</v>
      </c>
      <c r="C1026" s="68" t="s">
        <v>297</v>
      </c>
      <c r="D1026" s="68" t="s">
        <v>32</v>
      </c>
      <c r="E1026" s="69">
        <v>2020</v>
      </c>
      <c r="F1026" s="69">
        <v>42</v>
      </c>
      <c r="G1026" s="69">
        <v>521.20000000000005</v>
      </c>
      <c r="H1026" s="69">
        <v>12132</v>
      </c>
      <c r="I1026" s="67"/>
      <c r="J1026" s="67"/>
      <c r="K1026" s="67"/>
      <c r="L1026" s="67"/>
      <c r="M1026" s="67"/>
      <c r="N1026" s="67"/>
      <c r="O1026" s="67"/>
      <c r="P1026" s="67"/>
      <c r="Q1026" s="67"/>
      <c r="R1026" s="67"/>
      <c r="S1026" s="67"/>
      <c r="T1026" s="67"/>
      <c r="U1026" s="67"/>
      <c r="V1026" s="67"/>
      <c r="W1026" s="67"/>
      <c r="X1026" s="67"/>
      <c r="Y1026" s="67"/>
      <c r="Z1026" s="67"/>
    </row>
    <row r="1027" spans="1:26" ht="12.5">
      <c r="A1027" s="68" t="s">
        <v>2412</v>
      </c>
      <c r="B1027" s="68" t="s">
        <v>2470</v>
      </c>
      <c r="C1027" s="68" t="s">
        <v>642</v>
      </c>
      <c r="D1027" s="68" t="s">
        <v>28</v>
      </c>
      <c r="E1027" s="69">
        <v>2020</v>
      </c>
      <c r="F1027" s="69">
        <v>10</v>
      </c>
      <c r="G1027" s="69">
        <v>301.10000000000002</v>
      </c>
      <c r="H1027" s="69">
        <v>4254</v>
      </c>
      <c r="I1027" s="67"/>
      <c r="J1027" s="67"/>
      <c r="K1027" s="67"/>
      <c r="L1027" s="67"/>
      <c r="M1027" s="67"/>
      <c r="N1027" s="67"/>
      <c r="O1027" s="67"/>
      <c r="P1027" s="67"/>
      <c r="Q1027" s="67"/>
      <c r="R1027" s="67"/>
      <c r="S1027" s="67"/>
      <c r="T1027" s="67"/>
      <c r="U1027" s="67"/>
      <c r="V1027" s="67"/>
      <c r="W1027" s="67"/>
      <c r="X1027" s="67"/>
      <c r="Y1027" s="67"/>
      <c r="Z1027" s="67"/>
    </row>
    <row r="1028" spans="1:26" ht="12.5">
      <c r="A1028" s="68" t="s">
        <v>2412</v>
      </c>
      <c r="B1028" s="68" t="s">
        <v>2470</v>
      </c>
      <c r="C1028" s="68" t="s">
        <v>2486</v>
      </c>
      <c r="D1028" s="68" t="s">
        <v>28</v>
      </c>
      <c r="E1028" s="69">
        <v>2020</v>
      </c>
      <c r="F1028" s="69">
        <v>5</v>
      </c>
      <c r="G1028" s="69">
        <v>165</v>
      </c>
      <c r="H1028" s="69">
        <v>5895</v>
      </c>
      <c r="I1028" s="67"/>
      <c r="J1028" s="67"/>
      <c r="K1028" s="67"/>
      <c r="L1028" s="67"/>
      <c r="M1028" s="67"/>
      <c r="N1028" s="67"/>
      <c r="O1028" s="67"/>
      <c r="P1028" s="67"/>
      <c r="Q1028" s="67"/>
      <c r="R1028" s="67"/>
      <c r="S1028" s="67"/>
      <c r="T1028" s="67"/>
      <c r="U1028" s="67"/>
      <c r="V1028" s="67"/>
      <c r="W1028" s="67"/>
      <c r="X1028" s="67"/>
      <c r="Y1028" s="67"/>
      <c r="Z1028" s="67"/>
    </row>
    <row r="1029" spans="1:26" ht="12.5">
      <c r="A1029" s="68" t="s">
        <v>2412</v>
      </c>
      <c r="B1029" s="68" t="s">
        <v>2470</v>
      </c>
      <c r="C1029" s="68" t="s">
        <v>2488</v>
      </c>
      <c r="D1029" s="68" t="s">
        <v>28</v>
      </c>
      <c r="E1029" s="69">
        <v>2020</v>
      </c>
      <c r="F1029" s="69">
        <v>17</v>
      </c>
      <c r="G1029" s="69">
        <v>230.2</v>
      </c>
      <c r="H1029" s="69">
        <v>4145</v>
      </c>
      <c r="I1029" s="67"/>
      <c r="J1029" s="67"/>
      <c r="K1029" s="67"/>
      <c r="L1029" s="67"/>
      <c r="M1029" s="67"/>
      <c r="N1029" s="67"/>
      <c r="O1029" s="67"/>
      <c r="P1029" s="67"/>
      <c r="Q1029" s="67"/>
      <c r="R1029" s="67"/>
      <c r="S1029" s="67"/>
      <c r="T1029" s="67"/>
      <c r="U1029" s="67"/>
      <c r="V1029" s="67"/>
      <c r="W1029" s="67"/>
      <c r="X1029" s="67"/>
      <c r="Y1029" s="67"/>
      <c r="Z1029" s="67"/>
    </row>
    <row r="1030" spans="1:26" ht="12.5">
      <c r="A1030" s="68" t="s">
        <v>2412</v>
      </c>
      <c r="B1030" s="68" t="s">
        <v>2470</v>
      </c>
      <c r="C1030" s="68" t="s">
        <v>2490</v>
      </c>
      <c r="D1030" s="68" t="s">
        <v>28</v>
      </c>
      <c r="E1030" s="69">
        <v>2020</v>
      </c>
      <c r="F1030" s="69">
        <v>33</v>
      </c>
      <c r="G1030" s="69">
        <v>324.7</v>
      </c>
      <c r="H1030" s="69">
        <v>10189</v>
      </c>
      <c r="I1030" s="67"/>
      <c r="J1030" s="67"/>
      <c r="K1030" s="67"/>
      <c r="L1030" s="67"/>
      <c r="M1030" s="67"/>
      <c r="N1030" s="67"/>
      <c r="O1030" s="67"/>
      <c r="P1030" s="67"/>
      <c r="Q1030" s="67"/>
      <c r="R1030" s="67"/>
      <c r="S1030" s="67"/>
      <c r="T1030" s="67"/>
      <c r="U1030" s="67"/>
      <c r="V1030" s="67"/>
      <c r="W1030" s="67"/>
      <c r="X1030" s="67"/>
      <c r="Y1030" s="67"/>
      <c r="Z1030" s="67"/>
    </row>
    <row r="1031" spans="1:26" ht="12.5">
      <c r="A1031" s="68" t="s">
        <v>2412</v>
      </c>
      <c r="B1031" s="68" t="s">
        <v>2470</v>
      </c>
      <c r="C1031" s="68" t="s">
        <v>2119</v>
      </c>
      <c r="D1031" s="68" t="s">
        <v>32</v>
      </c>
      <c r="E1031" s="69">
        <v>2020</v>
      </c>
      <c r="F1031" s="69">
        <v>18</v>
      </c>
      <c r="G1031" s="69">
        <v>192.7</v>
      </c>
      <c r="H1031" s="69">
        <v>10939</v>
      </c>
      <c r="I1031" s="67"/>
      <c r="J1031" s="67"/>
      <c r="K1031" s="67"/>
      <c r="L1031" s="67"/>
      <c r="M1031" s="67"/>
      <c r="N1031" s="67"/>
      <c r="O1031" s="67"/>
      <c r="P1031" s="67"/>
      <c r="Q1031" s="67"/>
      <c r="R1031" s="67"/>
      <c r="S1031" s="67"/>
      <c r="T1031" s="67"/>
      <c r="U1031" s="67"/>
      <c r="V1031" s="67"/>
      <c r="W1031" s="67"/>
      <c r="X1031" s="67"/>
      <c r="Y1031" s="67"/>
      <c r="Z1031" s="67"/>
    </row>
    <row r="1032" spans="1:26" ht="12.5">
      <c r="A1032" s="68" t="s">
        <v>2412</v>
      </c>
      <c r="B1032" s="68" t="s">
        <v>2470</v>
      </c>
      <c r="C1032" s="68" t="s">
        <v>2494</v>
      </c>
      <c r="D1032" s="68" t="s">
        <v>20</v>
      </c>
      <c r="E1032" s="69">
        <v>2020</v>
      </c>
      <c r="F1032" s="69">
        <v>21</v>
      </c>
      <c r="G1032" s="69">
        <v>349</v>
      </c>
      <c r="H1032" s="69">
        <v>270439</v>
      </c>
      <c r="I1032" s="67"/>
      <c r="J1032" s="67"/>
      <c r="K1032" s="67"/>
      <c r="L1032" s="67"/>
      <c r="M1032" s="67"/>
      <c r="N1032" s="67"/>
      <c r="O1032" s="67"/>
      <c r="P1032" s="67"/>
      <c r="Q1032" s="67"/>
      <c r="R1032" s="67"/>
      <c r="S1032" s="67"/>
      <c r="T1032" s="67"/>
      <c r="U1032" s="67"/>
      <c r="V1032" s="67"/>
      <c r="W1032" s="67"/>
      <c r="X1032" s="67"/>
      <c r="Y1032" s="67"/>
      <c r="Z1032" s="67"/>
    </row>
    <row r="1033" spans="1:26" ht="12.5">
      <c r="A1033" s="68" t="s">
        <v>2412</v>
      </c>
      <c r="B1033" s="68" t="s">
        <v>2470</v>
      </c>
      <c r="C1033" s="68" t="s">
        <v>2497</v>
      </c>
      <c r="D1033" s="68" t="s">
        <v>32</v>
      </c>
      <c r="E1033" s="69">
        <v>2020</v>
      </c>
      <c r="F1033" s="69">
        <v>14</v>
      </c>
      <c r="G1033" s="69">
        <v>241.5</v>
      </c>
      <c r="H1033" s="69">
        <v>6216</v>
      </c>
      <c r="I1033" s="67"/>
      <c r="J1033" s="67"/>
      <c r="K1033" s="67"/>
      <c r="L1033" s="67"/>
      <c r="M1033" s="67"/>
      <c r="N1033" s="67"/>
      <c r="O1033" s="67"/>
      <c r="P1033" s="67"/>
      <c r="Q1033" s="67"/>
      <c r="R1033" s="67"/>
      <c r="S1033" s="67"/>
      <c r="T1033" s="67"/>
      <c r="U1033" s="67"/>
      <c r="V1033" s="67"/>
      <c r="W1033" s="67"/>
      <c r="X1033" s="67"/>
      <c r="Y1033" s="67"/>
      <c r="Z1033" s="67"/>
    </row>
    <row r="1034" spans="1:26" ht="12.5">
      <c r="A1034" s="68" t="s">
        <v>2412</v>
      </c>
      <c r="B1034" s="68" t="s">
        <v>2470</v>
      </c>
      <c r="C1034" s="68" t="s">
        <v>2499</v>
      </c>
      <c r="D1034" s="68" t="s">
        <v>28</v>
      </c>
      <c r="E1034" s="69">
        <v>2020</v>
      </c>
      <c r="F1034" s="69">
        <v>15</v>
      </c>
      <c r="G1034" s="69">
        <v>343.3</v>
      </c>
      <c r="H1034" s="69">
        <v>5848</v>
      </c>
      <c r="I1034" s="67"/>
      <c r="J1034" s="67"/>
      <c r="K1034" s="67"/>
      <c r="L1034" s="67"/>
      <c r="M1034" s="67"/>
      <c r="N1034" s="67"/>
      <c r="O1034" s="67"/>
      <c r="P1034" s="67"/>
      <c r="Q1034" s="67"/>
      <c r="R1034" s="67"/>
      <c r="S1034" s="67"/>
      <c r="T1034" s="67"/>
      <c r="U1034" s="67"/>
      <c r="V1034" s="67"/>
      <c r="W1034" s="67"/>
      <c r="X1034" s="67"/>
      <c r="Y1034" s="67"/>
      <c r="Z1034" s="67"/>
    </row>
    <row r="1035" spans="1:26" ht="12.5">
      <c r="A1035" s="68" t="s">
        <v>2412</v>
      </c>
      <c r="B1035" s="68" t="s">
        <v>2502</v>
      </c>
      <c r="C1035" s="68" t="s">
        <v>610</v>
      </c>
      <c r="D1035" s="68" t="s">
        <v>28</v>
      </c>
      <c r="E1035" s="69">
        <v>2020</v>
      </c>
      <c r="F1035" s="69">
        <v>21</v>
      </c>
      <c r="G1035" s="69">
        <v>463.1</v>
      </c>
      <c r="H1035" s="69">
        <v>4890</v>
      </c>
      <c r="I1035" s="67"/>
      <c r="J1035" s="67"/>
      <c r="K1035" s="67"/>
      <c r="L1035" s="67"/>
      <c r="M1035" s="67"/>
      <c r="N1035" s="67"/>
      <c r="O1035" s="67"/>
      <c r="P1035" s="67"/>
      <c r="Q1035" s="67"/>
      <c r="R1035" s="67"/>
      <c r="S1035" s="67"/>
      <c r="T1035" s="67"/>
      <c r="U1035" s="67"/>
      <c r="V1035" s="67"/>
      <c r="W1035" s="67"/>
      <c r="X1035" s="67"/>
      <c r="Y1035" s="67"/>
      <c r="Z1035" s="67"/>
    </row>
    <row r="1036" spans="1:26" ht="12.5">
      <c r="A1036" s="68" t="s">
        <v>2412</v>
      </c>
      <c r="B1036" s="68" t="s">
        <v>2502</v>
      </c>
      <c r="C1036" s="68" t="s">
        <v>2504</v>
      </c>
      <c r="D1036" s="68" t="s">
        <v>20</v>
      </c>
      <c r="E1036" s="69">
        <v>2020</v>
      </c>
      <c r="F1036" s="69">
        <v>25</v>
      </c>
      <c r="G1036" s="69">
        <v>453.6</v>
      </c>
      <c r="H1036" s="69">
        <v>38553</v>
      </c>
      <c r="I1036" s="67"/>
      <c r="J1036" s="67"/>
      <c r="K1036" s="67"/>
      <c r="L1036" s="67"/>
      <c r="M1036" s="67"/>
      <c r="N1036" s="67"/>
      <c r="O1036" s="67"/>
      <c r="P1036" s="67"/>
      <c r="Q1036" s="67"/>
      <c r="R1036" s="67"/>
      <c r="S1036" s="67"/>
      <c r="T1036" s="67"/>
      <c r="U1036" s="67"/>
      <c r="V1036" s="67"/>
      <c r="W1036" s="67"/>
      <c r="X1036" s="67"/>
      <c r="Y1036" s="67"/>
      <c r="Z1036" s="67"/>
    </row>
    <row r="1037" spans="1:26" ht="12.5">
      <c r="A1037" s="68" t="s">
        <v>2412</v>
      </c>
      <c r="B1037" s="68" t="s">
        <v>2502</v>
      </c>
      <c r="C1037" s="68" t="s">
        <v>2507</v>
      </c>
      <c r="D1037" s="68" t="s">
        <v>20</v>
      </c>
      <c r="E1037" s="69">
        <v>2020</v>
      </c>
      <c r="F1037" s="69">
        <v>12</v>
      </c>
      <c r="G1037" s="69">
        <v>126.6</v>
      </c>
      <c r="H1037" s="69">
        <v>5406</v>
      </c>
      <c r="I1037" s="67"/>
      <c r="J1037" s="67"/>
      <c r="K1037" s="67"/>
      <c r="L1037" s="67"/>
      <c r="M1037" s="67"/>
      <c r="N1037" s="67"/>
      <c r="O1037" s="67"/>
      <c r="P1037" s="67"/>
      <c r="Q1037" s="67"/>
      <c r="R1037" s="67"/>
      <c r="S1037" s="67"/>
      <c r="T1037" s="67"/>
      <c r="U1037" s="67"/>
      <c r="V1037" s="67"/>
      <c r="W1037" s="67"/>
      <c r="X1037" s="67"/>
      <c r="Y1037" s="67"/>
      <c r="Z1037" s="67"/>
    </row>
    <row r="1038" spans="1:26" ht="12.5">
      <c r="A1038" s="68" t="s">
        <v>2412</v>
      </c>
      <c r="B1038" s="68" t="s">
        <v>2502</v>
      </c>
      <c r="C1038" s="68" t="s">
        <v>2509</v>
      </c>
      <c r="D1038" s="68" t="s">
        <v>32</v>
      </c>
      <c r="E1038" s="69">
        <v>2020</v>
      </c>
      <c r="F1038" s="69">
        <v>29</v>
      </c>
      <c r="G1038" s="69">
        <v>551</v>
      </c>
      <c r="H1038" s="69">
        <v>5574</v>
      </c>
      <c r="I1038" s="67"/>
      <c r="J1038" s="67"/>
      <c r="K1038" s="67"/>
      <c r="L1038" s="67"/>
      <c r="M1038" s="67"/>
      <c r="N1038" s="67"/>
      <c r="O1038" s="67"/>
      <c r="P1038" s="67"/>
      <c r="Q1038" s="67"/>
      <c r="R1038" s="67"/>
      <c r="S1038" s="67"/>
      <c r="T1038" s="67"/>
      <c r="U1038" s="67"/>
      <c r="V1038" s="67"/>
      <c r="W1038" s="67"/>
      <c r="X1038" s="67"/>
      <c r="Y1038" s="67"/>
      <c r="Z1038" s="67"/>
    </row>
    <row r="1039" spans="1:26" ht="12.5">
      <c r="A1039" s="68" t="s">
        <v>2412</v>
      </c>
      <c r="B1039" s="68" t="s">
        <v>2502</v>
      </c>
      <c r="C1039" s="68" t="s">
        <v>2512</v>
      </c>
      <c r="D1039" s="68" t="s">
        <v>32</v>
      </c>
      <c r="E1039" s="69">
        <v>2020</v>
      </c>
      <c r="F1039" s="69">
        <v>29</v>
      </c>
      <c r="G1039" s="69">
        <v>529.9</v>
      </c>
      <c r="H1039" s="69">
        <v>4828</v>
      </c>
      <c r="I1039" s="67"/>
      <c r="J1039" s="67"/>
      <c r="K1039" s="67"/>
      <c r="L1039" s="67"/>
      <c r="M1039" s="67"/>
      <c r="N1039" s="67"/>
      <c r="O1039" s="67"/>
      <c r="P1039" s="67"/>
      <c r="Q1039" s="67"/>
      <c r="R1039" s="67"/>
      <c r="S1039" s="67"/>
      <c r="T1039" s="67"/>
      <c r="U1039" s="67"/>
      <c r="V1039" s="67"/>
      <c r="W1039" s="67"/>
      <c r="X1039" s="67"/>
      <c r="Y1039" s="67"/>
      <c r="Z1039" s="67"/>
    </row>
    <row r="1040" spans="1:26" ht="12.5">
      <c r="A1040" s="68" t="s">
        <v>2412</v>
      </c>
      <c r="B1040" s="68" t="s">
        <v>2502</v>
      </c>
      <c r="C1040" s="68" t="s">
        <v>2514</v>
      </c>
      <c r="D1040" s="68" t="s">
        <v>32</v>
      </c>
      <c r="E1040" s="69">
        <v>2020</v>
      </c>
      <c r="F1040" s="69">
        <v>17</v>
      </c>
      <c r="G1040" s="69">
        <v>296.5</v>
      </c>
      <c r="H1040" s="69">
        <v>8462</v>
      </c>
      <c r="I1040" s="67"/>
      <c r="J1040" s="67"/>
      <c r="K1040" s="67"/>
      <c r="L1040" s="67"/>
      <c r="M1040" s="67"/>
      <c r="N1040" s="67"/>
      <c r="O1040" s="67"/>
      <c r="P1040" s="67"/>
      <c r="Q1040" s="67"/>
      <c r="R1040" s="67"/>
      <c r="S1040" s="67"/>
      <c r="T1040" s="67"/>
      <c r="U1040" s="67"/>
      <c r="V1040" s="67"/>
      <c r="W1040" s="67"/>
      <c r="X1040" s="67"/>
      <c r="Y1040" s="67"/>
      <c r="Z1040" s="67"/>
    </row>
    <row r="1041" spans="1:26" ht="12.5">
      <c r="A1041" s="68" t="s">
        <v>2412</v>
      </c>
      <c r="B1041" s="68" t="s">
        <v>2502</v>
      </c>
      <c r="C1041" s="68" t="s">
        <v>2517</v>
      </c>
      <c r="D1041" s="68" t="s">
        <v>20</v>
      </c>
      <c r="E1041" s="69">
        <v>2020</v>
      </c>
      <c r="F1041" s="69">
        <v>34</v>
      </c>
      <c r="G1041" s="69">
        <v>592.9</v>
      </c>
      <c r="H1041" s="69">
        <v>10474</v>
      </c>
      <c r="I1041" s="67"/>
      <c r="J1041" s="67"/>
      <c r="K1041" s="67"/>
      <c r="L1041" s="67"/>
      <c r="M1041" s="67"/>
      <c r="N1041" s="67"/>
      <c r="O1041" s="67"/>
      <c r="P1041" s="67"/>
      <c r="Q1041" s="67"/>
      <c r="R1041" s="67"/>
      <c r="S1041" s="67"/>
      <c r="T1041" s="67"/>
      <c r="U1041" s="67"/>
      <c r="V1041" s="67"/>
      <c r="W1041" s="67"/>
      <c r="X1041" s="67"/>
      <c r="Y1041" s="67"/>
      <c r="Z1041" s="67"/>
    </row>
    <row r="1042" spans="1:26" ht="12.5">
      <c r="A1042" s="68" t="s">
        <v>2412</v>
      </c>
      <c r="B1042" s="68" t="s">
        <v>2502</v>
      </c>
      <c r="C1042" s="68" t="s">
        <v>2520</v>
      </c>
      <c r="D1042" s="68" t="s">
        <v>32</v>
      </c>
      <c r="E1042" s="69">
        <v>2020</v>
      </c>
      <c r="F1042" s="69">
        <v>10</v>
      </c>
      <c r="G1042" s="69">
        <v>275.60000000000002</v>
      </c>
      <c r="H1042" s="69">
        <v>4200</v>
      </c>
      <c r="I1042" s="67"/>
      <c r="J1042" s="67"/>
      <c r="K1042" s="67"/>
      <c r="L1042" s="67"/>
      <c r="M1042" s="67"/>
      <c r="N1042" s="67"/>
      <c r="O1042" s="67"/>
      <c r="P1042" s="67"/>
      <c r="Q1042" s="67"/>
      <c r="R1042" s="67"/>
      <c r="S1042" s="67"/>
      <c r="T1042" s="67"/>
      <c r="U1042" s="67"/>
      <c r="V1042" s="67"/>
      <c r="W1042" s="67"/>
      <c r="X1042" s="67"/>
      <c r="Y1042" s="67"/>
      <c r="Z1042" s="67"/>
    </row>
    <row r="1043" spans="1:26" ht="12.5">
      <c r="A1043" s="68" t="s">
        <v>2412</v>
      </c>
      <c r="B1043" s="68" t="s">
        <v>2502</v>
      </c>
      <c r="C1043" s="68" t="s">
        <v>2522</v>
      </c>
      <c r="D1043" s="68" t="s">
        <v>20</v>
      </c>
      <c r="E1043" s="69">
        <v>2020</v>
      </c>
      <c r="F1043" s="69">
        <v>38</v>
      </c>
      <c r="G1043" s="69">
        <v>1255.8</v>
      </c>
      <c r="H1043" s="69">
        <v>92252</v>
      </c>
      <c r="I1043" s="67"/>
      <c r="J1043" s="67"/>
      <c r="K1043" s="67"/>
      <c r="L1043" s="67"/>
      <c r="M1043" s="67"/>
      <c r="N1043" s="67"/>
      <c r="O1043" s="67"/>
      <c r="P1043" s="67"/>
      <c r="Q1043" s="67"/>
      <c r="R1043" s="67"/>
      <c r="S1043" s="67"/>
      <c r="T1043" s="67"/>
      <c r="U1043" s="67"/>
      <c r="V1043" s="67"/>
      <c r="W1043" s="67"/>
      <c r="X1043" s="67"/>
      <c r="Y1043" s="67"/>
      <c r="Z1043" s="67"/>
    </row>
    <row r="1044" spans="1:26" ht="12.5">
      <c r="A1044" s="68" t="s">
        <v>2412</v>
      </c>
      <c r="B1044" s="68" t="s">
        <v>2502</v>
      </c>
      <c r="C1044" s="68" t="s">
        <v>127</v>
      </c>
      <c r="D1044" s="68" t="s">
        <v>32</v>
      </c>
      <c r="E1044" s="69">
        <v>2020</v>
      </c>
      <c r="F1044" s="69">
        <v>32</v>
      </c>
      <c r="G1044" s="69">
        <v>521.1</v>
      </c>
      <c r="H1044" s="69">
        <v>8153</v>
      </c>
      <c r="I1044" s="67"/>
      <c r="J1044" s="67"/>
      <c r="K1044" s="67"/>
      <c r="L1044" s="67"/>
      <c r="M1044" s="67"/>
      <c r="N1044" s="67"/>
      <c r="O1044" s="67"/>
      <c r="P1044" s="67"/>
      <c r="Q1044" s="67"/>
      <c r="R1044" s="67"/>
      <c r="S1044" s="67"/>
      <c r="T1044" s="67"/>
      <c r="U1044" s="67"/>
      <c r="V1044" s="67"/>
      <c r="W1044" s="67"/>
      <c r="X1044" s="67"/>
      <c r="Y1044" s="67"/>
      <c r="Z1044" s="67"/>
    </row>
    <row r="1045" spans="1:26" ht="12.5">
      <c r="A1045" s="68" t="s">
        <v>2527</v>
      </c>
      <c r="B1045" s="68" t="s">
        <v>2528</v>
      </c>
      <c r="C1045" s="68" t="s">
        <v>2529</v>
      </c>
      <c r="D1045" s="68" t="s">
        <v>28</v>
      </c>
      <c r="E1045" s="69">
        <v>2020</v>
      </c>
      <c r="F1045" s="69">
        <v>11</v>
      </c>
      <c r="G1045" s="69">
        <v>152.1</v>
      </c>
      <c r="H1045" s="69">
        <v>6310</v>
      </c>
      <c r="I1045" s="67"/>
      <c r="J1045" s="67"/>
      <c r="K1045" s="67"/>
      <c r="L1045" s="67"/>
      <c r="M1045" s="67"/>
      <c r="N1045" s="67"/>
      <c r="O1045" s="67"/>
      <c r="P1045" s="67"/>
      <c r="Q1045" s="67"/>
      <c r="R1045" s="67"/>
      <c r="S1045" s="67"/>
      <c r="T1045" s="67"/>
      <c r="U1045" s="67"/>
      <c r="V1045" s="67"/>
      <c r="W1045" s="67"/>
      <c r="X1045" s="67"/>
      <c r="Y1045" s="67"/>
      <c r="Z1045" s="67"/>
    </row>
    <row r="1046" spans="1:26" ht="12.5">
      <c r="A1046" s="68" t="s">
        <v>2527</v>
      </c>
      <c r="B1046" s="68" t="s">
        <v>2528</v>
      </c>
      <c r="C1046" s="68" t="s">
        <v>2531</v>
      </c>
      <c r="D1046" s="68" t="s">
        <v>28</v>
      </c>
      <c r="E1046" s="69">
        <v>2020</v>
      </c>
      <c r="F1046" s="69">
        <v>13</v>
      </c>
      <c r="G1046" s="69">
        <v>164.6</v>
      </c>
      <c r="H1046" s="69">
        <v>6304</v>
      </c>
      <c r="I1046" s="67"/>
      <c r="J1046" s="67"/>
      <c r="K1046" s="67"/>
      <c r="L1046" s="67"/>
      <c r="M1046" s="67"/>
      <c r="N1046" s="67"/>
      <c r="O1046" s="67"/>
      <c r="P1046" s="67"/>
      <c r="Q1046" s="67"/>
      <c r="R1046" s="67"/>
      <c r="S1046" s="67"/>
      <c r="T1046" s="67"/>
      <c r="U1046" s="67"/>
      <c r="V1046" s="67"/>
      <c r="W1046" s="67"/>
      <c r="X1046" s="67"/>
      <c r="Y1046" s="67"/>
      <c r="Z1046" s="67"/>
    </row>
    <row r="1047" spans="1:26" ht="12.5">
      <c r="A1047" s="68" t="s">
        <v>2527</v>
      </c>
      <c r="B1047" s="68" t="s">
        <v>2528</v>
      </c>
      <c r="C1047" s="68" t="s">
        <v>2533</v>
      </c>
      <c r="D1047" s="68" t="s">
        <v>32</v>
      </c>
      <c r="E1047" s="69">
        <v>2020</v>
      </c>
      <c r="F1047" s="69">
        <v>28</v>
      </c>
      <c r="G1047" s="69">
        <v>322.39999999999998</v>
      </c>
      <c r="H1047" s="69">
        <v>17469</v>
      </c>
      <c r="I1047" s="67"/>
      <c r="J1047" s="67"/>
      <c r="K1047" s="67"/>
      <c r="L1047" s="67"/>
      <c r="M1047" s="67"/>
      <c r="N1047" s="67"/>
      <c r="O1047" s="67"/>
      <c r="P1047" s="67"/>
      <c r="Q1047" s="67"/>
      <c r="R1047" s="67"/>
      <c r="S1047" s="67"/>
      <c r="T1047" s="67"/>
      <c r="U1047" s="67"/>
      <c r="V1047" s="67"/>
      <c r="W1047" s="67"/>
      <c r="X1047" s="67"/>
      <c r="Y1047" s="67"/>
      <c r="Z1047" s="67"/>
    </row>
    <row r="1048" spans="1:26" ht="12.5">
      <c r="A1048" s="68" t="s">
        <v>2527</v>
      </c>
      <c r="B1048" s="68" t="s">
        <v>2528</v>
      </c>
      <c r="C1048" s="68" t="s">
        <v>2535</v>
      </c>
      <c r="D1048" s="68" t="s">
        <v>20</v>
      </c>
      <c r="E1048" s="69">
        <v>2020</v>
      </c>
      <c r="F1048" s="69">
        <v>44</v>
      </c>
      <c r="G1048" s="69">
        <v>522.9</v>
      </c>
      <c r="H1048" s="69">
        <v>42064</v>
      </c>
      <c r="I1048" s="67"/>
      <c r="J1048" s="67"/>
      <c r="K1048" s="67"/>
      <c r="L1048" s="67"/>
      <c r="M1048" s="67"/>
      <c r="N1048" s="67"/>
      <c r="O1048" s="67"/>
      <c r="P1048" s="67"/>
      <c r="Q1048" s="67"/>
      <c r="R1048" s="67"/>
      <c r="S1048" s="67"/>
      <c r="T1048" s="67"/>
      <c r="U1048" s="67"/>
      <c r="V1048" s="67"/>
      <c r="W1048" s="67"/>
      <c r="X1048" s="67"/>
      <c r="Y1048" s="67"/>
      <c r="Z1048" s="67"/>
    </row>
    <row r="1049" spans="1:26" ht="12.5">
      <c r="A1049" s="68" t="s">
        <v>2527</v>
      </c>
      <c r="B1049" s="68" t="s">
        <v>2528</v>
      </c>
      <c r="C1049" s="68" t="s">
        <v>2538</v>
      </c>
      <c r="D1049" s="68" t="s">
        <v>20</v>
      </c>
      <c r="E1049" s="69">
        <v>2020</v>
      </c>
      <c r="F1049" s="69">
        <v>41</v>
      </c>
      <c r="G1049" s="69">
        <v>479</v>
      </c>
      <c r="H1049" s="69">
        <v>21710</v>
      </c>
      <c r="I1049" s="67"/>
      <c r="J1049" s="67"/>
      <c r="K1049" s="67"/>
      <c r="L1049" s="67"/>
      <c r="M1049" s="67"/>
      <c r="N1049" s="67"/>
      <c r="O1049" s="67"/>
      <c r="P1049" s="67"/>
      <c r="Q1049" s="67"/>
      <c r="R1049" s="67"/>
      <c r="S1049" s="67"/>
      <c r="T1049" s="67"/>
      <c r="U1049" s="67"/>
      <c r="V1049" s="67"/>
      <c r="W1049" s="67"/>
      <c r="X1049" s="67"/>
      <c r="Y1049" s="67"/>
      <c r="Z1049" s="67"/>
    </row>
    <row r="1050" spans="1:26" ht="12.5">
      <c r="A1050" s="68" t="s">
        <v>2527</v>
      </c>
      <c r="B1050" s="68" t="s">
        <v>2528</v>
      </c>
      <c r="C1050" s="68" t="s">
        <v>2540</v>
      </c>
      <c r="D1050" s="68" t="s">
        <v>28</v>
      </c>
      <c r="E1050" s="69">
        <v>2020</v>
      </c>
      <c r="F1050" s="69">
        <v>11</v>
      </c>
      <c r="G1050" s="69">
        <v>143.69999999999999</v>
      </c>
      <c r="H1050" s="69">
        <v>5172</v>
      </c>
      <c r="I1050" s="67"/>
      <c r="J1050" s="67"/>
      <c r="K1050" s="67"/>
      <c r="L1050" s="67"/>
      <c r="M1050" s="67"/>
      <c r="N1050" s="67"/>
      <c r="O1050" s="67"/>
      <c r="P1050" s="67"/>
      <c r="Q1050" s="67"/>
      <c r="R1050" s="67"/>
      <c r="S1050" s="67"/>
      <c r="T1050" s="67"/>
      <c r="U1050" s="67"/>
      <c r="V1050" s="67"/>
      <c r="W1050" s="67"/>
      <c r="X1050" s="67"/>
      <c r="Y1050" s="67"/>
      <c r="Z1050" s="67"/>
    </row>
    <row r="1051" spans="1:26" ht="12.5">
      <c r="A1051" s="68" t="s">
        <v>2527</v>
      </c>
      <c r="B1051" s="68" t="s">
        <v>2528</v>
      </c>
      <c r="C1051" s="68" t="s">
        <v>2542</v>
      </c>
      <c r="D1051" s="68" t="s">
        <v>20</v>
      </c>
      <c r="E1051" s="69">
        <v>2020</v>
      </c>
      <c r="F1051" s="69">
        <v>12</v>
      </c>
      <c r="G1051" s="69">
        <v>217.2</v>
      </c>
      <c r="H1051" s="69">
        <v>17883</v>
      </c>
      <c r="I1051" s="67"/>
      <c r="J1051" s="67"/>
      <c r="K1051" s="67"/>
      <c r="L1051" s="67"/>
      <c r="M1051" s="67"/>
      <c r="N1051" s="67"/>
      <c r="O1051" s="67"/>
      <c r="P1051" s="67"/>
      <c r="Q1051" s="67"/>
      <c r="R1051" s="67"/>
      <c r="S1051" s="67"/>
      <c r="T1051" s="67"/>
      <c r="U1051" s="67"/>
      <c r="V1051" s="67"/>
      <c r="W1051" s="67"/>
      <c r="X1051" s="67"/>
      <c r="Y1051" s="67"/>
      <c r="Z1051" s="67"/>
    </row>
    <row r="1052" spans="1:26" ht="12.5">
      <c r="A1052" s="68" t="s">
        <v>2527</v>
      </c>
      <c r="B1052" s="68" t="s">
        <v>2528</v>
      </c>
      <c r="C1052" s="68" t="s">
        <v>2544</v>
      </c>
      <c r="D1052" s="68" t="s">
        <v>20</v>
      </c>
      <c r="E1052" s="69">
        <v>2020</v>
      </c>
      <c r="F1052" s="69">
        <v>44</v>
      </c>
      <c r="G1052" s="69">
        <v>632</v>
      </c>
      <c r="H1052" s="69">
        <v>24763</v>
      </c>
      <c r="I1052" s="67"/>
      <c r="J1052" s="67"/>
      <c r="K1052" s="67"/>
      <c r="L1052" s="67"/>
      <c r="M1052" s="67"/>
      <c r="N1052" s="67"/>
      <c r="O1052" s="67"/>
      <c r="P1052" s="67"/>
      <c r="Q1052" s="67"/>
      <c r="R1052" s="67"/>
      <c r="S1052" s="67"/>
      <c r="T1052" s="67"/>
      <c r="U1052" s="67"/>
      <c r="V1052" s="67"/>
      <c r="W1052" s="67"/>
      <c r="X1052" s="67"/>
      <c r="Y1052" s="67"/>
      <c r="Z1052" s="67"/>
    </row>
    <row r="1053" spans="1:26" ht="12.5">
      <c r="A1053" s="68" t="s">
        <v>2527</v>
      </c>
      <c r="B1053" s="68" t="s">
        <v>2546</v>
      </c>
      <c r="C1053" s="68" t="s">
        <v>152</v>
      </c>
      <c r="D1053" s="68" t="s">
        <v>28</v>
      </c>
      <c r="E1053" s="69">
        <v>2020</v>
      </c>
      <c r="F1053" s="69">
        <v>5</v>
      </c>
      <c r="G1053" s="69">
        <v>109.5</v>
      </c>
      <c r="H1053" s="69">
        <v>4078</v>
      </c>
      <c r="I1053" s="67"/>
      <c r="J1053" s="67"/>
      <c r="K1053" s="67"/>
      <c r="L1053" s="67"/>
      <c r="M1053" s="67"/>
      <c r="N1053" s="67"/>
      <c r="O1053" s="67"/>
      <c r="P1053" s="67"/>
      <c r="Q1053" s="67"/>
      <c r="R1053" s="67"/>
      <c r="S1053" s="67"/>
      <c r="T1053" s="67"/>
      <c r="U1053" s="67"/>
      <c r="V1053" s="67"/>
      <c r="W1053" s="67"/>
      <c r="X1053" s="67"/>
      <c r="Y1053" s="67"/>
      <c r="Z1053" s="67"/>
    </row>
    <row r="1054" spans="1:26" ht="12.5">
      <c r="A1054" s="68" t="s">
        <v>2527</v>
      </c>
      <c r="B1054" s="68" t="s">
        <v>2546</v>
      </c>
      <c r="C1054" s="68" t="s">
        <v>2548</v>
      </c>
      <c r="D1054" s="68" t="s">
        <v>28</v>
      </c>
      <c r="E1054" s="69">
        <v>2020</v>
      </c>
      <c r="F1054" s="69">
        <v>15</v>
      </c>
      <c r="G1054" s="69">
        <v>161.19999999999999</v>
      </c>
      <c r="H1054" s="69">
        <v>12030</v>
      </c>
      <c r="I1054" s="67"/>
      <c r="J1054" s="67"/>
      <c r="K1054" s="67"/>
      <c r="L1054" s="67"/>
      <c r="M1054" s="67"/>
      <c r="N1054" s="67"/>
      <c r="O1054" s="67"/>
      <c r="P1054" s="67"/>
      <c r="Q1054" s="67"/>
      <c r="R1054" s="67"/>
      <c r="S1054" s="67"/>
      <c r="T1054" s="67"/>
      <c r="U1054" s="67"/>
      <c r="V1054" s="67"/>
      <c r="W1054" s="67"/>
      <c r="X1054" s="67"/>
      <c r="Y1054" s="67"/>
      <c r="Z1054" s="67"/>
    </row>
    <row r="1055" spans="1:26" ht="12.5">
      <c r="A1055" s="68" t="s">
        <v>2527</v>
      </c>
      <c r="B1055" s="68" t="s">
        <v>2546</v>
      </c>
      <c r="C1055" s="68" t="s">
        <v>2550</v>
      </c>
      <c r="D1055" s="68" t="s">
        <v>20</v>
      </c>
      <c r="E1055" s="69">
        <v>2020</v>
      </c>
      <c r="F1055" s="69">
        <v>21</v>
      </c>
      <c r="G1055" s="69">
        <v>242.5</v>
      </c>
      <c r="H1055" s="69">
        <v>26592</v>
      </c>
      <c r="I1055" s="67"/>
      <c r="J1055" s="67"/>
      <c r="K1055" s="67"/>
      <c r="L1055" s="67"/>
      <c r="M1055" s="67"/>
      <c r="N1055" s="67"/>
      <c r="O1055" s="67"/>
      <c r="P1055" s="67"/>
      <c r="Q1055" s="67"/>
      <c r="R1055" s="67"/>
      <c r="S1055" s="67"/>
      <c r="T1055" s="67"/>
      <c r="U1055" s="67"/>
      <c r="V1055" s="67"/>
      <c r="W1055" s="67"/>
      <c r="X1055" s="67"/>
      <c r="Y1055" s="67"/>
      <c r="Z1055" s="67"/>
    </row>
    <row r="1056" spans="1:26" ht="12.5">
      <c r="A1056" s="68" t="s">
        <v>2527</v>
      </c>
      <c r="B1056" s="68" t="s">
        <v>2546</v>
      </c>
      <c r="C1056" s="68" t="s">
        <v>2553</v>
      </c>
      <c r="D1056" s="68" t="s">
        <v>28</v>
      </c>
      <c r="E1056" s="69">
        <v>2020</v>
      </c>
      <c r="F1056" s="69">
        <v>10</v>
      </c>
      <c r="G1056" s="69">
        <v>137.6</v>
      </c>
      <c r="H1056" s="69">
        <v>10875</v>
      </c>
      <c r="I1056" s="67"/>
      <c r="J1056" s="67"/>
      <c r="K1056" s="67"/>
      <c r="L1056" s="67"/>
      <c r="M1056" s="67"/>
      <c r="N1056" s="67"/>
      <c r="O1056" s="67"/>
      <c r="P1056" s="67"/>
      <c r="Q1056" s="67"/>
      <c r="R1056" s="67"/>
      <c r="S1056" s="67"/>
      <c r="T1056" s="67"/>
      <c r="U1056" s="67"/>
      <c r="V1056" s="67"/>
      <c r="W1056" s="67"/>
      <c r="X1056" s="67"/>
      <c r="Y1056" s="67"/>
      <c r="Z1056" s="67"/>
    </row>
    <row r="1057" spans="1:26" ht="12.5">
      <c r="A1057" s="68" t="s">
        <v>2527</v>
      </c>
      <c r="B1057" s="68" t="s">
        <v>2546</v>
      </c>
      <c r="C1057" s="68" t="s">
        <v>2555</v>
      </c>
      <c r="D1057" s="68" t="s">
        <v>32</v>
      </c>
      <c r="E1057" s="69">
        <v>2020</v>
      </c>
      <c r="F1057" s="69">
        <v>13</v>
      </c>
      <c r="G1057" s="69">
        <v>202</v>
      </c>
      <c r="H1057" s="69">
        <v>23174</v>
      </c>
      <c r="I1057" s="67"/>
      <c r="J1057" s="67"/>
      <c r="K1057" s="67"/>
      <c r="L1057" s="67"/>
      <c r="M1057" s="67"/>
      <c r="N1057" s="67"/>
      <c r="O1057" s="67"/>
      <c r="P1057" s="67"/>
      <c r="Q1057" s="67"/>
      <c r="R1057" s="67"/>
      <c r="S1057" s="67"/>
      <c r="T1057" s="67"/>
      <c r="U1057" s="67"/>
      <c r="V1057" s="67"/>
      <c r="W1057" s="67"/>
      <c r="X1057" s="67"/>
      <c r="Y1057" s="67"/>
      <c r="Z1057" s="67"/>
    </row>
    <row r="1058" spans="1:26" ht="12.5">
      <c r="A1058" s="68" t="s">
        <v>2527</v>
      </c>
      <c r="B1058" s="68" t="s">
        <v>2546</v>
      </c>
      <c r="C1058" s="68" t="s">
        <v>2558</v>
      </c>
      <c r="D1058" s="68" t="s">
        <v>32</v>
      </c>
      <c r="E1058" s="69">
        <v>2020</v>
      </c>
      <c r="F1058" s="69">
        <v>4</v>
      </c>
      <c r="G1058" s="69">
        <v>65.400000000000006</v>
      </c>
      <c r="H1058" s="69">
        <v>5985</v>
      </c>
      <c r="I1058" s="67"/>
      <c r="J1058" s="67"/>
      <c r="K1058" s="67"/>
      <c r="L1058" s="67"/>
      <c r="M1058" s="67"/>
      <c r="N1058" s="67"/>
      <c r="O1058" s="67"/>
      <c r="P1058" s="67"/>
      <c r="Q1058" s="67"/>
      <c r="R1058" s="67"/>
      <c r="S1058" s="67"/>
      <c r="T1058" s="67"/>
      <c r="U1058" s="67"/>
      <c r="V1058" s="67"/>
      <c r="W1058" s="67"/>
      <c r="X1058" s="67"/>
      <c r="Y1058" s="67"/>
      <c r="Z1058" s="67"/>
    </row>
    <row r="1059" spans="1:26" ht="12.5">
      <c r="A1059" s="68" t="s">
        <v>2527</v>
      </c>
      <c r="B1059" s="68" t="s">
        <v>2546</v>
      </c>
      <c r="C1059" s="68" t="s">
        <v>2560</v>
      </c>
      <c r="D1059" s="68" t="s">
        <v>28</v>
      </c>
      <c r="E1059" s="69">
        <v>2020</v>
      </c>
      <c r="F1059" s="69">
        <v>15</v>
      </c>
      <c r="G1059" s="69">
        <v>142.5</v>
      </c>
      <c r="H1059" s="69">
        <v>11286</v>
      </c>
      <c r="I1059" s="67"/>
      <c r="J1059" s="67"/>
      <c r="K1059" s="67"/>
      <c r="L1059" s="67"/>
      <c r="M1059" s="67"/>
      <c r="N1059" s="67"/>
      <c r="O1059" s="67"/>
      <c r="P1059" s="67"/>
      <c r="Q1059" s="67"/>
      <c r="R1059" s="67"/>
      <c r="S1059" s="67"/>
      <c r="T1059" s="67"/>
      <c r="U1059" s="67"/>
      <c r="V1059" s="67"/>
      <c r="W1059" s="67"/>
      <c r="X1059" s="67"/>
      <c r="Y1059" s="67"/>
      <c r="Z1059" s="67"/>
    </row>
    <row r="1060" spans="1:26" ht="12.5">
      <c r="A1060" s="68" t="s">
        <v>2527</v>
      </c>
      <c r="B1060" s="68" t="s">
        <v>2546</v>
      </c>
      <c r="C1060" s="68" t="s">
        <v>2562</v>
      </c>
      <c r="D1060" s="68" t="s">
        <v>32</v>
      </c>
      <c r="E1060" s="69">
        <v>2020</v>
      </c>
      <c r="F1060" s="69">
        <v>18</v>
      </c>
      <c r="G1060" s="69">
        <v>247</v>
      </c>
      <c r="H1060" s="69">
        <v>10573</v>
      </c>
      <c r="I1060" s="67"/>
      <c r="J1060" s="67"/>
      <c r="K1060" s="67"/>
      <c r="L1060" s="67"/>
      <c r="M1060" s="67"/>
      <c r="N1060" s="67"/>
      <c r="O1060" s="67"/>
      <c r="P1060" s="67"/>
      <c r="Q1060" s="67"/>
      <c r="R1060" s="67"/>
      <c r="S1060" s="67"/>
      <c r="T1060" s="67"/>
      <c r="U1060" s="67"/>
      <c r="V1060" s="67"/>
      <c r="W1060" s="67"/>
      <c r="X1060" s="67"/>
      <c r="Y1060" s="67"/>
      <c r="Z1060" s="67"/>
    </row>
    <row r="1061" spans="1:26" ht="12.5">
      <c r="A1061" s="68" t="s">
        <v>2527</v>
      </c>
      <c r="B1061" s="68" t="s">
        <v>2546</v>
      </c>
      <c r="C1061" s="68" t="s">
        <v>2564</v>
      </c>
      <c r="D1061" s="68" t="s">
        <v>20</v>
      </c>
      <c r="E1061" s="69">
        <v>2020</v>
      </c>
      <c r="F1061" s="69">
        <v>54</v>
      </c>
      <c r="G1061" s="69">
        <v>590.79999999999995</v>
      </c>
      <c r="H1061" s="69">
        <v>38915</v>
      </c>
      <c r="I1061" s="67"/>
      <c r="J1061" s="67"/>
      <c r="K1061" s="67"/>
      <c r="L1061" s="67"/>
      <c r="M1061" s="67"/>
      <c r="N1061" s="67"/>
      <c r="O1061" s="67"/>
      <c r="P1061" s="67"/>
      <c r="Q1061" s="67"/>
      <c r="R1061" s="67"/>
      <c r="S1061" s="67"/>
      <c r="T1061" s="67"/>
      <c r="U1061" s="67"/>
      <c r="V1061" s="67"/>
      <c r="W1061" s="67"/>
      <c r="X1061" s="67"/>
      <c r="Y1061" s="67"/>
      <c r="Z1061" s="67"/>
    </row>
    <row r="1062" spans="1:26" ht="12.5">
      <c r="A1062" s="68" t="s">
        <v>2527</v>
      </c>
      <c r="B1062" s="68" t="s">
        <v>2546</v>
      </c>
      <c r="C1062" s="68" t="s">
        <v>2567</v>
      </c>
      <c r="D1062" s="68" t="s">
        <v>20</v>
      </c>
      <c r="E1062" s="69">
        <v>2020</v>
      </c>
      <c r="F1062" s="69">
        <v>53</v>
      </c>
      <c r="G1062" s="69">
        <v>466.9</v>
      </c>
      <c r="H1062" s="69">
        <v>19262</v>
      </c>
      <c r="I1062" s="67"/>
      <c r="J1062" s="67"/>
      <c r="K1062" s="67"/>
      <c r="L1062" s="67"/>
      <c r="M1062" s="67"/>
      <c r="N1062" s="67"/>
      <c r="O1062" s="67"/>
      <c r="P1062" s="67"/>
      <c r="Q1062" s="67"/>
      <c r="R1062" s="67"/>
      <c r="S1062" s="67"/>
      <c r="T1062" s="67"/>
      <c r="U1062" s="67"/>
      <c r="V1062" s="67"/>
      <c r="W1062" s="67"/>
      <c r="X1062" s="67"/>
      <c r="Y1062" s="67"/>
      <c r="Z1062" s="67"/>
    </row>
    <row r="1063" spans="1:26" ht="12.5">
      <c r="A1063" s="68" t="s">
        <v>2527</v>
      </c>
      <c r="B1063" s="68" t="s">
        <v>2546</v>
      </c>
      <c r="C1063" s="68" t="s">
        <v>2569</v>
      </c>
      <c r="D1063" s="68" t="s">
        <v>28</v>
      </c>
      <c r="E1063" s="69">
        <v>2020</v>
      </c>
      <c r="F1063" s="69">
        <v>21</v>
      </c>
      <c r="G1063" s="69">
        <v>284.2</v>
      </c>
      <c r="H1063" s="69">
        <v>7601</v>
      </c>
      <c r="I1063" s="67"/>
      <c r="J1063" s="67"/>
      <c r="K1063" s="67"/>
      <c r="L1063" s="67"/>
      <c r="M1063" s="67"/>
      <c r="N1063" s="67"/>
      <c r="O1063" s="67"/>
      <c r="P1063" s="67"/>
      <c r="Q1063" s="67"/>
      <c r="R1063" s="67"/>
      <c r="S1063" s="67"/>
      <c r="T1063" s="67"/>
      <c r="U1063" s="67"/>
      <c r="V1063" s="67"/>
      <c r="W1063" s="67"/>
      <c r="X1063" s="67"/>
      <c r="Y1063" s="67"/>
      <c r="Z1063" s="67"/>
    </row>
    <row r="1064" spans="1:26" ht="12.5">
      <c r="A1064" s="68" t="s">
        <v>2527</v>
      </c>
      <c r="B1064" s="68" t="s">
        <v>2546</v>
      </c>
      <c r="C1064" s="68" t="s">
        <v>2571</v>
      </c>
      <c r="D1064" s="68" t="s">
        <v>32</v>
      </c>
      <c r="E1064" s="69">
        <v>2020</v>
      </c>
      <c r="F1064" s="69">
        <v>5</v>
      </c>
      <c r="G1064" s="69">
        <v>95.4</v>
      </c>
      <c r="H1064" s="69">
        <v>4404</v>
      </c>
      <c r="I1064" s="67"/>
      <c r="J1064" s="67"/>
      <c r="K1064" s="67"/>
      <c r="L1064" s="67"/>
      <c r="M1064" s="67"/>
      <c r="N1064" s="67"/>
      <c r="O1064" s="67"/>
      <c r="P1064" s="67"/>
      <c r="Q1064" s="67"/>
      <c r="R1064" s="67"/>
      <c r="S1064" s="67"/>
      <c r="T1064" s="67"/>
      <c r="U1064" s="67"/>
      <c r="V1064" s="67"/>
      <c r="W1064" s="67"/>
      <c r="X1064" s="67"/>
      <c r="Y1064" s="67"/>
      <c r="Z1064" s="67"/>
    </row>
    <row r="1065" spans="1:26" ht="12.5">
      <c r="A1065" s="68" t="s">
        <v>2527</v>
      </c>
      <c r="B1065" s="68" t="s">
        <v>2546</v>
      </c>
      <c r="C1065" s="68" t="s">
        <v>1732</v>
      </c>
      <c r="D1065" s="68" t="s">
        <v>32</v>
      </c>
      <c r="E1065" s="69">
        <v>2020</v>
      </c>
      <c r="F1065" s="69">
        <v>36</v>
      </c>
      <c r="G1065" s="69">
        <v>428</v>
      </c>
      <c r="H1065" s="69">
        <v>25053</v>
      </c>
      <c r="I1065" s="67"/>
      <c r="J1065" s="67"/>
      <c r="K1065" s="67"/>
      <c r="L1065" s="67"/>
      <c r="M1065" s="67"/>
      <c r="N1065" s="67"/>
      <c r="O1065" s="67"/>
      <c r="P1065" s="67"/>
      <c r="Q1065" s="67"/>
      <c r="R1065" s="67"/>
      <c r="S1065" s="67"/>
      <c r="T1065" s="67"/>
      <c r="U1065" s="67"/>
      <c r="V1065" s="67"/>
      <c r="W1065" s="67"/>
      <c r="X1065" s="67"/>
      <c r="Y1065" s="67"/>
      <c r="Z1065" s="67"/>
    </row>
    <row r="1066" spans="1:26" ht="12.5">
      <c r="A1066" s="68" t="s">
        <v>2527</v>
      </c>
      <c r="B1066" s="68" t="s">
        <v>2546</v>
      </c>
      <c r="C1066" s="68" t="s">
        <v>2575</v>
      </c>
      <c r="D1066" s="68" t="s">
        <v>28</v>
      </c>
      <c r="E1066" s="69">
        <v>2020</v>
      </c>
      <c r="F1066" s="69">
        <v>8</v>
      </c>
      <c r="G1066" s="69">
        <v>97.6</v>
      </c>
      <c r="H1066" s="69">
        <v>3809</v>
      </c>
      <c r="I1066" s="67"/>
      <c r="J1066" s="67"/>
      <c r="K1066" s="67"/>
      <c r="L1066" s="67"/>
      <c r="M1066" s="67"/>
      <c r="N1066" s="67"/>
      <c r="O1066" s="67"/>
      <c r="P1066" s="67"/>
      <c r="Q1066" s="67"/>
      <c r="R1066" s="67"/>
      <c r="S1066" s="67"/>
      <c r="T1066" s="67"/>
      <c r="U1066" s="67"/>
      <c r="V1066" s="67"/>
      <c r="W1066" s="67"/>
      <c r="X1066" s="67"/>
      <c r="Y1066" s="67"/>
      <c r="Z1066" s="67"/>
    </row>
    <row r="1067" spans="1:26" ht="12.5">
      <c r="A1067" s="68" t="s">
        <v>2527</v>
      </c>
      <c r="B1067" s="68" t="s">
        <v>2546</v>
      </c>
      <c r="C1067" s="68" t="s">
        <v>2577</v>
      </c>
      <c r="D1067" s="68" t="s">
        <v>32</v>
      </c>
      <c r="E1067" s="69">
        <v>2020</v>
      </c>
      <c r="F1067" s="69">
        <v>20</v>
      </c>
      <c r="G1067" s="69">
        <v>239.4</v>
      </c>
      <c r="H1067" s="69">
        <v>17170</v>
      </c>
      <c r="I1067" s="67"/>
      <c r="J1067" s="67"/>
      <c r="K1067" s="67"/>
      <c r="L1067" s="67"/>
      <c r="M1067" s="67"/>
      <c r="N1067" s="67"/>
      <c r="O1067" s="67"/>
      <c r="P1067" s="67"/>
      <c r="Q1067" s="67"/>
      <c r="R1067" s="67"/>
      <c r="S1067" s="67"/>
      <c r="T1067" s="67"/>
      <c r="U1067" s="67"/>
      <c r="V1067" s="67"/>
      <c r="W1067" s="67"/>
      <c r="X1067" s="67"/>
      <c r="Y1067" s="67"/>
      <c r="Z1067" s="67"/>
    </row>
    <row r="1068" spans="1:26" ht="12.5">
      <c r="A1068" s="68" t="s">
        <v>2527</v>
      </c>
      <c r="B1068" s="68" t="s">
        <v>2546</v>
      </c>
      <c r="C1068" s="68" t="s">
        <v>2579</v>
      </c>
      <c r="D1068" s="68" t="s">
        <v>28</v>
      </c>
      <c r="E1068" s="69">
        <v>2020</v>
      </c>
      <c r="F1068" s="69">
        <v>18</v>
      </c>
      <c r="G1068" s="69">
        <v>218.1</v>
      </c>
      <c r="H1068" s="69">
        <v>6747</v>
      </c>
      <c r="I1068" s="67"/>
      <c r="J1068" s="67"/>
      <c r="K1068" s="67"/>
      <c r="L1068" s="67"/>
      <c r="M1068" s="67"/>
      <c r="N1068" s="67"/>
      <c r="O1068" s="67"/>
      <c r="P1068" s="67"/>
      <c r="Q1068" s="67"/>
      <c r="R1068" s="67"/>
      <c r="S1068" s="67"/>
      <c r="T1068" s="67"/>
      <c r="U1068" s="67"/>
      <c r="V1068" s="67"/>
      <c r="W1068" s="67"/>
      <c r="X1068" s="67"/>
      <c r="Y1068" s="67"/>
      <c r="Z1068" s="67"/>
    </row>
    <row r="1069" spans="1:26" ht="12.5">
      <c r="A1069" s="68" t="s">
        <v>2527</v>
      </c>
      <c r="B1069" s="68" t="s">
        <v>2546</v>
      </c>
      <c r="C1069" s="68" t="s">
        <v>2581</v>
      </c>
      <c r="D1069" s="68" t="s">
        <v>28</v>
      </c>
      <c r="E1069" s="69">
        <v>2020</v>
      </c>
      <c r="F1069" s="69">
        <v>13</v>
      </c>
      <c r="G1069" s="69">
        <v>167.6</v>
      </c>
      <c r="H1069" s="69">
        <v>7073</v>
      </c>
      <c r="I1069" s="67"/>
      <c r="J1069" s="67"/>
      <c r="K1069" s="67"/>
      <c r="L1069" s="67"/>
      <c r="M1069" s="67"/>
      <c r="N1069" s="67"/>
      <c r="O1069" s="67"/>
      <c r="P1069" s="67"/>
      <c r="Q1069" s="67"/>
      <c r="R1069" s="67"/>
      <c r="S1069" s="67"/>
      <c r="T1069" s="67"/>
      <c r="U1069" s="67"/>
      <c r="V1069" s="67"/>
      <c r="W1069" s="67"/>
      <c r="X1069" s="67"/>
      <c r="Y1069" s="67"/>
      <c r="Z1069" s="67"/>
    </row>
    <row r="1070" spans="1:26" ht="12.5">
      <c r="A1070" s="68" t="s">
        <v>2527</v>
      </c>
      <c r="B1070" s="68" t="s">
        <v>2546</v>
      </c>
      <c r="C1070" s="68" t="s">
        <v>2583</v>
      </c>
      <c r="D1070" s="68" t="s">
        <v>32</v>
      </c>
      <c r="E1070" s="69">
        <v>2020</v>
      </c>
      <c r="F1070" s="69">
        <v>23</v>
      </c>
      <c r="G1070" s="69">
        <v>350.6</v>
      </c>
      <c r="H1070" s="69">
        <v>18538</v>
      </c>
      <c r="I1070" s="67"/>
      <c r="J1070" s="67"/>
      <c r="K1070" s="67"/>
      <c r="L1070" s="67"/>
      <c r="M1070" s="67"/>
      <c r="N1070" s="67"/>
      <c r="O1070" s="67"/>
      <c r="P1070" s="67"/>
      <c r="Q1070" s="67"/>
      <c r="R1070" s="67"/>
      <c r="S1070" s="67"/>
      <c r="T1070" s="67"/>
      <c r="U1070" s="67"/>
      <c r="V1070" s="67"/>
      <c r="W1070" s="67"/>
      <c r="X1070" s="67"/>
      <c r="Y1070" s="67"/>
      <c r="Z1070" s="67"/>
    </row>
    <row r="1071" spans="1:26" ht="12.5">
      <c r="A1071" s="68" t="s">
        <v>2527</v>
      </c>
      <c r="B1071" s="68" t="s">
        <v>2546</v>
      </c>
      <c r="C1071" s="68" t="s">
        <v>2585</v>
      </c>
      <c r="D1071" s="68" t="s">
        <v>20</v>
      </c>
      <c r="E1071" s="69">
        <v>2020</v>
      </c>
      <c r="F1071" s="69">
        <v>36</v>
      </c>
      <c r="G1071" s="69">
        <v>474.9</v>
      </c>
      <c r="H1071" s="69">
        <v>16483</v>
      </c>
      <c r="I1071" s="67"/>
      <c r="J1071" s="67"/>
      <c r="K1071" s="67"/>
      <c r="L1071" s="67"/>
      <c r="M1071" s="67"/>
      <c r="N1071" s="67"/>
      <c r="O1071" s="67"/>
      <c r="P1071" s="67"/>
      <c r="Q1071" s="67"/>
      <c r="R1071" s="67"/>
      <c r="S1071" s="67"/>
      <c r="T1071" s="67"/>
      <c r="U1071" s="67"/>
      <c r="V1071" s="67"/>
      <c r="W1071" s="67"/>
      <c r="X1071" s="67"/>
      <c r="Y1071" s="67"/>
      <c r="Z1071" s="67"/>
    </row>
    <row r="1072" spans="1:26" ht="12.5">
      <c r="A1072" s="68" t="s">
        <v>2527</v>
      </c>
      <c r="B1072" s="68" t="s">
        <v>2546</v>
      </c>
      <c r="C1072" s="68" t="s">
        <v>2588</v>
      </c>
      <c r="D1072" s="68" t="s">
        <v>28</v>
      </c>
      <c r="E1072" s="69">
        <v>2020</v>
      </c>
      <c r="F1072" s="69">
        <v>7</v>
      </c>
      <c r="G1072" s="69">
        <v>123.7</v>
      </c>
      <c r="H1072" s="69">
        <v>7346</v>
      </c>
      <c r="I1072" s="67"/>
      <c r="J1072" s="67"/>
      <c r="K1072" s="67"/>
      <c r="L1072" s="67"/>
      <c r="M1072" s="67"/>
      <c r="N1072" s="67"/>
      <c r="O1072" s="67"/>
      <c r="P1072" s="67"/>
      <c r="Q1072" s="67"/>
      <c r="R1072" s="67"/>
      <c r="S1072" s="67"/>
      <c r="T1072" s="67"/>
      <c r="U1072" s="67"/>
      <c r="V1072" s="67"/>
      <c r="W1072" s="67"/>
      <c r="X1072" s="67"/>
      <c r="Y1072" s="67"/>
      <c r="Z1072" s="67"/>
    </row>
    <row r="1073" spans="1:26" ht="12.5">
      <c r="A1073" s="68" t="s">
        <v>2527</v>
      </c>
      <c r="B1073" s="68" t="s">
        <v>2546</v>
      </c>
      <c r="C1073" s="68" t="s">
        <v>2591</v>
      </c>
      <c r="D1073" s="68" t="s">
        <v>28</v>
      </c>
      <c r="E1073" s="69">
        <v>2020</v>
      </c>
      <c r="F1073" s="69">
        <v>19</v>
      </c>
      <c r="G1073" s="69">
        <v>222.2</v>
      </c>
      <c r="H1073" s="69">
        <v>6395</v>
      </c>
      <c r="I1073" s="67"/>
      <c r="J1073" s="67"/>
      <c r="K1073" s="67"/>
      <c r="L1073" s="67"/>
      <c r="M1073" s="67"/>
      <c r="N1073" s="67"/>
      <c r="O1073" s="67"/>
      <c r="P1073" s="67"/>
      <c r="Q1073" s="67"/>
      <c r="R1073" s="67"/>
      <c r="S1073" s="67"/>
      <c r="T1073" s="67"/>
      <c r="U1073" s="67"/>
      <c r="V1073" s="67"/>
      <c r="W1073" s="67"/>
      <c r="X1073" s="67"/>
      <c r="Y1073" s="67"/>
      <c r="Z1073" s="67"/>
    </row>
    <row r="1074" spans="1:26" ht="12.5">
      <c r="A1074" s="68" t="s">
        <v>2527</v>
      </c>
      <c r="B1074" s="68" t="s">
        <v>2546</v>
      </c>
      <c r="C1074" s="68" t="s">
        <v>2593</v>
      </c>
      <c r="D1074" s="68" t="s">
        <v>20</v>
      </c>
      <c r="E1074" s="69">
        <v>2020</v>
      </c>
      <c r="F1074" s="69">
        <v>16</v>
      </c>
      <c r="G1074" s="69">
        <v>224.3</v>
      </c>
      <c r="H1074" s="69">
        <v>13345</v>
      </c>
      <c r="I1074" s="67"/>
      <c r="J1074" s="67"/>
      <c r="K1074" s="67"/>
      <c r="L1074" s="67"/>
      <c r="M1074" s="67"/>
      <c r="N1074" s="67"/>
      <c r="O1074" s="67"/>
      <c r="P1074" s="67"/>
      <c r="Q1074" s="67"/>
      <c r="R1074" s="67"/>
      <c r="S1074" s="67"/>
      <c r="T1074" s="67"/>
      <c r="U1074" s="67"/>
      <c r="V1074" s="67"/>
      <c r="W1074" s="67"/>
      <c r="X1074" s="67"/>
      <c r="Y1074" s="67"/>
      <c r="Z1074" s="67"/>
    </row>
    <row r="1075" spans="1:26" ht="12.5">
      <c r="A1075" s="68" t="s">
        <v>2527</v>
      </c>
      <c r="B1075" s="68" t="s">
        <v>2546</v>
      </c>
      <c r="C1075" s="68" t="s">
        <v>2595</v>
      </c>
      <c r="D1075" s="68" t="s">
        <v>28</v>
      </c>
      <c r="E1075" s="69">
        <v>2020</v>
      </c>
      <c r="F1075" s="69">
        <v>23</v>
      </c>
      <c r="G1075" s="69">
        <v>262.8</v>
      </c>
      <c r="H1075" s="69">
        <v>8220</v>
      </c>
      <c r="I1075" s="67"/>
      <c r="J1075" s="67"/>
      <c r="K1075" s="67"/>
      <c r="L1075" s="67"/>
      <c r="M1075" s="67"/>
      <c r="N1075" s="67"/>
      <c r="O1075" s="67"/>
      <c r="P1075" s="67"/>
      <c r="Q1075" s="67"/>
      <c r="R1075" s="67"/>
      <c r="S1075" s="67"/>
      <c r="T1075" s="67"/>
      <c r="U1075" s="67"/>
      <c r="V1075" s="67"/>
      <c r="W1075" s="67"/>
      <c r="X1075" s="67"/>
      <c r="Y1075" s="67"/>
      <c r="Z1075" s="67"/>
    </row>
    <row r="1076" spans="1:26" ht="12.5">
      <c r="A1076" s="68" t="s">
        <v>2527</v>
      </c>
      <c r="B1076" s="68" t="s">
        <v>2546</v>
      </c>
      <c r="C1076" s="68" t="s">
        <v>2597</v>
      </c>
      <c r="D1076" s="68" t="s">
        <v>20</v>
      </c>
      <c r="E1076" s="69">
        <v>2020</v>
      </c>
      <c r="F1076" s="69">
        <v>28</v>
      </c>
      <c r="G1076" s="69">
        <v>440.7</v>
      </c>
      <c r="H1076" s="69">
        <v>30594</v>
      </c>
      <c r="I1076" s="67"/>
      <c r="J1076" s="67"/>
      <c r="K1076" s="67"/>
      <c r="L1076" s="67"/>
      <c r="M1076" s="67"/>
      <c r="N1076" s="67"/>
      <c r="O1076" s="67"/>
      <c r="P1076" s="67"/>
      <c r="Q1076" s="67"/>
      <c r="R1076" s="67"/>
      <c r="S1076" s="67"/>
      <c r="T1076" s="67"/>
      <c r="U1076" s="67"/>
      <c r="V1076" s="67"/>
      <c r="W1076" s="67"/>
      <c r="X1076" s="67"/>
      <c r="Y1076" s="67"/>
      <c r="Z1076" s="67"/>
    </row>
    <row r="1077" spans="1:26" ht="12.5">
      <c r="A1077" s="68" t="s">
        <v>2527</v>
      </c>
      <c r="B1077" s="68" t="s">
        <v>2546</v>
      </c>
      <c r="C1077" s="68" t="s">
        <v>2599</v>
      </c>
      <c r="D1077" s="68" t="s">
        <v>20</v>
      </c>
      <c r="E1077" s="69">
        <v>2020</v>
      </c>
      <c r="F1077" s="69">
        <v>11</v>
      </c>
      <c r="G1077" s="69">
        <v>166.7</v>
      </c>
      <c r="H1077" s="69">
        <v>226594</v>
      </c>
      <c r="I1077" s="67"/>
      <c r="J1077" s="67"/>
      <c r="K1077" s="67"/>
      <c r="L1077" s="67"/>
      <c r="M1077" s="67"/>
      <c r="N1077" s="67"/>
      <c r="O1077" s="67"/>
      <c r="P1077" s="67"/>
      <c r="Q1077" s="67"/>
      <c r="R1077" s="67"/>
      <c r="S1077" s="67"/>
      <c r="T1077" s="67"/>
      <c r="U1077" s="67"/>
      <c r="V1077" s="67"/>
      <c r="W1077" s="67"/>
      <c r="X1077" s="67"/>
      <c r="Y1077" s="67"/>
      <c r="Z1077" s="67"/>
    </row>
    <row r="1078" spans="1:26" ht="12.5">
      <c r="A1078" s="68" t="s">
        <v>2527</v>
      </c>
      <c r="B1078" s="68" t="s">
        <v>2601</v>
      </c>
      <c r="C1078" s="68" t="s">
        <v>2602</v>
      </c>
      <c r="D1078" s="68" t="s">
        <v>28</v>
      </c>
      <c r="E1078" s="69">
        <v>2020</v>
      </c>
      <c r="F1078" s="69">
        <v>4</v>
      </c>
      <c r="G1078" s="69">
        <v>80.400000000000006</v>
      </c>
      <c r="H1078" s="69">
        <v>4831</v>
      </c>
      <c r="I1078" s="67"/>
      <c r="J1078" s="67"/>
      <c r="K1078" s="67"/>
      <c r="L1078" s="67"/>
      <c r="M1078" s="67"/>
      <c r="N1078" s="67"/>
      <c r="O1078" s="67"/>
      <c r="P1078" s="67"/>
      <c r="Q1078" s="67"/>
      <c r="R1078" s="67"/>
      <c r="S1078" s="67"/>
      <c r="T1078" s="67"/>
      <c r="U1078" s="67"/>
      <c r="V1078" s="67"/>
      <c r="W1078" s="67"/>
      <c r="X1078" s="67"/>
      <c r="Y1078" s="67"/>
      <c r="Z1078" s="67"/>
    </row>
    <row r="1079" spans="1:26" ht="12.5">
      <c r="A1079" s="68" t="s">
        <v>2527</v>
      </c>
      <c r="B1079" s="68" t="s">
        <v>2601</v>
      </c>
      <c r="C1079" s="68" t="s">
        <v>7670</v>
      </c>
      <c r="D1079" s="68" t="s">
        <v>20</v>
      </c>
      <c r="E1079" s="69">
        <v>2020</v>
      </c>
      <c r="F1079" s="69">
        <v>26</v>
      </c>
      <c r="G1079" s="69">
        <v>411.4</v>
      </c>
      <c r="H1079" s="69">
        <v>29146</v>
      </c>
      <c r="I1079" s="67"/>
      <c r="J1079" s="67"/>
      <c r="K1079" s="67"/>
      <c r="L1079" s="67"/>
      <c r="M1079" s="67"/>
      <c r="N1079" s="67"/>
      <c r="O1079" s="67"/>
      <c r="P1079" s="67"/>
      <c r="Q1079" s="67"/>
      <c r="R1079" s="67"/>
      <c r="S1079" s="67"/>
      <c r="T1079" s="67"/>
      <c r="U1079" s="67"/>
      <c r="V1079" s="67"/>
      <c r="W1079" s="67"/>
      <c r="X1079" s="67"/>
      <c r="Y1079" s="67"/>
      <c r="Z1079" s="67"/>
    </row>
    <row r="1080" spans="1:26" ht="12.5">
      <c r="A1080" s="68" t="s">
        <v>2527</v>
      </c>
      <c r="B1080" s="68" t="s">
        <v>2601</v>
      </c>
      <c r="C1080" s="68" t="s">
        <v>2605</v>
      </c>
      <c r="D1080" s="68" t="s">
        <v>20</v>
      </c>
      <c r="E1080" s="69">
        <v>2020</v>
      </c>
      <c r="F1080" s="69">
        <v>37</v>
      </c>
      <c r="G1080" s="69">
        <v>524.20000000000005</v>
      </c>
      <c r="H1080" s="69">
        <v>37886</v>
      </c>
      <c r="I1080" s="67"/>
      <c r="J1080" s="67"/>
      <c r="K1080" s="67"/>
      <c r="L1080" s="67"/>
      <c r="M1080" s="67"/>
      <c r="N1080" s="67"/>
      <c r="O1080" s="67"/>
      <c r="P1080" s="67"/>
      <c r="Q1080" s="67"/>
      <c r="R1080" s="67"/>
      <c r="S1080" s="67"/>
      <c r="T1080" s="67"/>
      <c r="U1080" s="67"/>
      <c r="V1080" s="67"/>
      <c r="W1080" s="67"/>
      <c r="X1080" s="67"/>
      <c r="Y1080" s="67"/>
      <c r="Z1080" s="67"/>
    </row>
    <row r="1081" spans="1:26" ht="12.5">
      <c r="A1081" s="68" t="s">
        <v>2527</v>
      </c>
      <c r="B1081" s="68" t="s">
        <v>2601</v>
      </c>
      <c r="C1081" s="68" t="s">
        <v>2608</v>
      </c>
      <c r="D1081" s="68" t="s">
        <v>28</v>
      </c>
      <c r="E1081" s="69">
        <v>2020</v>
      </c>
      <c r="F1081" s="69">
        <v>18</v>
      </c>
      <c r="G1081" s="69">
        <v>269.8</v>
      </c>
      <c r="H1081" s="69">
        <v>10818</v>
      </c>
      <c r="I1081" s="67"/>
      <c r="J1081" s="67"/>
      <c r="K1081" s="67"/>
      <c r="L1081" s="67"/>
      <c r="M1081" s="67"/>
      <c r="N1081" s="67"/>
      <c r="O1081" s="67"/>
      <c r="P1081" s="67"/>
      <c r="Q1081" s="67"/>
      <c r="R1081" s="67"/>
      <c r="S1081" s="67"/>
      <c r="T1081" s="67"/>
      <c r="U1081" s="67"/>
      <c r="V1081" s="67"/>
      <c r="W1081" s="67"/>
      <c r="X1081" s="67"/>
      <c r="Y1081" s="67"/>
      <c r="Z1081" s="67"/>
    </row>
    <row r="1082" spans="1:26" ht="12.5">
      <c r="A1082" s="68" t="s">
        <v>2527</v>
      </c>
      <c r="B1082" s="68" t="s">
        <v>2601</v>
      </c>
      <c r="C1082" s="68" t="s">
        <v>2610</v>
      </c>
      <c r="D1082" s="68" t="s">
        <v>28</v>
      </c>
      <c r="E1082" s="69">
        <v>2020</v>
      </c>
      <c r="F1082" s="69">
        <v>7</v>
      </c>
      <c r="G1082" s="69">
        <v>103.9</v>
      </c>
      <c r="H1082" s="69">
        <v>3982</v>
      </c>
      <c r="I1082" s="67"/>
      <c r="J1082" s="67"/>
      <c r="K1082" s="67"/>
      <c r="L1082" s="67"/>
      <c r="M1082" s="67"/>
      <c r="N1082" s="67"/>
      <c r="O1082" s="67"/>
      <c r="P1082" s="67"/>
      <c r="Q1082" s="67"/>
      <c r="R1082" s="67"/>
      <c r="S1082" s="67"/>
      <c r="T1082" s="67"/>
      <c r="U1082" s="67"/>
      <c r="V1082" s="67"/>
      <c r="W1082" s="67"/>
      <c r="X1082" s="67"/>
      <c r="Y1082" s="67"/>
      <c r="Z1082" s="67"/>
    </row>
    <row r="1083" spans="1:26" ht="12.5">
      <c r="A1083" s="68" t="s">
        <v>2527</v>
      </c>
      <c r="B1083" s="68" t="s">
        <v>2601</v>
      </c>
      <c r="C1083" s="68" t="s">
        <v>2612</v>
      </c>
      <c r="D1083" s="68" t="s">
        <v>28</v>
      </c>
      <c r="E1083" s="69">
        <v>2020</v>
      </c>
      <c r="F1083" s="69">
        <v>9</v>
      </c>
      <c r="G1083" s="69">
        <v>170.1</v>
      </c>
      <c r="H1083" s="69">
        <v>8070</v>
      </c>
      <c r="I1083" s="67"/>
      <c r="J1083" s="67"/>
      <c r="K1083" s="67"/>
      <c r="L1083" s="67"/>
      <c r="M1083" s="67"/>
      <c r="N1083" s="67"/>
      <c r="O1083" s="67"/>
      <c r="P1083" s="67"/>
      <c r="Q1083" s="67"/>
      <c r="R1083" s="67"/>
      <c r="S1083" s="67"/>
      <c r="T1083" s="67"/>
      <c r="U1083" s="67"/>
      <c r="V1083" s="67"/>
      <c r="W1083" s="67"/>
      <c r="X1083" s="67"/>
      <c r="Y1083" s="67"/>
      <c r="Z1083" s="67"/>
    </row>
    <row r="1084" spans="1:26" ht="12.5">
      <c r="A1084" s="68" t="s">
        <v>2527</v>
      </c>
      <c r="B1084" s="68" t="s">
        <v>2601</v>
      </c>
      <c r="C1084" s="68" t="s">
        <v>2614</v>
      </c>
      <c r="D1084" s="68" t="s">
        <v>32</v>
      </c>
      <c r="E1084" s="69">
        <v>2020</v>
      </c>
      <c r="F1084" s="69">
        <v>25</v>
      </c>
      <c r="G1084" s="69">
        <v>330.9</v>
      </c>
      <c r="H1084" s="69">
        <v>9490</v>
      </c>
      <c r="I1084" s="67"/>
      <c r="J1084" s="67"/>
      <c r="K1084" s="67"/>
      <c r="L1084" s="67"/>
      <c r="M1084" s="67"/>
      <c r="N1084" s="67"/>
      <c r="O1084" s="67"/>
      <c r="P1084" s="67"/>
      <c r="Q1084" s="67"/>
      <c r="R1084" s="67"/>
      <c r="S1084" s="67"/>
      <c r="T1084" s="67"/>
      <c r="U1084" s="67"/>
      <c r="V1084" s="67"/>
      <c r="W1084" s="67"/>
      <c r="X1084" s="67"/>
      <c r="Y1084" s="67"/>
      <c r="Z1084" s="67"/>
    </row>
    <row r="1085" spans="1:26" ht="12.5">
      <c r="A1085" s="68" t="s">
        <v>2527</v>
      </c>
      <c r="B1085" s="68" t="s">
        <v>2601</v>
      </c>
      <c r="C1085" s="68" t="s">
        <v>2616</v>
      </c>
      <c r="D1085" s="68" t="s">
        <v>32</v>
      </c>
      <c r="E1085" s="69">
        <v>2020</v>
      </c>
      <c r="F1085" s="69">
        <v>17</v>
      </c>
      <c r="G1085" s="69">
        <v>245.8</v>
      </c>
      <c r="H1085" s="69">
        <v>15576</v>
      </c>
      <c r="I1085" s="67"/>
      <c r="J1085" s="67"/>
      <c r="K1085" s="67"/>
      <c r="L1085" s="67"/>
      <c r="M1085" s="67"/>
      <c r="N1085" s="67"/>
      <c r="O1085" s="67"/>
      <c r="P1085" s="67"/>
      <c r="Q1085" s="67"/>
      <c r="R1085" s="67"/>
      <c r="S1085" s="67"/>
      <c r="T1085" s="67"/>
      <c r="U1085" s="67"/>
      <c r="V1085" s="67"/>
      <c r="W1085" s="67"/>
      <c r="X1085" s="67"/>
      <c r="Y1085" s="67"/>
      <c r="Z1085" s="67"/>
    </row>
    <row r="1086" spans="1:26" ht="12.5">
      <c r="A1086" s="68" t="s">
        <v>2527</v>
      </c>
      <c r="B1086" s="68" t="s">
        <v>2601</v>
      </c>
      <c r="C1086" s="68" t="s">
        <v>2182</v>
      </c>
      <c r="D1086" s="68" t="s">
        <v>32</v>
      </c>
      <c r="E1086" s="69">
        <v>2020</v>
      </c>
      <c r="F1086" s="69">
        <v>6</v>
      </c>
      <c r="G1086" s="69">
        <v>90.4</v>
      </c>
      <c r="H1086" s="69">
        <v>6852</v>
      </c>
      <c r="I1086" s="67"/>
      <c r="J1086" s="67"/>
      <c r="K1086" s="67"/>
      <c r="L1086" s="67"/>
      <c r="M1086" s="67"/>
      <c r="N1086" s="67"/>
      <c r="O1086" s="67"/>
      <c r="P1086" s="67"/>
      <c r="Q1086" s="67"/>
      <c r="R1086" s="67"/>
      <c r="S1086" s="67"/>
      <c r="T1086" s="67"/>
      <c r="U1086" s="67"/>
      <c r="V1086" s="67"/>
      <c r="W1086" s="67"/>
      <c r="X1086" s="67"/>
      <c r="Y1086" s="67"/>
      <c r="Z1086" s="67"/>
    </row>
    <row r="1087" spans="1:26" ht="12.5">
      <c r="A1087" s="68" t="s">
        <v>2527</v>
      </c>
      <c r="B1087" s="68" t="s">
        <v>2601</v>
      </c>
      <c r="C1087" s="68" t="s">
        <v>2619</v>
      </c>
      <c r="D1087" s="68" t="s">
        <v>20</v>
      </c>
      <c r="E1087" s="69">
        <v>2020</v>
      </c>
      <c r="F1087" s="69">
        <v>30</v>
      </c>
      <c r="G1087" s="69">
        <v>351.9</v>
      </c>
      <c r="H1087" s="69">
        <v>26994</v>
      </c>
      <c r="I1087" s="67"/>
      <c r="J1087" s="67"/>
      <c r="K1087" s="67"/>
      <c r="L1087" s="67"/>
      <c r="M1087" s="67"/>
      <c r="N1087" s="67"/>
      <c r="O1087" s="67"/>
      <c r="P1087" s="67"/>
      <c r="Q1087" s="67"/>
      <c r="R1087" s="67"/>
      <c r="S1087" s="67"/>
      <c r="T1087" s="67"/>
      <c r="U1087" s="67"/>
      <c r="V1087" s="67"/>
      <c r="W1087" s="67"/>
      <c r="X1087" s="67"/>
      <c r="Y1087" s="67"/>
      <c r="Z1087" s="67"/>
    </row>
    <row r="1088" spans="1:26" ht="12.5">
      <c r="A1088" s="68" t="s">
        <v>2527</v>
      </c>
      <c r="B1088" s="68" t="s">
        <v>2601</v>
      </c>
      <c r="C1088" s="68" t="s">
        <v>2622</v>
      </c>
      <c r="D1088" s="68" t="s">
        <v>32</v>
      </c>
      <c r="E1088" s="69">
        <v>2020</v>
      </c>
      <c r="F1088" s="69">
        <v>15</v>
      </c>
      <c r="G1088" s="69">
        <v>160.4</v>
      </c>
      <c r="H1088" s="69">
        <v>15172</v>
      </c>
      <c r="I1088" s="67"/>
      <c r="J1088" s="67"/>
      <c r="K1088" s="67"/>
      <c r="L1088" s="67"/>
      <c r="M1088" s="67"/>
      <c r="N1088" s="67"/>
      <c r="O1088" s="67"/>
      <c r="P1088" s="67"/>
      <c r="Q1088" s="67"/>
      <c r="R1088" s="67"/>
      <c r="S1088" s="67"/>
      <c r="T1088" s="67"/>
      <c r="U1088" s="67"/>
      <c r="V1088" s="67"/>
      <c r="W1088" s="67"/>
      <c r="X1088" s="67"/>
      <c r="Y1088" s="67"/>
      <c r="Z1088" s="67"/>
    </row>
    <row r="1089" spans="1:26" ht="12.5">
      <c r="A1089" s="68" t="s">
        <v>2527</v>
      </c>
      <c r="B1089" s="68" t="s">
        <v>2601</v>
      </c>
      <c r="C1089" s="68" t="s">
        <v>2624</v>
      </c>
      <c r="D1089" s="68" t="s">
        <v>28</v>
      </c>
      <c r="E1089" s="69">
        <v>2020</v>
      </c>
      <c r="F1089" s="69">
        <v>8</v>
      </c>
      <c r="G1089" s="69">
        <v>155.80000000000001</v>
      </c>
      <c r="H1089" s="69">
        <v>6593</v>
      </c>
      <c r="I1089" s="67"/>
      <c r="J1089" s="67"/>
      <c r="K1089" s="67"/>
      <c r="L1089" s="67"/>
      <c r="M1089" s="67"/>
      <c r="N1089" s="67"/>
      <c r="O1089" s="67"/>
      <c r="P1089" s="67"/>
      <c r="Q1089" s="67"/>
      <c r="R1089" s="67"/>
      <c r="S1089" s="67"/>
      <c r="T1089" s="67"/>
      <c r="U1089" s="67"/>
      <c r="V1089" s="67"/>
      <c r="W1089" s="67"/>
      <c r="X1089" s="67"/>
      <c r="Y1089" s="67"/>
      <c r="Z1089" s="67"/>
    </row>
    <row r="1090" spans="1:26" ht="12.5">
      <c r="A1090" s="68" t="s">
        <v>2527</v>
      </c>
      <c r="B1090" s="68" t="s">
        <v>2601</v>
      </c>
      <c r="C1090" s="68" t="s">
        <v>2626</v>
      </c>
      <c r="D1090" s="68" t="s">
        <v>20</v>
      </c>
      <c r="E1090" s="69">
        <v>2020</v>
      </c>
      <c r="F1090" s="69">
        <v>12</v>
      </c>
      <c r="G1090" s="69">
        <v>171</v>
      </c>
      <c r="H1090" s="69">
        <v>13150</v>
      </c>
      <c r="I1090" s="67"/>
      <c r="J1090" s="67"/>
      <c r="K1090" s="67"/>
      <c r="L1090" s="67"/>
      <c r="M1090" s="67"/>
      <c r="N1090" s="67"/>
      <c r="O1090" s="67"/>
      <c r="P1090" s="67"/>
      <c r="Q1090" s="67"/>
      <c r="R1090" s="67"/>
      <c r="S1090" s="67"/>
      <c r="T1090" s="67"/>
      <c r="U1090" s="67"/>
      <c r="V1090" s="67"/>
      <c r="W1090" s="67"/>
      <c r="X1090" s="67"/>
      <c r="Y1090" s="67"/>
      <c r="Z1090" s="67"/>
    </row>
    <row r="1091" spans="1:26" ht="12.5">
      <c r="A1091" s="68" t="s">
        <v>2527</v>
      </c>
      <c r="B1091" s="68" t="s">
        <v>2601</v>
      </c>
      <c r="C1091" s="68" t="s">
        <v>2628</v>
      </c>
      <c r="D1091" s="68" t="s">
        <v>32</v>
      </c>
      <c r="E1091" s="69">
        <v>2020</v>
      </c>
      <c r="F1091" s="69">
        <v>8</v>
      </c>
      <c r="G1091" s="69">
        <v>87.1</v>
      </c>
      <c r="H1091" s="69">
        <v>6006</v>
      </c>
      <c r="I1091" s="67"/>
      <c r="J1091" s="67"/>
      <c r="K1091" s="67"/>
      <c r="L1091" s="67"/>
      <c r="M1091" s="67"/>
      <c r="N1091" s="67"/>
      <c r="O1091" s="67"/>
      <c r="P1091" s="67"/>
      <c r="Q1091" s="67"/>
      <c r="R1091" s="67"/>
      <c r="S1091" s="67"/>
      <c r="T1091" s="67"/>
      <c r="U1091" s="67"/>
      <c r="V1091" s="67"/>
      <c r="W1091" s="67"/>
      <c r="X1091" s="67"/>
      <c r="Y1091" s="67"/>
      <c r="Z1091" s="67"/>
    </row>
    <row r="1092" spans="1:26" ht="12.5">
      <c r="A1092" s="68" t="s">
        <v>2527</v>
      </c>
      <c r="B1092" s="68" t="s">
        <v>2601</v>
      </c>
      <c r="C1092" s="68" t="s">
        <v>2630</v>
      </c>
      <c r="D1092" s="68" t="s">
        <v>32</v>
      </c>
      <c r="E1092" s="69">
        <v>2020</v>
      </c>
      <c r="F1092" s="69">
        <v>22</v>
      </c>
      <c r="G1092" s="69">
        <v>244.4</v>
      </c>
      <c r="H1092" s="69">
        <v>16551</v>
      </c>
      <c r="I1092" s="67"/>
      <c r="J1092" s="67"/>
      <c r="K1092" s="67"/>
      <c r="L1092" s="67"/>
      <c r="M1092" s="67"/>
      <c r="N1092" s="67"/>
      <c r="O1092" s="67"/>
      <c r="P1092" s="67"/>
      <c r="Q1092" s="67"/>
      <c r="R1092" s="67"/>
      <c r="S1092" s="67"/>
      <c r="T1092" s="67"/>
      <c r="U1092" s="67"/>
      <c r="V1092" s="67"/>
      <c r="W1092" s="67"/>
      <c r="X1092" s="67"/>
      <c r="Y1092" s="67"/>
      <c r="Z1092" s="67"/>
    </row>
    <row r="1093" spans="1:26" ht="12.5">
      <c r="A1093" s="68" t="s">
        <v>2527</v>
      </c>
      <c r="B1093" s="68" t="s">
        <v>2601</v>
      </c>
      <c r="C1093" s="68" t="s">
        <v>2632</v>
      </c>
      <c r="D1093" s="68" t="s">
        <v>20</v>
      </c>
      <c r="E1093" s="69">
        <v>2020</v>
      </c>
      <c r="F1093" s="69">
        <v>40</v>
      </c>
      <c r="G1093" s="69">
        <v>471.4</v>
      </c>
      <c r="H1093" s="69">
        <v>19357</v>
      </c>
      <c r="I1093" s="67"/>
      <c r="J1093" s="67"/>
      <c r="K1093" s="67"/>
      <c r="L1093" s="67"/>
      <c r="M1093" s="67"/>
      <c r="N1093" s="67"/>
      <c r="O1093" s="67"/>
      <c r="P1093" s="67"/>
      <c r="Q1093" s="67"/>
      <c r="R1093" s="67"/>
      <c r="S1093" s="67"/>
      <c r="T1093" s="67"/>
      <c r="U1093" s="67"/>
      <c r="V1093" s="67"/>
      <c r="W1093" s="67"/>
      <c r="X1093" s="67"/>
      <c r="Y1093" s="67"/>
      <c r="Z1093" s="67"/>
    </row>
    <row r="1094" spans="1:26" ht="12.5">
      <c r="A1094" s="68" t="s">
        <v>2527</v>
      </c>
      <c r="B1094" s="68" t="s">
        <v>2601</v>
      </c>
      <c r="C1094" s="68" t="s">
        <v>2634</v>
      </c>
      <c r="D1094" s="68" t="s">
        <v>28</v>
      </c>
      <c r="E1094" s="69">
        <v>2020</v>
      </c>
      <c r="F1094" s="69">
        <v>12</v>
      </c>
      <c r="G1094" s="69">
        <v>180.9</v>
      </c>
      <c r="H1094" s="69">
        <v>8613</v>
      </c>
      <c r="I1094" s="67"/>
      <c r="J1094" s="67"/>
      <c r="K1094" s="67"/>
      <c r="L1094" s="67"/>
      <c r="M1094" s="67"/>
      <c r="N1094" s="67"/>
      <c r="O1094" s="67"/>
      <c r="P1094" s="67"/>
      <c r="Q1094" s="67"/>
      <c r="R1094" s="67"/>
      <c r="S1094" s="67"/>
      <c r="T1094" s="67"/>
      <c r="U1094" s="67"/>
      <c r="V1094" s="67"/>
      <c r="W1094" s="67"/>
      <c r="X1094" s="67"/>
      <c r="Y1094" s="67"/>
      <c r="Z1094" s="67"/>
    </row>
    <row r="1095" spans="1:26" ht="12.5">
      <c r="A1095" s="68" t="s">
        <v>2527</v>
      </c>
      <c r="B1095" s="68" t="s">
        <v>2601</v>
      </c>
      <c r="C1095" s="68" t="s">
        <v>2637</v>
      </c>
      <c r="D1095" s="68" t="s">
        <v>32</v>
      </c>
      <c r="E1095" s="69">
        <v>2020</v>
      </c>
      <c r="F1095" s="69">
        <v>15</v>
      </c>
      <c r="G1095" s="69">
        <v>184.9</v>
      </c>
      <c r="H1095" s="69">
        <v>10238</v>
      </c>
      <c r="I1095" s="67"/>
      <c r="J1095" s="67"/>
      <c r="K1095" s="67"/>
      <c r="L1095" s="67"/>
      <c r="M1095" s="67"/>
      <c r="N1095" s="67"/>
      <c r="O1095" s="67"/>
      <c r="P1095" s="67"/>
      <c r="Q1095" s="67"/>
      <c r="R1095" s="67"/>
      <c r="S1095" s="67"/>
      <c r="T1095" s="67"/>
      <c r="U1095" s="67"/>
      <c r="V1095" s="67"/>
      <c r="W1095" s="67"/>
      <c r="X1095" s="67"/>
      <c r="Y1095" s="67"/>
      <c r="Z1095" s="67"/>
    </row>
    <row r="1096" spans="1:26" ht="12.5">
      <c r="A1096" s="68" t="s">
        <v>2527</v>
      </c>
      <c r="B1096" s="68" t="s">
        <v>2601</v>
      </c>
      <c r="C1096" s="68" t="s">
        <v>2639</v>
      </c>
      <c r="D1096" s="68" t="s">
        <v>32</v>
      </c>
      <c r="E1096" s="69">
        <v>2020</v>
      </c>
      <c r="F1096" s="69">
        <v>26</v>
      </c>
      <c r="G1096" s="69">
        <v>338.8</v>
      </c>
      <c r="H1096" s="69">
        <v>18343</v>
      </c>
      <c r="I1096" s="67"/>
      <c r="J1096" s="67"/>
      <c r="K1096" s="67"/>
      <c r="L1096" s="67"/>
      <c r="M1096" s="67"/>
      <c r="N1096" s="67"/>
      <c r="O1096" s="67"/>
      <c r="P1096" s="67"/>
      <c r="Q1096" s="67"/>
      <c r="R1096" s="67"/>
      <c r="S1096" s="67"/>
      <c r="T1096" s="67"/>
      <c r="U1096" s="67"/>
      <c r="V1096" s="67"/>
      <c r="W1096" s="67"/>
      <c r="X1096" s="67"/>
      <c r="Y1096" s="67"/>
      <c r="Z1096" s="67"/>
    </row>
    <row r="1097" spans="1:26" ht="12.5">
      <c r="A1097" s="68" t="s">
        <v>2527</v>
      </c>
      <c r="B1097" s="68" t="s">
        <v>2601</v>
      </c>
      <c r="C1097" s="68" t="s">
        <v>2641</v>
      </c>
      <c r="D1097" s="68" t="s">
        <v>28</v>
      </c>
      <c r="E1097" s="69">
        <v>2020</v>
      </c>
      <c r="F1097" s="69">
        <v>7</v>
      </c>
      <c r="G1097" s="69">
        <v>118.7</v>
      </c>
      <c r="H1097" s="69">
        <v>8750</v>
      </c>
      <c r="I1097" s="67"/>
      <c r="J1097" s="67"/>
      <c r="K1097" s="67"/>
      <c r="L1097" s="67"/>
      <c r="M1097" s="67"/>
      <c r="N1097" s="67"/>
      <c r="O1097" s="67"/>
      <c r="P1097" s="67"/>
      <c r="Q1097" s="67"/>
      <c r="R1097" s="67"/>
      <c r="S1097" s="67"/>
      <c r="T1097" s="67"/>
      <c r="U1097" s="67"/>
      <c r="V1097" s="67"/>
      <c r="W1097" s="67"/>
      <c r="X1097" s="67"/>
      <c r="Y1097" s="67"/>
      <c r="Z1097" s="67"/>
    </row>
    <row r="1098" spans="1:26" ht="12.5">
      <c r="A1098" s="68" t="s">
        <v>2527</v>
      </c>
      <c r="B1098" s="68" t="s">
        <v>2601</v>
      </c>
      <c r="C1098" s="68" t="s">
        <v>2643</v>
      </c>
      <c r="D1098" s="68" t="s">
        <v>20</v>
      </c>
      <c r="E1098" s="69">
        <v>2020</v>
      </c>
      <c r="F1098" s="69">
        <v>10</v>
      </c>
      <c r="G1098" s="69">
        <v>183.6</v>
      </c>
      <c r="H1098" s="69">
        <v>13695</v>
      </c>
      <c r="I1098" s="67"/>
      <c r="J1098" s="67"/>
      <c r="K1098" s="67"/>
      <c r="L1098" s="67"/>
      <c r="M1098" s="67"/>
      <c r="N1098" s="67"/>
      <c r="O1098" s="67"/>
      <c r="P1098" s="67"/>
      <c r="Q1098" s="67"/>
      <c r="R1098" s="67"/>
      <c r="S1098" s="67"/>
      <c r="T1098" s="67"/>
      <c r="U1098" s="67"/>
      <c r="V1098" s="67"/>
      <c r="W1098" s="67"/>
      <c r="X1098" s="67"/>
      <c r="Y1098" s="67"/>
      <c r="Z1098" s="67"/>
    </row>
    <row r="1099" spans="1:26" ht="12.5">
      <c r="A1099" s="68" t="s">
        <v>2527</v>
      </c>
      <c r="B1099" s="68" t="s">
        <v>2601</v>
      </c>
      <c r="C1099" s="68" t="s">
        <v>2645</v>
      </c>
      <c r="D1099" s="68" t="s">
        <v>20</v>
      </c>
      <c r="E1099" s="69">
        <v>2020</v>
      </c>
      <c r="F1099" s="69">
        <v>8</v>
      </c>
      <c r="G1099" s="69">
        <v>151.69999999999999</v>
      </c>
      <c r="H1099" s="69">
        <v>36632</v>
      </c>
      <c r="I1099" s="67"/>
      <c r="J1099" s="67"/>
      <c r="K1099" s="67"/>
      <c r="L1099" s="67"/>
      <c r="M1099" s="67"/>
      <c r="N1099" s="67"/>
      <c r="O1099" s="67"/>
      <c r="P1099" s="67"/>
      <c r="Q1099" s="67"/>
      <c r="R1099" s="67"/>
      <c r="S1099" s="67"/>
      <c r="T1099" s="67"/>
      <c r="U1099" s="67"/>
      <c r="V1099" s="67"/>
      <c r="W1099" s="67"/>
      <c r="X1099" s="67"/>
      <c r="Y1099" s="67"/>
      <c r="Z1099" s="67"/>
    </row>
    <row r="1100" spans="1:26" ht="12.5">
      <c r="A1100" s="68" t="s">
        <v>2648</v>
      </c>
      <c r="B1100" s="68" t="s">
        <v>2649</v>
      </c>
      <c r="C1100" s="68" t="s">
        <v>2650</v>
      </c>
      <c r="D1100" s="68" t="s">
        <v>20</v>
      </c>
      <c r="E1100" s="69">
        <v>2020</v>
      </c>
      <c r="F1100" s="69">
        <v>16</v>
      </c>
      <c r="G1100" s="69">
        <v>414.7</v>
      </c>
      <c r="H1100" s="69">
        <v>49052</v>
      </c>
      <c r="I1100" s="67"/>
      <c r="J1100" s="67"/>
      <c r="K1100" s="67"/>
      <c r="L1100" s="67"/>
      <c r="M1100" s="67"/>
      <c r="N1100" s="67"/>
      <c r="O1100" s="67"/>
      <c r="P1100" s="67"/>
      <c r="Q1100" s="67"/>
      <c r="R1100" s="67"/>
      <c r="S1100" s="67"/>
      <c r="T1100" s="67"/>
      <c r="U1100" s="67"/>
      <c r="V1100" s="67"/>
      <c r="W1100" s="67"/>
      <c r="X1100" s="67"/>
      <c r="Y1100" s="67"/>
      <c r="Z1100" s="67"/>
    </row>
    <row r="1101" spans="1:26" ht="12.5">
      <c r="A1101" s="68" t="s">
        <v>2648</v>
      </c>
      <c r="B1101" s="68" t="s">
        <v>2649</v>
      </c>
      <c r="C1101" s="68" t="s">
        <v>2653</v>
      </c>
      <c r="D1101" s="68" t="s">
        <v>20</v>
      </c>
      <c r="E1101" s="69">
        <v>2020</v>
      </c>
      <c r="F1101" s="69">
        <v>37</v>
      </c>
      <c r="G1101" s="69">
        <v>1295.8</v>
      </c>
      <c r="H1101" s="69">
        <v>45575</v>
      </c>
      <c r="I1101" s="67"/>
      <c r="J1101" s="67"/>
      <c r="K1101" s="67"/>
      <c r="L1101" s="67"/>
      <c r="M1101" s="67"/>
      <c r="N1101" s="67"/>
      <c r="O1101" s="67"/>
      <c r="P1101" s="67"/>
      <c r="Q1101" s="67"/>
      <c r="R1101" s="67"/>
      <c r="S1101" s="67"/>
      <c r="T1101" s="67"/>
      <c r="U1101" s="67"/>
      <c r="V1101" s="67"/>
      <c r="W1101" s="67"/>
      <c r="X1101" s="67"/>
      <c r="Y1101" s="67"/>
      <c r="Z1101" s="67"/>
    </row>
    <row r="1102" spans="1:26" ht="12.5">
      <c r="A1102" s="68" t="s">
        <v>2648</v>
      </c>
      <c r="B1102" s="68" t="s">
        <v>2649</v>
      </c>
      <c r="C1102" s="68" t="s">
        <v>2656</v>
      </c>
      <c r="D1102" s="68" t="s">
        <v>20</v>
      </c>
      <c r="E1102" s="69">
        <v>2020</v>
      </c>
      <c r="F1102" s="69">
        <v>60</v>
      </c>
      <c r="G1102" s="69">
        <v>1361.2</v>
      </c>
      <c r="H1102" s="69">
        <v>19634</v>
      </c>
      <c r="I1102" s="67"/>
      <c r="J1102" s="67"/>
      <c r="K1102" s="67"/>
      <c r="L1102" s="67"/>
      <c r="M1102" s="67"/>
      <c r="N1102" s="67"/>
      <c r="O1102" s="67"/>
      <c r="P1102" s="67"/>
      <c r="Q1102" s="67"/>
      <c r="R1102" s="67"/>
      <c r="S1102" s="67"/>
      <c r="T1102" s="67"/>
      <c r="U1102" s="67"/>
      <c r="V1102" s="67"/>
      <c r="W1102" s="67"/>
      <c r="X1102" s="67"/>
      <c r="Y1102" s="67"/>
      <c r="Z1102" s="67"/>
    </row>
    <row r="1103" spans="1:26" ht="12.5">
      <c r="A1103" s="68" t="s">
        <v>2648</v>
      </c>
      <c r="B1103" s="68" t="s">
        <v>2649</v>
      </c>
      <c r="C1103" s="68" t="s">
        <v>2659</v>
      </c>
      <c r="D1103" s="68" t="s">
        <v>32</v>
      </c>
      <c r="E1103" s="69">
        <v>2020</v>
      </c>
      <c r="F1103" s="69">
        <v>38</v>
      </c>
      <c r="G1103" s="69">
        <v>877.7</v>
      </c>
      <c r="H1103" s="69">
        <v>15702</v>
      </c>
      <c r="I1103" s="67"/>
      <c r="J1103" s="67"/>
      <c r="K1103" s="67"/>
      <c r="L1103" s="67"/>
      <c r="M1103" s="67"/>
      <c r="N1103" s="67"/>
      <c r="O1103" s="67"/>
      <c r="P1103" s="67"/>
      <c r="Q1103" s="67"/>
      <c r="R1103" s="67"/>
      <c r="S1103" s="67"/>
      <c r="T1103" s="67"/>
      <c r="U1103" s="67"/>
      <c r="V1103" s="67"/>
      <c r="W1103" s="67"/>
      <c r="X1103" s="67"/>
      <c r="Y1103" s="67"/>
      <c r="Z1103" s="67"/>
    </row>
    <row r="1104" spans="1:26" ht="12.5">
      <c r="A1104" s="68" t="s">
        <v>2648</v>
      </c>
      <c r="B1104" s="68" t="s">
        <v>2649</v>
      </c>
      <c r="C1104" s="68" t="s">
        <v>2662</v>
      </c>
      <c r="D1104" s="68" t="s">
        <v>32</v>
      </c>
      <c r="E1104" s="69">
        <v>2020</v>
      </c>
      <c r="F1104" s="69">
        <v>14</v>
      </c>
      <c r="G1104" s="69">
        <v>344.7</v>
      </c>
      <c r="H1104" s="69">
        <v>22677</v>
      </c>
      <c r="I1104" s="67"/>
      <c r="J1104" s="67"/>
      <c r="K1104" s="67"/>
      <c r="L1104" s="67"/>
      <c r="M1104" s="67"/>
      <c r="N1104" s="67"/>
      <c r="O1104" s="67"/>
      <c r="P1104" s="67"/>
      <c r="Q1104" s="67"/>
      <c r="R1104" s="67"/>
      <c r="S1104" s="67"/>
      <c r="T1104" s="67"/>
      <c r="U1104" s="67"/>
      <c r="V1104" s="67"/>
      <c r="W1104" s="67"/>
      <c r="X1104" s="67"/>
      <c r="Y1104" s="67"/>
      <c r="Z1104" s="67"/>
    </row>
    <row r="1105" spans="1:26" ht="12.5">
      <c r="A1105" s="68" t="s">
        <v>2648</v>
      </c>
      <c r="B1105" s="68" t="s">
        <v>2649</v>
      </c>
      <c r="C1105" s="68" t="s">
        <v>2664</v>
      </c>
      <c r="D1105" s="68" t="s">
        <v>28</v>
      </c>
      <c r="E1105" s="69">
        <v>2020</v>
      </c>
      <c r="F1105" s="69">
        <v>18</v>
      </c>
      <c r="G1105" s="69">
        <v>333</v>
      </c>
      <c r="H1105" s="69">
        <v>4431</v>
      </c>
      <c r="I1105" s="67"/>
      <c r="J1105" s="67"/>
      <c r="K1105" s="67"/>
      <c r="L1105" s="67"/>
      <c r="M1105" s="67"/>
      <c r="N1105" s="67"/>
      <c r="O1105" s="67"/>
      <c r="P1105" s="67"/>
      <c r="Q1105" s="67"/>
      <c r="R1105" s="67"/>
      <c r="S1105" s="67"/>
      <c r="T1105" s="67"/>
      <c r="U1105" s="67"/>
      <c r="V1105" s="67"/>
      <c r="W1105" s="67"/>
      <c r="X1105" s="67"/>
      <c r="Y1105" s="67"/>
      <c r="Z1105" s="67"/>
    </row>
    <row r="1106" spans="1:26" ht="12.5">
      <c r="A1106" s="68" t="s">
        <v>2648</v>
      </c>
      <c r="B1106" s="68" t="s">
        <v>2649</v>
      </c>
      <c r="C1106" s="68" t="s">
        <v>2667</v>
      </c>
      <c r="D1106" s="68" t="s">
        <v>28</v>
      </c>
      <c r="E1106" s="69">
        <v>2020</v>
      </c>
      <c r="F1106" s="69">
        <v>27</v>
      </c>
      <c r="G1106" s="69">
        <v>856.2</v>
      </c>
      <c r="H1106" s="69">
        <v>8510</v>
      </c>
      <c r="I1106" s="67"/>
      <c r="J1106" s="67"/>
      <c r="K1106" s="67"/>
      <c r="L1106" s="67"/>
      <c r="M1106" s="67"/>
      <c r="N1106" s="67"/>
      <c r="O1106" s="67"/>
      <c r="P1106" s="67"/>
      <c r="Q1106" s="67"/>
      <c r="R1106" s="67"/>
      <c r="S1106" s="67"/>
      <c r="T1106" s="67"/>
      <c r="U1106" s="67"/>
      <c r="V1106" s="67"/>
      <c r="W1106" s="67"/>
      <c r="X1106" s="67"/>
      <c r="Y1106" s="67"/>
      <c r="Z1106" s="67"/>
    </row>
    <row r="1107" spans="1:26" ht="12.5">
      <c r="A1107" s="68" t="s">
        <v>2648</v>
      </c>
      <c r="B1107" s="68" t="s">
        <v>2649</v>
      </c>
      <c r="C1107" s="68" t="s">
        <v>2669</v>
      </c>
      <c r="D1107" s="68" t="s">
        <v>32</v>
      </c>
      <c r="E1107" s="69">
        <v>2020</v>
      </c>
      <c r="F1107" s="69">
        <v>18</v>
      </c>
      <c r="G1107" s="69">
        <v>422.9</v>
      </c>
      <c r="H1107" s="69">
        <v>10405</v>
      </c>
      <c r="I1107" s="67"/>
      <c r="J1107" s="67"/>
      <c r="K1107" s="67"/>
      <c r="L1107" s="67"/>
      <c r="M1107" s="67"/>
      <c r="N1107" s="67"/>
      <c r="O1107" s="67"/>
      <c r="P1107" s="67"/>
      <c r="Q1107" s="67"/>
      <c r="R1107" s="67"/>
      <c r="S1107" s="67"/>
      <c r="T1107" s="67"/>
      <c r="U1107" s="67"/>
      <c r="V1107" s="67"/>
      <c r="W1107" s="67"/>
      <c r="X1107" s="67"/>
      <c r="Y1107" s="67"/>
      <c r="Z1107" s="67"/>
    </row>
    <row r="1108" spans="1:26" ht="12.5">
      <c r="A1108" s="68" t="s">
        <v>2648</v>
      </c>
      <c r="B1108" s="68" t="s">
        <v>2672</v>
      </c>
      <c r="C1108" s="68" t="s">
        <v>2673</v>
      </c>
      <c r="D1108" s="68" t="s">
        <v>20</v>
      </c>
      <c r="E1108" s="69">
        <v>2020</v>
      </c>
      <c r="F1108" s="69">
        <v>78</v>
      </c>
      <c r="G1108" s="69">
        <v>1157.8</v>
      </c>
      <c r="H1108" s="69">
        <v>37139</v>
      </c>
      <c r="I1108" s="67"/>
      <c r="J1108" s="67"/>
      <c r="K1108" s="67"/>
      <c r="L1108" s="67"/>
      <c r="M1108" s="67"/>
      <c r="N1108" s="67"/>
      <c r="O1108" s="67"/>
      <c r="P1108" s="67"/>
      <c r="Q1108" s="67"/>
      <c r="R1108" s="67"/>
      <c r="S1108" s="67"/>
      <c r="T1108" s="67"/>
      <c r="U1108" s="67"/>
      <c r="V1108" s="67"/>
      <c r="W1108" s="67"/>
      <c r="X1108" s="67"/>
      <c r="Y1108" s="67"/>
      <c r="Z1108" s="67"/>
    </row>
    <row r="1109" spans="1:26" ht="12.5">
      <c r="A1109" s="68" t="s">
        <v>2648</v>
      </c>
      <c r="B1109" s="68" t="s">
        <v>2672</v>
      </c>
      <c r="C1109" s="68" t="s">
        <v>2676</v>
      </c>
      <c r="D1109" s="68" t="s">
        <v>20</v>
      </c>
      <c r="E1109" s="69">
        <v>2020</v>
      </c>
      <c r="F1109" s="69">
        <v>102</v>
      </c>
      <c r="G1109" s="69">
        <v>1018.2</v>
      </c>
      <c r="H1109" s="69">
        <v>30435</v>
      </c>
      <c r="I1109" s="67"/>
      <c r="J1109" s="67"/>
      <c r="K1109" s="67"/>
      <c r="L1109" s="67"/>
      <c r="M1109" s="67"/>
      <c r="N1109" s="67"/>
      <c r="O1109" s="67"/>
      <c r="P1109" s="67"/>
      <c r="Q1109" s="67"/>
      <c r="R1109" s="67"/>
      <c r="S1109" s="67"/>
      <c r="T1109" s="67"/>
      <c r="U1109" s="67"/>
      <c r="V1109" s="67"/>
      <c r="W1109" s="67"/>
      <c r="X1109" s="67"/>
      <c r="Y1109" s="67"/>
      <c r="Z1109" s="67"/>
    </row>
    <row r="1110" spans="1:26" ht="12.5">
      <c r="A1110" s="68" t="s">
        <v>2648</v>
      </c>
      <c r="B1110" s="68" t="s">
        <v>2672</v>
      </c>
      <c r="C1110" s="68" t="s">
        <v>1233</v>
      </c>
      <c r="D1110" s="68" t="s">
        <v>32</v>
      </c>
      <c r="E1110" s="69">
        <v>2020</v>
      </c>
      <c r="F1110" s="69">
        <v>73</v>
      </c>
      <c r="G1110" s="69">
        <v>970.2</v>
      </c>
      <c r="H1110" s="69">
        <v>24249</v>
      </c>
      <c r="I1110" s="67"/>
      <c r="J1110" s="67"/>
      <c r="K1110" s="67"/>
      <c r="L1110" s="67"/>
      <c r="M1110" s="67"/>
      <c r="N1110" s="67"/>
      <c r="O1110" s="67"/>
      <c r="P1110" s="67"/>
      <c r="Q1110" s="67"/>
      <c r="R1110" s="67"/>
      <c r="S1110" s="67"/>
      <c r="T1110" s="67"/>
      <c r="U1110" s="67"/>
      <c r="V1110" s="67"/>
      <c r="W1110" s="67"/>
      <c r="X1110" s="67"/>
      <c r="Y1110" s="67"/>
      <c r="Z1110" s="67"/>
    </row>
    <row r="1111" spans="1:26" ht="12.5">
      <c r="A1111" s="68" t="s">
        <v>2648</v>
      </c>
      <c r="B1111" s="68" t="s">
        <v>2672</v>
      </c>
      <c r="C1111" s="68" t="s">
        <v>2227</v>
      </c>
      <c r="D1111" s="68" t="s">
        <v>32</v>
      </c>
      <c r="E1111" s="69">
        <v>2020</v>
      </c>
      <c r="F1111" s="69">
        <v>34</v>
      </c>
      <c r="G1111" s="69">
        <v>321.8</v>
      </c>
      <c r="H1111" s="69">
        <v>6549</v>
      </c>
      <c r="I1111" s="67"/>
      <c r="J1111" s="67"/>
      <c r="K1111" s="67"/>
      <c r="L1111" s="67"/>
      <c r="M1111" s="67"/>
      <c r="N1111" s="67"/>
      <c r="O1111" s="67"/>
      <c r="P1111" s="67"/>
      <c r="Q1111" s="67"/>
      <c r="R1111" s="67"/>
      <c r="S1111" s="67"/>
      <c r="T1111" s="67"/>
      <c r="U1111" s="67"/>
      <c r="V1111" s="67"/>
      <c r="W1111" s="67"/>
      <c r="X1111" s="67"/>
      <c r="Y1111" s="67"/>
      <c r="Z1111" s="67"/>
    </row>
    <row r="1112" spans="1:26" ht="12.5">
      <c r="A1112" s="68" t="s">
        <v>2648</v>
      </c>
      <c r="B1112" s="68" t="s">
        <v>2672</v>
      </c>
      <c r="C1112" s="68" t="s">
        <v>2681</v>
      </c>
      <c r="D1112" s="68" t="s">
        <v>32</v>
      </c>
      <c r="E1112" s="69">
        <v>2020</v>
      </c>
      <c r="F1112" s="69">
        <v>66</v>
      </c>
      <c r="G1112" s="69">
        <v>1040.0999999999999</v>
      </c>
      <c r="H1112" s="69">
        <v>26597</v>
      </c>
      <c r="I1112" s="67"/>
      <c r="J1112" s="67"/>
      <c r="K1112" s="67"/>
      <c r="L1112" s="67"/>
      <c r="M1112" s="67"/>
      <c r="N1112" s="67"/>
      <c r="O1112" s="67"/>
      <c r="P1112" s="67"/>
      <c r="Q1112" s="67"/>
      <c r="R1112" s="67"/>
      <c r="S1112" s="67"/>
      <c r="T1112" s="67"/>
      <c r="U1112" s="67"/>
      <c r="V1112" s="67"/>
      <c r="W1112" s="67"/>
      <c r="X1112" s="67"/>
      <c r="Y1112" s="67"/>
      <c r="Z1112" s="67"/>
    </row>
    <row r="1113" spans="1:26" ht="12.5">
      <c r="A1113" s="68" t="s">
        <v>2648</v>
      </c>
      <c r="B1113" s="68" t="s">
        <v>2684</v>
      </c>
      <c r="C1113" s="68" t="s">
        <v>2685</v>
      </c>
      <c r="D1113" s="68" t="s">
        <v>32</v>
      </c>
      <c r="E1113" s="69">
        <v>2020</v>
      </c>
      <c r="F1113" s="69">
        <v>38</v>
      </c>
      <c r="G1113" s="69">
        <v>794.8</v>
      </c>
      <c r="H1113" s="69">
        <v>14293</v>
      </c>
      <c r="I1113" s="67"/>
      <c r="J1113" s="67"/>
      <c r="K1113" s="67"/>
      <c r="L1113" s="67"/>
      <c r="M1113" s="67"/>
      <c r="N1113" s="67"/>
      <c r="O1113" s="67"/>
      <c r="P1113" s="67"/>
      <c r="Q1113" s="67"/>
      <c r="R1113" s="67"/>
      <c r="S1113" s="67"/>
      <c r="T1113" s="67"/>
      <c r="U1113" s="67"/>
      <c r="V1113" s="67"/>
      <c r="W1113" s="67"/>
      <c r="X1113" s="67"/>
      <c r="Y1113" s="67"/>
      <c r="Z1113" s="67"/>
    </row>
    <row r="1114" spans="1:26" ht="12.5">
      <c r="A1114" s="68" t="s">
        <v>2648</v>
      </c>
      <c r="B1114" s="68" t="s">
        <v>2684</v>
      </c>
      <c r="C1114" s="68" t="s">
        <v>2687</v>
      </c>
      <c r="D1114" s="68" t="s">
        <v>32</v>
      </c>
      <c r="E1114" s="69">
        <v>2020</v>
      </c>
      <c r="F1114" s="69">
        <v>40</v>
      </c>
      <c r="G1114" s="69">
        <v>782.6</v>
      </c>
      <c r="H1114" s="69">
        <v>20064</v>
      </c>
      <c r="I1114" s="67"/>
      <c r="J1114" s="67"/>
      <c r="K1114" s="67"/>
      <c r="L1114" s="67"/>
      <c r="M1114" s="67"/>
      <c r="N1114" s="67"/>
      <c r="O1114" s="67"/>
      <c r="P1114" s="67"/>
      <c r="Q1114" s="67"/>
      <c r="R1114" s="67"/>
      <c r="S1114" s="67"/>
      <c r="T1114" s="67"/>
      <c r="U1114" s="67"/>
      <c r="V1114" s="67"/>
      <c r="W1114" s="67"/>
      <c r="X1114" s="67"/>
      <c r="Y1114" s="67"/>
      <c r="Z1114" s="67"/>
    </row>
    <row r="1115" spans="1:26" ht="12.5">
      <c r="A1115" s="68" t="s">
        <v>2648</v>
      </c>
      <c r="B1115" s="68" t="s">
        <v>2684</v>
      </c>
      <c r="C1115" s="68" t="s">
        <v>2690</v>
      </c>
      <c r="D1115" s="68" t="s">
        <v>20</v>
      </c>
      <c r="E1115" s="69">
        <v>2020</v>
      </c>
      <c r="F1115" s="69">
        <v>26</v>
      </c>
      <c r="G1115" s="69">
        <v>483.4</v>
      </c>
      <c r="H1115" s="69">
        <v>31262</v>
      </c>
      <c r="I1115" s="67"/>
      <c r="J1115" s="67"/>
      <c r="K1115" s="67"/>
      <c r="L1115" s="67"/>
      <c r="M1115" s="67"/>
      <c r="N1115" s="67"/>
      <c r="O1115" s="67"/>
      <c r="P1115" s="67"/>
      <c r="Q1115" s="67"/>
      <c r="R1115" s="67"/>
      <c r="S1115" s="67"/>
      <c r="T1115" s="67"/>
      <c r="U1115" s="67"/>
      <c r="V1115" s="67"/>
      <c r="W1115" s="67"/>
      <c r="X1115" s="67"/>
      <c r="Y1115" s="67"/>
      <c r="Z1115" s="67"/>
    </row>
    <row r="1116" spans="1:26" ht="12.5">
      <c r="A1116" s="68" t="s">
        <v>2648</v>
      </c>
      <c r="B1116" s="68" t="s">
        <v>2684</v>
      </c>
      <c r="C1116" s="68" t="s">
        <v>2693</v>
      </c>
      <c r="D1116" s="68" t="s">
        <v>28</v>
      </c>
      <c r="E1116" s="69">
        <v>2020</v>
      </c>
      <c r="F1116" s="69">
        <v>30</v>
      </c>
      <c r="G1116" s="69">
        <v>502.5</v>
      </c>
      <c r="H1116" s="69">
        <v>11194</v>
      </c>
      <c r="I1116" s="67"/>
      <c r="J1116" s="67"/>
      <c r="K1116" s="67"/>
      <c r="L1116" s="67"/>
      <c r="M1116" s="67"/>
      <c r="N1116" s="67"/>
      <c r="O1116" s="67"/>
      <c r="P1116" s="67"/>
      <c r="Q1116" s="67"/>
      <c r="R1116" s="67"/>
      <c r="S1116" s="67"/>
      <c r="T1116" s="67"/>
      <c r="U1116" s="67"/>
      <c r="V1116" s="67"/>
      <c r="W1116" s="67"/>
      <c r="X1116" s="67"/>
      <c r="Y1116" s="67"/>
      <c r="Z1116" s="67"/>
    </row>
    <row r="1117" spans="1:26" ht="12.5">
      <c r="A1117" s="68" t="s">
        <v>2648</v>
      </c>
      <c r="B1117" s="68" t="s">
        <v>2684</v>
      </c>
      <c r="C1117" s="68" t="s">
        <v>2695</v>
      </c>
      <c r="D1117" s="68" t="s">
        <v>32</v>
      </c>
      <c r="E1117" s="69">
        <v>2020</v>
      </c>
      <c r="F1117" s="69">
        <v>64</v>
      </c>
      <c r="G1117" s="69">
        <v>1168.0999999999999</v>
      </c>
      <c r="H1117" s="69">
        <v>19827</v>
      </c>
      <c r="I1117" s="67"/>
      <c r="J1117" s="67"/>
      <c r="K1117" s="67"/>
      <c r="L1117" s="67"/>
      <c r="M1117" s="67"/>
      <c r="N1117" s="67"/>
      <c r="O1117" s="67"/>
      <c r="P1117" s="67"/>
      <c r="Q1117" s="67"/>
      <c r="R1117" s="67"/>
      <c r="S1117" s="67"/>
      <c r="T1117" s="67"/>
      <c r="U1117" s="67"/>
      <c r="V1117" s="67"/>
      <c r="W1117" s="67"/>
      <c r="X1117" s="67"/>
      <c r="Y1117" s="67"/>
      <c r="Z1117" s="67"/>
    </row>
    <row r="1118" spans="1:26" ht="12.5">
      <c r="A1118" s="68" t="s">
        <v>2648</v>
      </c>
      <c r="B1118" s="68" t="s">
        <v>2684</v>
      </c>
      <c r="C1118" s="68" t="s">
        <v>2698</v>
      </c>
      <c r="D1118" s="68" t="s">
        <v>28</v>
      </c>
      <c r="E1118" s="69">
        <v>2020</v>
      </c>
      <c r="F1118" s="69">
        <v>22</v>
      </c>
      <c r="G1118" s="69">
        <v>602.79999999999995</v>
      </c>
      <c r="H1118" s="69">
        <v>9308</v>
      </c>
      <c r="I1118" s="67"/>
      <c r="J1118" s="67"/>
      <c r="K1118" s="67"/>
      <c r="L1118" s="67"/>
      <c r="M1118" s="67"/>
      <c r="N1118" s="67"/>
      <c r="O1118" s="67"/>
      <c r="P1118" s="67"/>
      <c r="Q1118" s="67"/>
      <c r="R1118" s="67"/>
      <c r="S1118" s="67"/>
      <c r="T1118" s="67"/>
      <c r="U1118" s="67"/>
      <c r="V1118" s="67"/>
      <c r="W1118" s="67"/>
      <c r="X1118" s="67"/>
      <c r="Y1118" s="67"/>
      <c r="Z1118" s="67"/>
    </row>
    <row r="1119" spans="1:26" ht="12.5">
      <c r="A1119" s="68" t="s">
        <v>2648</v>
      </c>
      <c r="B1119" s="68" t="s">
        <v>2700</v>
      </c>
      <c r="C1119" s="68" t="s">
        <v>2701</v>
      </c>
      <c r="D1119" s="68" t="s">
        <v>32</v>
      </c>
      <c r="E1119" s="69">
        <v>2020</v>
      </c>
      <c r="F1119" s="69">
        <v>51</v>
      </c>
      <c r="G1119" s="69">
        <v>837.9</v>
      </c>
      <c r="H1119" s="69">
        <v>14776</v>
      </c>
      <c r="I1119" s="67"/>
      <c r="J1119" s="67"/>
      <c r="K1119" s="67"/>
      <c r="L1119" s="67"/>
      <c r="M1119" s="67"/>
      <c r="N1119" s="67"/>
      <c r="O1119" s="67"/>
      <c r="P1119" s="67"/>
      <c r="Q1119" s="67"/>
      <c r="R1119" s="67"/>
      <c r="S1119" s="67"/>
      <c r="T1119" s="67"/>
      <c r="U1119" s="67"/>
      <c r="V1119" s="67"/>
      <c r="W1119" s="67"/>
      <c r="X1119" s="67"/>
      <c r="Y1119" s="67"/>
      <c r="Z1119" s="67"/>
    </row>
    <row r="1120" spans="1:26" ht="12.5">
      <c r="A1120" s="68" t="s">
        <v>2648</v>
      </c>
      <c r="B1120" s="68" t="s">
        <v>2700</v>
      </c>
      <c r="C1120" s="68" t="s">
        <v>2703</v>
      </c>
      <c r="D1120" s="68" t="s">
        <v>28</v>
      </c>
      <c r="E1120" s="69">
        <v>2020</v>
      </c>
      <c r="F1120" s="69">
        <v>30</v>
      </c>
      <c r="G1120" s="69">
        <v>382.6</v>
      </c>
      <c r="H1120" s="69">
        <v>6107</v>
      </c>
      <c r="I1120" s="67"/>
      <c r="J1120" s="67"/>
      <c r="K1120" s="67"/>
      <c r="L1120" s="67"/>
      <c r="M1120" s="67"/>
      <c r="N1120" s="67"/>
      <c r="O1120" s="67"/>
      <c r="P1120" s="67"/>
      <c r="Q1120" s="67"/>
      <c r="R1120" s="67"/>
      <c r="S1120" s="67"/>
      <c r="T1120" s="67"/>
      <c r="U1120" s="67"/>
      <c r="V1120" s="67"/>
      <c r="W1120" s="67"/>
      <c r="X1120" s="67"/>
      <c r="Y1120" s="67"/>
      <c r="Z1120" s="67"/>
    </row>
    <row r="1121" spans="1:26" ht="12.5">
      <c r="A1121" s="68" t="s">
        <v>2648</v>
      </c>
      <c r="B1121" s="68" t="s">
        <v>2700</v>
      </c>
      <c r="C1121" s="68" t="s">
        <v>2706</v>
      </c>
      <c r="D1121" s="68" t="s">
        <v>32</v>
      </c>
      <c r="E1121" s="69">
        <v>2020</v>
      </c>
      <c r="F1121" s="69">
        <v>55</v>
      </c>
      <c r="G1121" s="69">
        <v>1109.0999999999999</v>
      </c>
      <c r="H1121" s="69">
        <v>16270</v>
      </c>
      <c r="I1121" s="67"/>
      <c r="J1121" s="67"/>
      <c r="K1121" s="67"/>
      <c r="L1121" s="67"/>
      <c r="M1121" s="67"/>
      <c r="N1121" s="67"/>
      <c r="O1121" s="67"/>
      <c r="P1121" s="67"/>
      <c r="Q1121" s="67"/>
      <c r="R1121" s="67"/>
      <c r="S1121" s="67"/>
      <c r="T1121" s="67"/>
      <c r="U1121" s="67"/>
      <c r="V1121" s="67"/>
      <c r="W1121" s="67"/>
      <c r="X1121" s="67"/>
      <c r="Y1121" s="67"/>
      <c r="Z1121" s="67"/>
    </row>
    <row r="1122" spans="1:26" ht="12.5">
      <c r="A1122" s="68" t="s">
        <v>2648</v>
      </c>
      <c r="B1122" s="68" t="s">
        <v>2700</v>
      </c>
      <c r="C1122" s="68" t="s">
        <v>2709</v>
      </c>
      <c r="D1122" s="68" t="s">
        <v>20</v>
      </c>
      <c r="E1122" s="69">
        <v>2020</v>
      </c>
      <c r="F1122" s="69">
        <v>12</v>
      </c>
      <c r="G1122" s="69">
        <v>148.5</v>
      </c>
      <c r="H1122" s="69">
        <v>55544</v>
      </c>
      <c r="I1122" s="67"/>
      <c r="J1122" s="67"/>
      <c r="K1122" s="67"/>
      <c r="L1122" s="67"/>
      <c r="M1122" s="67"/>
      <c r="N1122" s="67"/>
      <c r="O1122" s="67"/>
      <c r="P1122" s="67"/>
      <c r="Q1122" s="67"/>
      <c r="R1122" s="67"/>
      <c r="S1122" s="67"/>
      <c r="T1122" s="67"/>
      <c r="U1122" s="67"/>
      <c r="V1122" s="67"/>
      <c r="W1122" s="67"/>
      <c r="X1122" s="67"/>
      <c r="Y1122" s="67"/>
      <c r="Z1122" s="67"/>
    </row>
    <row r="1123" spans="1:26" ht="12.5">
      <c r="A1123" s="68" t="s">
        <v>2648</v>
      </c>
      <c r="B1123" s="68" t="s">
        <v>2700</v>
      </c>
      <c r="C1123" s="68" t="s">
        <v>2712</v>
      </c>
      <c r="D1123" s="68" t="s">
        <v>28</v>
      </c>
      <c r="E1123" s="69">
        <v>2020</v>
      </c>
      <c r="F1123" s="69">
        <v>13</v>
      </c>
      <c r="G1123" s="69">
        <v>416.6</v>
      </c>
      <c r="H1123" s="69">
        <v>9766</v>
      </c>
      <c r="I1123" s="67"/>
      <c r="J1123" s="67"/>
      <c r="K1123" s="67"/>
      <c r="L1123" s="67"/>
      <c r="M1123" s="67"/>
      <c r="N1123" s="67"/>
      <c r="O1123" s="67"/>
      <c r="P1123" s="67"/>
      <c r="Q1123" s="67"/>
      <c r="R1123" s="67"/>
      <c r="S1123" s="67"/>
      <c r="T1123" s="67"/>
      <c r="U1123" s="67"/>
      <c r="V1123" s="67"/>
      <c r="W1123" s="67"/>
      <c r="X1123" s="67"/>
      <c r="Y1123" s="67"/>
      <c r="Z1123" s="67"/>
    </row>
    <row r="1124" spans="1:26" ht="12.5">
      <c r="A1124" s="68" t="s">
        <v>2648</v>
      </c>
      <c r="B1124" s="68" t="s">
        <v>2700</v>
      </c>
      <c r="C1124" s="68" t="s">
        <v>2714</v>
      </c>
      <c r="D1124" s="68" t="s">
        <v>28</v>
      </c>
      <c r="E1124" s="69">
        <v>2020</v>
      </c>
      <c r="F1124" s="69">
        <v>32</v>
      </c>
      <c r="G1124" s="69">
        <v>404.8</v>
      </c>
      <c r="H1124" s="69">
        <v>6035</v>
      </c>
      <c r="I1124" s="67"/>
      <c r="J1124" s="67"/>
      <c r="K1124" s="67"/>
      <c r="L1124" s="67"/>
      <c r="M1124" s="67"/>
      <c r="N1124" s="67"/>
      <c r="O1124" s="67"/>
      <c r="P1124" s="67"/>
      <c r="Q1124" s="67"/>
      <c r="R1124" s="67"/>
      <c r="S1124" s="67"/>
      <c r="T1124" s="67"/>
      <c r="U1124" s="67"/>
      <c r="V1124" s="67"/>
      <c r="W1124" s="67"/>
      <c r="X1124" s="67"/>
      <c r="Y1124" s="67"/>
      <c r="Z1124" s="67"/>
    </row>
    <row r="1125" spans="1:26" ht="12.5">
      <c r="A1125" s="68" t="s">
        <v>2648</v>
      </c>
      <c r="B1125" s="68" t="s">
        <v>2700</v>
      </c>
      <c r="C1125" s="68" t="s">
        <v>450</v>
      </c>
      <c r="D1125" s="68" t="s">
        <v>28</v>
      </c>
      <c r="E1125" s="69">
        <v>2020</v>
      </c>
      <c r="F1125" s="69">
        <v>16</v>
      </c>
      <c r="G1125" s="69">
        <v>337.3</v>
      </c>
      <c r="H1125" s="69">
        <v>5245</v>
      </c>
      <c r="I1125" s="67"/>
      <c r="J1125" s="67"/>
      <c r="K1125" s="67"/>
      <c r="L1125" s="67"/>
      <c r="M1125" s="67"/>
      <c r="N1125" s="67"/>
      <c r="O1125" s="67"/>
      <c r="P1125" s="67"/>
      <c r="Q1125" s="67"/>
      <c r="R1125" s="67"/>
      <c r="S1125" s="67"/>
      <c r="T1125" s="67"/>
      <c r="U1125" s="67"/>
      <c r="V1125" s="67"/>
      <c r="W1125" s="67"/>
      <c r="X1125" s="67"/>
      <c r="Y1125" s="67"/>
      <c r="Z1125" s="67"/>
    </row>
    <row r="1126" spans="1:26" ht="12.5">
      <c r="A1126" s="68" t="s">
        <v>2648</v>
      </c>
      <c r="B1126" s="68" t="s">
        <v>2700</v>
      </c>
      <c r="C1126" s="68" t="s">
        <v>1880</v>
      </c>
      <c r="D1126" s="68" t="s">
        <v>32</v>
      </c>
      <c r="E1126" s="69">
        <v>2020</v>
      </c>
      <c r="F1126" s="69">
        <v>60</v>
      </c>
      <c r="G1126" s="69">
        <v>976.1</v>
      </c>
      <c r="H1126" s="69">
        <v>19392</v>
      </c>
      <c r="I1126" s="67"/>
      <c r="J1126" s="67"/>
      <c r="K1126" s="67"/>
      <c r="L1126" s="67"/>
      <c r="M1126" s="67"/>
      <c r="N1126" s="67"/>
      <c r="O1126" s="67"/>
      <c r="P1126" s="67"/>
      <c r="Q1126" s="67"/>
      <c r="R1126" s="67"/>
      <c r="S1126" s="67"/>
      <c r="T1126" s="67"/>
      <c r="U1126" s="67"/>
      <c r="V1126" s="67"/>
      <c r="W1126" s="67"/>
      <c r="X1126" s="67"/>
      <c r="Y1126" s="67"/>
      <c r="Z1126" s="67"/>
    </row>
    <row r="1127" spans="1:26" ht="12.5">
      <c r="A1127" s="68" t="s">
        <v>2648</v>
      </c>
      <c r="B1127" s="68" t="s">
        <v>2719</v>
      </c>
      <c r="C1127" s="68" t="s">
        <v>2720</v>
      </c>
      <c r="D1127" s="68" t="s">
        <v>32</v>
      </c>
      <c r="E1127" s="69">
        <v>2020</v>
      </c>
      <c r="F1127" s="69">
        <v>97</v>
      </c>
      <c r="G1127" s="69">
        <v>1378.5</v>
      </c>
      <c r="H1127" s="69">
        <v>17541</v>
      </c>
      <c r="I1127" s="67"/>
      <c r="J1127" s="67"/>
      <c r="K1127" s="67"/>
      <c r="L1127" s="67"/>
      <c r="M1127" s="67"/>
      <c r="N1127" s="67"/>
      <c r="O1127" s="67"/>
      <c r="P1127" s="67"/>
      <c r="Q1127" s="67"/>
      <c r="R1127" s="67"/>
      <c r="S1127" s="67"/>
      <c r="T1127" s="67"/>
      <c r="U1127" s="67"/>
      <c r="V1127" s="67"/>
      <c r="W1127" s="67"/>
      <c r="X1127" s="67"/>
      <c r="Y1127" s="67"/>
      <c r="Z1127" s="67"/>
    </row>
    <row r="1128" spans="1:26" ht="12.5">
      <c r="A1128" s="68" t="s">
        <v>2648</v>
      </c>
      <c r="B1128" s="68" t="s">
        <v>2719</v>
      </c>
      <c r="C1128" s="68" t="s">
        <v>2023</v>
      </c>
      <c r="D1128" s="68" t="s">
        <v>28</v>
      </c>
      <c r="E1128" s="69">
        <v>2020</v>
      </c>
      <c r="F1128" s="69">
        <v>25</v>
      </c>
      <c r="G1128" s="69">
        <v>424.5</v>
      </c>
      <c r="H1128" s="69">
        <v>5676</v>
      </c>
      <c r="I1128" s="67"/>
      <c r="J1128" s="67"/>
      <c r="K1128" s="67"/>
      <c r="L1128" s="67"/>
      <c r="M1128" s="67"/>
      <c r="N1128" s="67"/>
      <c r="O1128" s="67"/>
      <c r="P1128" s="67"/>
      <c r="Q1128" s="67"/>
      <c r="R1128" s="67"/>
      <c r="S1128" s="67"/>
      <c r="T1128" s="67"/>
      <c r="U1128" s="67"/>
      <c r="V1128" s="67"/>
      <c r="W1128" s="67"/>
      <c r="X1128" s="67"/>
      <c r="Y1128" s="67"/>
      <c r="Z1128" s="67"/>
    </row>
    <row r="1129" spans="1:26" ht="12.5">
      <c r="A1129" s="68" t="s">
        <v>2648</v>
      </c>
      <c r="B1129" s="68" t="s">
        <v>2719</v>
      </c>
      <c r="C1129" s="68" t="s">
        <v>2725</v>
      </c>
      <c r="D1129" s="68" t="s">
        <v>20</v>
      </c>
      <c r="E1129" s="69">
        <v>2020</v>
      </c>
      <c r="F1129" s="69">
        <v>91</v>
      </c>
      <c r="G1129" s="69">
        <v>1424.7</v>
      </c>
      <c r="H1129" s="69">
        <v>89472</v>
      </c>
      <c r="I1129" s="67"/>
      <c r="J1129" s="67"/>
      <c r="K1129" s="67"/>
      <c r="L1129" s="67"/>
      <c r="M1129" s="67"/>
      <c r="N1129" s="67"/>
      <c r="O1129" s="67"/>
      <c r="P1129" s="67"/>
      <c r="Q1129" s="67"/>
      <c r="R1129" s="67"/>
      <c r="S1129" s="67"/>
      <c r="T1129" s="67"/>
      <c r="U1129" s="67"/>
      <c r="V1129" s="67"/>
      <c r="W1129" s="67"/>
      <c r="X1129" s="67"/>
      <c r="Y1129" s="67"/>
      <c r="Z1129" s="67"/>
    </row>
    <row r="1130" spans="1:26" ht="12.5">
      <c r="A1130" s="68" t="s">
        <v>2648</v>
      </c>
      <c r="B1130" s="68" t="s">
        <v>2719</v>
      </c>
      <c r="C1130" s="68" t="s">
        <v>2728</v>
      </c>
      <c r="D1130" s="68" t="s">
        <v>28</v>
      </c>
      <c r="E1130" s="69">
        <v>2020</v>
      </c>
      <c r="F1130" s="69">
        <v>25</v>
      </c>
      <c r="G1130" s="69">
        <v>654.1</v>
      </c>
      <c r="H1130" s="69">
        <v>7114</v>
      </c>
      <c r="I1130" s="67"/>
      <c r="J1130" s="67"/>
      <c r="K1130" s="67"/>
      <c r="L1130" s="67"/>
      <c r="M1130" s="67"/>
      <c r="N1130" s="67"/>
      <c r="O1130" s="67"/>
      <c r="P1130" s="67"/>
      <c r="Q1130" s="67"/>
      <c r="R1130" s="67"/>
      <c r="S1130" s="67"/>
      <c r="T1130" s="67"/>
      <c r="U1130" s="67"/>
      <c r="V1130" s="67"/>
      <c r="W1130" s="67"/>
      <c r="X1130" s="67"/>
      <c r="Y1130" s="67"/>
      <c r="Z1130" s="67"/>
    </row>
    <row r="1131" spans="1:26" ht="12.5">
      <c r="A1131" s="68" t="s">
        <v>2648</v>
      </c>
      <c r="B1131" s="68" t="s">
        <v>2719</v>
      </c>
      <c r="C1131" s="68" t="s">
        <v>1868</v>
      </c>
      <c r="D1131" s="68" t="s">
        <v>20</v>
      </c>
      <c r="E1131" s="69">
        <v>2020</v>
      </c>
      <c r="F1131" s="69">
        <v>9</v>
      </c>
      <c r="G1131" s="69">
        <v>145.30000000000001</v>
      </c>
      <c r="H1131" s="69">
        <v>30597</v>
      </c>
      <c r="I1131" s="67"/>
      <c r="J1131" s="67"/>
      <c r="K1131" s="67"/>
      <c r="L1131" s="67"/>
      <c r="M1131" s="67"/>
      <c r="N1131" s="67"/>
      <c r="O1131" s="67"/>
      <c r="P1131" s="67"/>
      <c r="Q1131" s="67"/>
      <c r="R1131" s="67"/>
      <c r="S1131" s="67"/>
      <c r="T1131" s="67"/>
      <c r="U1131" s="67"/>
      <c r="V1131" s="67"/>
      <c r="W1131" s="67"/>
      <c r="X1131" s="67"/>
      <c r="Y1131" s="67"/>
      <c r="Z1131" s="67"/>
    </row>
    <row r="1132" spans="1:26" ht="12.5">
      <c r="A1132" s="68" t="s">
        <v>2648</v>
      </c>
      <c r="B1132" s="68" t="s">
        <v>2732</v>
      </c>
      <c r="C1132" s="68" t="s">
        <v>2733</v>
      </c>
      <c r="D1132" s="68" t="s">
        <v>32</v>
      </c>
      <c r="E1132" s="69">
        <v>2020</v>
      </c>
      <c r="F1132" s="69">
        <v>11</v>
      </c>
      <c r="G1132" s="69">
        <v>138.1</v>
      </c>
      <c r="H1132" s="69">
        <v>23782</v>
      </c>
      <c r="I1132" s="67"/>
      <c r="J1132" s="67"/>
      <c r="K1132" s="67"/>
      <c r="L1132" s="67"/>
      <c r="M1132" s="67"/>
      <c r="N1132" s="67"/>
      <c r="O1132" s="67"/>
      <c r="P1132" s="67"/>
      <c r="Q1132" s="67"/>
      <c r="R1132" s="67"/>
      <c r="S1132" s="67"/>
      <c r="T1132" s="67"/>
      <c r="U1132" s="67"/>
      <c r="V1132" s="67"/>
      <c r="W1132" s="67"/>
      <c r="X1132" s="67"/>
      <c r="Y1132" s="67"/>
      <c r="Z1132" s="67"/>
    </row>
    <row r="1133" spans="1:26" ht="12.5">
      <c r="A1133" s="68" t="s">
        <v>2648</v>
      </c>
      <c r="B1133" s="68" t="s">
        <v>2732</v>
      </c>
      <c r="C1133" s="68" t="s">
        <v>2736</v>
      </c>
      <c r="D1133" s="68" t="s">
        <v>32</v>
      </c>
      <c r="E1133" s="69">
        <v>2020</v>
      </c>
      <c r="F1133" s="69">
        <v>6</v>
      </c>
      <c r="G1133" s="69">
        <v>63.6</v>
      </c>
      <c r="H1133" s="69">
        <v>27158</v>
      </c>
      <c r="I1133" s="67"/>
      <c r="J1133" s="67"/>
      <c r="K1133" s="67"/>
      <c r="L1133" s="67"/>
      <c r="M1133" s="67"/>
      <c r="N1133" s="67"/>
      <c r="O1133" s="67"/>
      <c r="P1133" s="67"/>
      <c r="Q1133" s="67"/>
      <c r="R1133" s="67"/>
      <c r="S1133" s="67"/>
      <c r="T1133" s="67"/>
      <c r="U1133" s="67"/>
      <c r="V1133" s="67"/>
      <c r="W1133" s="67"/>
      <c r="X1133" s="67"/>
      <c r="Y1133" s="67"/>
      <c r="Z1133" s="67"/>
    </row>
    <row r="1134" spans="1:26" ht="12.5">
      <c r="A1134" s="68" t="s">
        <v>2648</v>
      </c>
      <c r="B1134" s="68" t="s">
        <v>2732</v>
      </c>
      <c r="C1134" s="68" t="s">
        <v>2739</v>
      </c>
      <c r="D1134" s="68" t="s">
        <v>28</v>
      </c>
      <c r="E1134" s="69">
        <v>2020</v>
      </c>
      <c r="F1134" s="69">
        <v>16</v>
      </c>
      <c r="G1134" s="69">
        <v>219</v>
      </c>
      <c r="H1134" s="69">
        <v>8071</v>
      </c>
      <c r="I1134" s="67"/>
      <c r="J1134" s="67"/>
      <c r="K1134" s="67"/>
      <c r="L1134" s="67"/>
      <c r="M1134" s="67"/>
      <c r="N1134" s="67"/>
      <c r="O1134" s="67"/>
      <c r="P1134" s="67"/>
      <c r="Q1134" s="67"/>
      <c r="R1134" s="67"/>
      <c r="S1134" s="67"/>
      <c r="T1134" s="67"/>
      <c r="U1134" s="67"/>
      <c r="V1134" s="67"/>
      <c r="W1134" s="67"/>
      <c r="X1134" s="67"/>
      <c r="Y1134" s="67"/>
      <c r="Z1134" s="67"/>
    </row>
    <row r="1135" spans="1:26" ht="12.5">
      <c r="A1135" s="68" t="s">
        <v>2648</v>
      </c>
      <c r="B1135" s="68" t="s">
        <v>2732</v>
      </c>
      <c r="C1135" s="68" t="s">
        <v>2742</v>
      </c>
      <c r="D1135" s="68" t="s">
        <v>20</v>
      </c>
      <c r="E1135" s="69">
        <v>2020</v>
      </c>
      <c r="F1135" s="69">
        <v>38</v>
      </c>
      <c r="G1135" s="69">
        <v>543.79999999999995</v>
      </c>
      <c r="H1135" s="69">
        <v>43448</v>
      </c>
      <c r="I1135" s="67"/>
      <c r="J1135" s="67"/>
      <c r="K1135" s="67"/>
      <c r="L1135" s="67"/>
      <c r="M1135" s="67"/>
      <c r="N1135" s="67"/>
      <c r="O1135" s="67"/>
      <c r="P1135" s="67"/>
      <c r="Q1135" s="67"/>
      <c r="R1135" s="67"/>
      <c r="S1135" s="67"/>
      <c r="T1135" s="67"/>
      <c r="U1135" s="67"/>
      <c r="V1135" s="67"/>
      <c r="W1135" s="67"/>
      <c r="X1135" s="67"/>
      <c r="Y1135" s="67"/>
      <c r="Z1135" s="67"/>
    </row>
    <row r="1136" spans="1:26" ht="12.5">
      <c r="A1136" s="68" t="s">
        <v>2648</v>
      </c>
      <c r="B1136" s="68" t="s">
        <v>2732</v>
      </c>
      <c r="C1136" s="68" t="s">
        <v>2745</v>
      </c>
      <c r="D1136" s="68" t="s">
        <v>28</v>
      </c>
      <c r="E1136" s="69">
        <v>2020</v>
      </c>
      <c r="F1136" s="69">
        <v>17</v>
      </c>
      <c r="G1136" s="69">
        <v>362.5</v>
      </c>
      <c r="H1136" s="69">
        <v>13321</v>
      </c>
      <c r="I1136" s="67"/>
      <c r="J1136" s="67"/>
      <c r="K1136" s="67"/>
      <c r="L1136" s="67"/>
      <c r="M1136" s="67"/>
      <c r="N1136" s="67"/>
      <c r="O1136" s="67"/>
      <c r="P1136" s="67"/>
      <c r="Q1136" s="67"/>
      <c r="R1136" s="67"/>
      <c r="S1136" s="67"/>
      <c r="T1136" s="67"/>
      <c r="U1136" s="67"/>
      <c r="V1136" s="67"/>
      <c r="W1136" s="67"/>
      <c r="X1136" s="67"/>
      <c r="Y1136" s="67"/>
      <c r="Z1136" s="67"/>
    </row>
    <row r="1137" spans="1:26" ht="12.5">
      <c r="A1137" s="68" t="s">
        <v>2648</v>
      </c>
      <c r="B1137" s="68" t="s">
        <v>2732</v>
      </c>
      <c r="C1137" s="68" t="s">
        <v>2748</v>
      </c>
      <c r="D1137" s="68" t="s">
        <v>20</v>
      </c>
      <c r="E1137" s="69">
        <v>2020</v>
      </c>
      <c r="F1137" s="69">
        <v>15</v>
      </c>
      <c r="G1137" s="69">
        <v>137.69999999999999</v>
      </c>
      <c r="H1137" s="69">
        <v>27164</v>
      </c>
      <c r="I1137" s="67"/>
      <c r="J1137" s="67"/>
      <c r="K1137" s="67"/>
      <c r="L1137" s="67"/>
      <c r="M1137" s="67"/>
      <c r="N1137" s="67"/>
      <c r="O1137" s="67"/>
      <c r="P1137" s="67"/>
      <c r="Q1137" s="67"/>
      <c r="R1137" s="67"/>
      <c r="S1137" s="67"/>
      <c r="T1137" s="67"/>
      <c r="U1137" s="67"/>
      <c r="V1137" s="67"/>
      <c r="W1137" s="67"/>
      <c r="X1137" s="67"/>
      <c r="Y1137" s="67"/>
      <c r="Z1137" s="67"/>
    </row>
    <row r="1138" spans="1:26" ht="12.5">
      <c r="A1138" s="68" t="s">
        <v>2648</v>
      </c>
      <c r="B1138" s="68" t="s">
        <v>2732</v>
      </c>
      <c r="C1138" s="68" t="s">
        <v>2751</v>
      </c>
      <c r="D1138" s="68" t="s">
        <v>32</v>
      </c>
      <c r="E1138" s="69">
        <v>2020</v>
      </c>
      <c r="F1138" s="69">
        <v>7</v>
      </c>
      <c r="G1138" s="69">
        <v>104.7</v>
      </c>
      <c r="H1138" s="69">
        <v>13278</v>
      </c>
      <c r="I1138" s="67"/>
      <c r="J1138" s="67"/>
      <c r="K1138" s="67"/>
      <c r="L1138" s="67"/>
      <c r="M1138" s="67"/>
      <c r="N1138" s="67"/>
      <c r="O1138" s="67"/>
      <c r="P1138" s="67"/>
      <c r="Q1138" s="67"/>
      <c r="R1138" s="67"/>
      <c r="S1138" s="67"/>
      <c r="T1138" s="67"/>
      <c r="U1138" s="67"/>
      <c r="V1138" s="67"/>
      <c r="W1138" s="67"/>
      <c r="X1138" s="67"/>
      <c r="Y1138" s="67"/>
      <c r="Z1138" s="67"/>
    </row>
    <row r="1139" spans="1:26" ht="12.5">
      <c r="A1139" s="68" t="s">
        <v>2648</v>
      </c>
      <c r="B1139" s="68" t="s">
        <v>2732</v>
      </c>
      <c r="C1139" s="68" t="s">
        <v>2753</v>
      </c>
      <c r="D1139" s="68" t="s">
        <v>20</v>
      </c>
      <c r="E1139" s="69">
        <v>2020</v>
      </c>
      <c r="F1139" s="69">
        <v>9</v>
      </c>
      <c r="G1139" s="69">
        <v>131.69999999999999</v>
      </c>
      <c r="H1139" s="69">
        <v>25560</v>
      </c>
      <c r="I1139" s="67"/>
      <c r="J1139" s="67"/>
      <c r="K1139" s="67"/>
      <c r="L1139" s="67"/>
      <c r="M1139" s="67"/>
      <c r="N1139" s="67"/>
      <c r="O1139" s="67"/>
      <c r="P1139" s="67"/>
      <c r="Q1139" s="67"/>
      <c r="R1139" s="67"/>
      <c r="S1139" s="67"/>
      <c r="T1139" s="67"/>
      <c r="U1139" s="67"/>
      <c r="V1139" s="67"/>
      <c r="W1139" s="67"/>
      <c r="X1139" s="67"/>
      <c r="Y1139" s="67"/>
      <c r="Z1139" s="67"/>
    </row>
    <row r="1140" spans="1:26" ht="12.5">
      <c r="A1140" s="68" t="s">
        <v>2648</v>
      </c>
      <c r="B1140" s="68" t="s">
        <v>2732</v>
      </c>
      <c r="C1140" s="68" t="s">
        <v>2755</v>
      </c>
      <c r="D1140" s="68" t="s">
        <v>32</v>
      </c>
      <c r="E1140" s="69">
        <v>2020</v>
      </c>
      <c r="F1140" s="69">
        <v>36</v>
      </c>
      <c r="G1140" s="69">
        <v>579.79999999999995</v>
      </c>
      <c r="H1140" s="69">
        <v>21799</v>
      </c>
      <c r="I1140" s="67"/>
      <c r="J1140" s="67"/>
      <c r="K1140" s="67"/>
      <c r="L1140" s="67"/>
      <c r="M1140" s="67"/>
      <c r="N1140" s="67"/>
      <c r="O1140" s="67"/>
      <c r="P1140" s="67"/>
      <c r="Q1140" s="67"/>
      <c r="R1140" s="67"/>
      <c r="S1140" s="67"/>
      <c r="T1140" s="67"/>
      <c r="U1140" s="67"/>
      <c r="V1140" s="67"/>
      <c r="W1140" s="67"/>
      <c r="X1140" s="67"/>
      <c r="Y1140" s="67"/>
      <c r="Z1140" s="67"/>
    </row>
    <row r="1141" spans="1:26" ht="12.5">
      <c r="A1141" s="68" t="s">
        <v>2648</v>
      </c>
      <c r="B1141" s="68" t="s">
        <v>2732</v>
      </c>
      <c r="C1141" s="68" t="s">
        <v>2757</v>
      </c>
      <c r="D1141" s="68" t="s">
        <v>20</v>
      </c>
      <c r="E1141" s="69">
        <v>2020</v>
      </c>
      <c r="F1141" s="69">
        <v>5</v>
      </c>
      <c r="G1141" s="69">
        <v>55.6</v>
      </c>
      <c r="H1141" s="69">
        <v>13857</v>
      </c>
      <c r="I1141" s="67"/>
      <c r="J1141" s="67"/>
      <c r="K1141" s="67"/>
      <c r="L1141" s="67"/>
      <c r="M1141" s="67"/>
      <c r="N1141" s="67"/>
      <c r="O1141" s="67"/>
      <c r="P1141" s="67"/>
      <c r="Q1141" s="67"/>
      <c r="R1141" s="67"/>
      <c r="S1141" s="67"/>
      <c r="T1141" s="67"/>
      <c r="U1141" s="67"/>
      <c r="V1141" s="67"/>
      <c r="W1141" s="67"/>
      <c r="X1141" s="67"/>
      <c r="Y1141" s="67"/>
      <c r="Z1141" s="67"/>
    </row>
    <row r="1142" spans="1:26" ht="12.5">
      <c r="A1142" s="68" t="s">
        <v>2648</v>
      </c>
      <c r="B1142" s="68" t="s">
        <v>2732</v>
      </c>
      <c r="C1142" s="68" t="s">
        <v>2760</v>
      </c>
      <c r="D1142" s="68" t="s">
        <v>32</v>
      </c>
      <c r="E1142" s="69">
        <v>2020</v>
      </c>
      <c r="F1142" s="69">
        <v>8</v>
      </c>
      <c r="G1142" s="69">
        <v>78.900000000000006</v>
      </c>
      <c r="H1142" s="69">
        <v>32687</v>
      </c>
      <c r="I1142" s="67"/>
      <c r="J1142" s="67"/>
      <c r="K1142" s="67"/>
      <c r="L1142" s="67"/>
      <c r="M1142" s="67"/>
      <c r="N1142" s="67"/>
      <c r="O1142" s="67"/>
      <c r="P1142" s="67"/>
      <c r="Q1142" s="67"/>
      <c r="R1142" s="67"/>
      <c r="S1142" s="67"/>
      <c r="T1142" s="67"/>
      <c r="U1142" s="67"/>
      <c r="V1142" s="67"/>
      <c r="W1142" s="67"/>
      <c r="X1142" s="67"/>
      <c r="Y1142" s="67"/>
      <c r="Z1142" s="67"/>
    </row>
    <row r="1143" spans="1:26" ht="12.5">
      <c r="A1143" s="68" t="s">
        <v>2648</v>
      </c>
      <c r="B1143" s="68" t="s">
        <v>2732</v>
      </c>
      <c r="C1143" s="68" t="s">
        <v>2762</v>
      </c>
      <c r="D1143" s="68" t="s">
        <v>32</v>
      </c>
      <c r="E1143" s="69">
        <v>2020</v>
      </c>
      <c r="F1143" s="69">
        <v>7</v>
      </c>
      <c r="G1143" s="69">
        <v>78.2</v>
      </c>
      <c r="H1143" s="69">
        <v>13583</v>
      </c>
      <c r="I1143" s="67"/>
      <c r="J1143" s="67"/>
      <c r="K1143" s="67"/>
      <c r="L1143" s="67"/>
      <c r="M1143" s="67"/>
      <c r="N1143" s="67"/>
      <c r="O1143" s="67"/>
      <c r="P1143" s="67"/>
      <c r="Q1143" s="67"/>
      <c r="R1143" s="67"/>
      <c r="S1143" s="67"/>
      <c r="T1143" s="67"/>
      <c r="U1143" s="67"/>
      <c r="V1143" s="67"/>
      <c r="W1143" s="67"/>
      <c r="X1143" s="67"/>
      <c r="Y1143" s="67"/>
      <c r="Z1143" s="67"/>
    </row>
    <row r="1144" spans="1:26" ht="12.5">
      <c r="A1144" s="68" t="s">
        <v>2648</v>
      </c>
      <c r="B1144" s="68" t="s">
        <v>2732</v>
      </c>
      <c r="C1144" s="68" t="s">
        <v>2764</v>
      </c>
      <c r="D1144" s="68" t="s">
        <v>32</v>
      </c>
      <c r="E1144" s="69">
        <v>2020</v>
      </c>
      <c r="F1144" s="69">
        <v>18</v>
      </c>
      <c r="G1144" s="69">
        <v>246.7</v>
      </c>
      <c r="H1144" s="69">
        <v>35249</v>
      </c>
      <c r="I1144" s="67"/>
      <c r="J1144" s="67"/>
      <c r="K1144" s="67"/>
      <c r="L1144" s="67"/>
      <c r="M1144" s="67"/>
      <c r="N1144" s="67"/>
      <c r="O1144" s="67"/>
      <c r="P1144" s="67"/>
      <c r="Q1144" s="67"/>
      <c r="R1144" s="67"/>
      <c r="S1144" s="67"/>
      <c r="T1144" s="67"/>
      <c r="U1144" s="67"/>
      <c r="V1144" s="67"/>
      <c r="W1144" s="67"/>
      <c r="X1144" s="67"/>
      <c r="Y1144" s="67"/>
      <c r="Z1144" s="67"/>
    </row>
    <row r="1145" spans="1:26" ht="12.5">
      <c r="A1145" s="68" t="s">
        <v>2648</v>
      </c>
      <c r="B1145" s="68" t="s">
        <v>2732</v>
      </c>
      <c r="C1145" s="68" t="s">
        <v>2767</v>
      </c>
      <c r="D1145" s="68" t="s">
        <v>20</v>
      </c>
      <c r="E1145" s="69">
        <v>2020</v>
      </c>
      <c r="F1145" s="69">
        <v>1</v>
      </c>
      <c r="G1145" s="69">
        <v>349.8</v>
      </c>
      <c r="H1145" s="69">
        <v>1433886</v>
      </c>
      <c r="I1145" s="67"/>
      <c r="J1145" s="67"/>
      <c r="K1145" s="67"/>
      <c r="L1145" s="67"/>
      <c r="M1145" s="67"/>
      <c r="N1145" s="67"/>
      <c r="O1145" s="67"/>
      <c r="P1145" s="67"/>
      <c r="Q1145" s="67"/>
      <c r="R1145" s="67"/>
      <c r="S1145" s="67"/>
      <c r="T1145" s="67"/>
      <c r="U1145" s="67"/>
      <c r="V1145" s="67"/>
      <c r="W1145" s="67"/>
      <c r="X1145" s="67"/>
      <c r="Y1145" s="67"/>
      <c r="Z1145" s="67"/>
    </row>
    <row r="1146" spans="1:26" ht="12.5">
      <c r="A1146" s="68" t="s">
        <v>2648</v>
      </c>
      <c r="B1146" s="68" t="s">
        <v>2732</v>
      </c>
      <c r="C1146" s="68" t="s">
        <v>2770</v>
      </c>
      <c r="D1146" s="68" t="s">
        <v>28</v>
      </c>
      <c r="E1146" s="69">
        <v>2020</v>
      </c>
      <c r="F1146" s="69">
        <v>9</v>
      </c>
      <c r="G1146" s="69">
        <v>132.4</v>
      </c>
      <c r="H1146" s="69">
        <v>8816</v>
      </c>
      <c r="I1146" s="67"/>
      <c r="J1146" s="67"/>
      <c r="K1146" s="67"/>
      <c r="L1146" s="67"/>
      <c r="M1146" s="67"/>
      <c r="N1146" s="67"/>
      <c r="O1146" s="67"/>
      <c r="P1146" s="67"/>
      <c r="Q1146" s="67"/>
      <c r="R1146" s="67"/>
      <c r="S1146" s="67"/>
      <c r="T1146" s="67"/>
      <c r="U1146" s="67"/>
      <c r="V1146" s="67"/>
      <c r="W1146" s="67"/>
      <c r="X1146" s="67"/>
      <c r="Y1146" s="67"/>
      <c r="Z1146" s="67"/>
    </row>
    <row r="1147" spans="1:26" ht="12.5">
      <c r="A1147" s="68" t="s">
        <v>2648</v>
      </c>
      <c r="B1147" s="68" t="s">
        <v>2772</v>
      </c>
      <c r="C1147" s="68" t="s">
        <v>2773</v>
      </c>
      <c r="D1147" s="68" t="s">
        <v>20</v>
      </c>
      <c r="E1147" s="69">
        <v>2020</v>
      </c>
      <c r="F1147" s="69">
        <v>75</v>
      </c>
      <c r="G1147" s="69">
        <v>1414.9</v>
      </c>
      <c r="H1147" s="69">
        <v>36303</v>
      </c>
      <c r="I1147" s="67"/>
      <c r="J1147" s="67"/>
      <c r="K1147" s="67"/>
      <c r="L1147" s="67"/>
      <c r="M1147" s="67"/>
      <c r="N1147" s="67"/>
      <c r="O1147" s="67"/>
      <c r="P1147" s="67"/>
      <c r="Q1147" s="67"/>
      <c r="R1147" s="67"/>
      <c r="S1147" s="67"/>
      <c r="T1147" s="67"/>
      <c r="U1147" s="67"/>
      <c r="V1147" s="67"/>
      <c r="W1147" s="67"/>
      <c r="X1147" s="67"/>
      <c r="Y1147" s="67"/>
      <c r="Z1147" s="67"/>
    </row>
    <row r="1148" spans="1:26" ht="12.5">
      <c r="A1148" s="68" t="s">
        <v>2648</v>
      </c>
      <c r="B1148" s="68" t="s">
        <v>2772</v>
      </c>
      <c r="C1148" s="68" t="s">
        <v>2776</v>
      </c>
      <c r="D1148" s="68" t="s">
        <v>20</v>
      </c>
      <c r="E1148" s="69">
        <v>2020</v>
      </c>
      <c r="F1148" s="69">
        <v>60</v>
      </c>
      <c r="G1148" s="69">
        <v>792.6</v>
      </c>
      <c r="H1148" s="69">
        <v>41404</v>
      </c>
      <c r="I1148" s="67"/>
      <c r="J1148" s="67"/>
      <c r="K1148" s="67"/>
      <c r="L1148" s="67"/>
      <c r="M1148" s="67"/>
      <c r="N1148" s="67"/>
      <c r="O1148" s="67"/>
      <c r="P1148" s="67"/>
      <c r="Q1148" s="67"/>
      <c r="R1148" s="67"/>
      <c r="S1148" s="67"/>
      <c r="T1148" s="67"/>
      <c r="U1148" s="67"/>
      <c r="V1148" s="67"/>
      <c r="W1148" s="67"/>
      <c r="X1148" s="67"/>
      <c r="Y1148" s="67"/>
      <c r="Z1148" s="67"/>
    </row>
    <row r="1149" spans="1:26" ht="12.5">
      <c r="A1149" s="68" t="s">
        <v>2648</v>
      </c>
      <c r="B1149" s="68" t="s">
        <v>2772</v>
      </c>
      <c r="C1149" s="68" t="s">
        <v>1043</v>
      </c>
      <c r="D1149" s="68" t="s">
        <v>32</v>
      </c>
      <c r="E1149" s="69">
        <v>2020</v>
      </c>
      <c r="F1149" s="69">
        <v>3</v>
      </c>
      <c r="G1149" s="69">
        <v>246.7</v>
      </c>
      <c r="H1149" s="69">
        <v>9027</v>
      </c>
      <c r="I1149" s="67"/>
      <c r="J1149" s="67"/>
      <c r="K1149" s="67"/>
      <c r="L1149" s="67"/>
      <c r="M1149" s="67"/>
      <c r="N1149" s="67"/>
      <c r="O1149" s="67"/>
      <c r="P1149" s="67"/>
      <c r="Q1149" s="67"/>
      <c r="R1149" s="67"/>
      <c r="S1149" s="67"/>
      <c r="T1149" s="67"/>
      <c r="U1149" s="67"/>
      <c r="V1149" s="67"/>
      <c r="W1149" s="67"/>
      <c r="X1149" s="67"/>
      <c r="Y1149" s="67"/>
      <c r="Z1149" s="67"/>
    </row>
    <row r="1150" spans="1:26" ht="12.5">
      <c r="A1150" s="68" t="s">
        <v>2648</v>
      </c>
      <c r="B1150" s="68" t="s">
        <v>2772</v>
      </c>
      <c r="C1150" s="68" t="s">
        <v>303</v>
      </c>
      <c r="D1150" s="68" t="s">
        <v>32</v>
      </c>
      <c r="E1150" s="69">
        <v>2020</v>
      </c>
      <c r="F1150" s="69">
        <v>10</v>
      </c>
      <c r="G1150" s="69">
        <v>159.1</v>
      </c>
      <c r="H1150" s="69">
        <v>16541</v>
      </c>
      <c r="I1150" s="67"/>
      <c r="J1150" s="67"/>
      <c r="K1150" s="67"/>
      <c r="L1150" s="67"/>
      <c r="M1150" s="67"/>
      <c r="N1150" s="67"/>
      <c r="O1150" s="67"/>
      <c r="P1150" s="67"/>
      <c r="Q1150" s="67"/>
      <c r="R1150" s="67"/>
      <c r="S1150" s="67"/>
      <c r="T1150" s="67"/>
      <c r="U1150" s="67"/>
      <c r="V1150" s="67"/>
      <c r="W1150" s="67"/>
      <c r="X1150" s="67"/>
      <c r="Y1150" s="67"/>
      <c r="Z1150" s="67"/>
    </row>
    <row r="1151" spans="1:26" ht="12.5">
      <c r="A1151" s="68" t="s">
        <v>2648</v>
      </c>
      <c r="B1151" s="68" t="s">
        <v>2772</v>
      </c>
      <c r="C1151" s="68" t="s">
        <v>2782</v>
      </c>
      <c r="D1151" s="68" t="s">
        <v>32</v>
      </c>
      <c r="E1151" s="69">
        <v>2020</v>
      </c>
      <c r="F1151" s="69">
        <v>12</v>
      </c>
      <c r="G1151" s="69">
        <v>466.2</v>
      </c>
      <c r="H1151" s="69">
        <v>9463</v>
      </c>
      <c r="I1151" s="67"/>
      <c r="J1151" s="67"/>
      <c r="K1151" s="67"/>
      <c r="L1151" s="67"/>
      <c r="M1151" s="67"/>
      <c r="N1151" s="67"/>
      <c r="O1151" s="67"/>
      <c r="P1151" s="67"/>
      <c r="Q1151" s="67"/>
      <c r="R1151" s="67"/>
      <c r="S1151" s="67"/>
      <c r="T1151" s="67"/>
      <c r="U1151" s="67"/>
      <c r="V1151" s="67"/>
      <c r="W1151" s="67"/>
      <c r="X1151" s="67"/>
      <c r="Y1151" s="67"/>
      <c r="Z1151" s="67"/>
    </row>
    <row r="1152" spans="1:26" ht="12.5">
      <c r="A1152" s="68" t="s">
        <v>2648</v>
      </c>
      <c r="B1152" s="68" t="s">
        <v>2772</v>
      </c>
      <c r="C1152" s="68" t="s">
        <v>314</v>
      </c>
      <c r="D1152" s="68" t="s">
        <v>32</v>
      </c>
      <c r="E1152" s="69">
        <v>2020</v>
      </c>
      <c r="F1152" s="69">
        <v>17</v>
      </c>
      <c r="G1152" s="69">
        <v>572.29999999999995</v>
      </c>
      <c r="H1152" s="69">
        <v>26834</v>
      </c>
      <c r="I1152" s="67"/>
      <c r="J1152" s="67"/>
      <c r="K1152" s="67"/>
      <c r="L1152" s="67"/>
      <c r="M1152" s="67"/>
      <c r="N1152" s="67"/>
      <c r="O1152" s="67"/>
      <c r="P1152" s="67"/>
      <c r="Q1152" s="67"/>
      <c r="R1152" s="67"/>
      <c r="S1152" s="67"/>
      <c r="T1152" s="67"/>
      <c r="U1152" s="67"/>
      <c r="V1152" s="67"/>
      <c r="W1152" s="67"/>
      <c r="X1152" s="67"/>
      <c r="Y1152" s="67"/>
      <c r="Z1152" s="67"/>
    </row>
    <row r="1153" spans="1:26" ht="12.5">
      <c r="A1153" s="68" t="s">
        <v>2648</v>
      </c>
      <c r="B1153" s="68" t="s">
        <v>2772</v>
      </c>
      <c r="C1153" s="68" t="s">
        <v>2787</v>
      </c>
      <c r="D1153" s="68" t="s">
        <v>32</v>
      </c>
      <c r="E1153" s="69">
        <v>2020</v>
      </c>
      <c r="F1153" s="69">
        <v>20</v>
      </c>
      <c r="G1153" s="69">
        <v>473.6</v>
      </c>
      <c r="H1153" s="69">
        <v>7569</v>
      </c>
      <c r="I1153" s="67"/>
      <c r="J1153" s="67"/>
      <c r="K1153" s="67"/>
      <c r="L1153" s="67"/>
      <c r="M1153" s="67"/>
      <c r="N1153" s="67"/>
      <c r="O1153" s="67"/>
      <c r="P1153" s="67"/>
      <c r="Q1153" s="67"/>
      <c r="R1153" s="67"/>
      <c r="S1153" s="67"/>
      <c r="T1153" s="67"/>
      <c r="U1153" s="67"/>
      <c r="V1153" s="67"/>
      <c r="W1153" s="67"/>
      <c r="X1153" s="67"/>
      <c r="Y1153" s="67"/>
      <c r="Z1153" s="67"/>
    </row>
    <row r="1154" spans="1:26" ht="12.5">
      <c r="A1154" s="68" t="s">
        <v>2648</v>
      </c>
      <c r="B1154" s="68" t="s">
        <v>2772</v>
      </c>
      <c r="C1154" s="68" t="s">
        <v>1028</v>
      </c>
      <c r="D1154" s="68" t="s">
        <v>32</v>
      </c>
      <c r="E1154" s="69">
        <v>2020</v>
      </c>
      <c r="F1154" s="69">
        <v>20</v>
      </c>
      <c r="G1154" s="69">
        <v>389.7</v>
      </c>
      <c r="H1154" s="69">
        <v>11904</v>
      </c>
      <c r="I1154" s="67"/>
      <c r="J1154" s="67"/>
      <c r="K1154" s="67"/>
      <c r="L1154" s="67"/>
      <c r="M1154" s="67"/>
      <c r="N1154" s="67"/>
      <c r="O1154" s="67"/>
      <c r="P1154" s="67"/>
      <c r="Q1154" s="67"/>
      <c r="R1154" s="67"/>
      <c r="S1154" s="67"/>
      <c r="T1154" s="67"/>
      <c r="U1154" s="67"/>
      <c r="V1154" s="67"/>
      <c r="W1154" s="67"/>
      <c r="X1154" s="67"/>
      <c r="Y1154" s="67"/>
      <c r="Z1154" s="67"/>
    </row>
    <row r="1155" spans="1:26" ht="12.5">
      <c r="A1155" s="68" t="s">
        <v>2648</v>
      </c>
      <c r="B1155" s="68" t="s">
        <v>2772</v>
      </c>
      <c r="C1155" s="68" t="s">
        <v>2790</v>
      </c>
      <c r="D1155" s="68" t="s">
        <v>20</v>
      </c>
      <c r="E1155" s="69">
        <v>2020</v>
      </c>
      <c r="F1155" s="69">
        <v>9</v>
      </c>
      <c r="G1155" s="69">
        <v>288.89999999999998</v>
      </c>
      <c r="H1155" s="69">
        <v>38650</v>
      </c>
      <c r="I1155" s="67"/>
      <c r="J1155" s="67"/>
      <c r="K1155" s="67"/>
      <c r="L1155" s="67"/>
      <c r="M1155" s="67"/>
      <c r="N1155" s="67"/>
      <c r="O1155" s="67"/>
      <c r="P1155" s="67"/>
      <c r="Q1155" s="67"/>
      <c r="R1155" s="67"/>
      <c r="S1155" s="67"/>
      <c r="T1155" s="67"/>
      <c r="U1155" s="67"/>
      <c r="V1155" s="67"/>
      <c r="W1155" s="67"/>
      <c r="X1155" s="67"/>
      <c r="Y1155" s="67"/>
      <c r="Z1155" s="67"/>
    </row>
    <row r="1156" spans="1:26" ht="12.5">
      <c r="A1156" s="68" t="s">
        <v>2793</v>
      </c>
      <c r="B1156" s="68" t="s">
        <v>2794</v>
      </c>
      <c r="C1156" s="68" t="s">
        <v>2795</v>
      </c>
      <c r="D1156" s="68" t="s">
        <v>20</v>
      </c>
      <c r="E1156" s="69">
        <v>2020</v>
      </c>
      <c r="F1156" s="69">
        <v>10</v>
      </c>
      <c r="G1156" s="69">
        <v>457.7</v>
      </c>
      <c r="H1156" s="69">
        <v>18062</v>
      </c>
      <c r="I1156" s="67"/>
      <c r="J1156" s="67"/>
      <c r="K1156" s="67"/>
      <c r="L1156" s="67"/>
      <c r="M1156" s="67"/>
      <c r="N1156" s="67"/>
      <c r="O1156" s="67"/>
      <c r="P1156" s="67"/>
      <c r="Q1156" s="67"/>
      <c r="R1156" s="67"/>
      <c r="S1156" s="67"/>
      <c r="T1156" s="67"/>
      <c r="U1156" s="67"/>
      <c r="V1156" s="67"/>
      <c r="W1156" s="67"/>
      <c r="X1156" s="67"/>
      <c r="Y1156" s="67"/>
      <c r="Z1156" s="67"/>
    </row>
    <row r="1157" spans="1:26" ht="12.5">
      <c r="A1157" s="68" t="s">
        <v>2793</v>
      </c>
      <c r="B1157" s="68" t="s">
        <v>2794</v>
      </c>
      <c r="C1157" s="68" t="s">
        <v>2798</v>
      </c>
      <c r="D1157" s="68" t="s">
        <v>28</v>
      </c>
      <c r="E1157" s="69">
        <v>2020</v>
      </c>
      <c r="F1157" s="69">
        <v>10</v>
      </c>
      <c r="G1157" s="69">
        <v>325.2</v>
      </c>
      <c r="H1157" s="69">
        <v>3665</v>
      </c>
      <c r="I1157" s="67"/>
      <c r="J1157" s="67"/>
      <c r="K1157" s="67"/>
      <c r="L1157" s="67"/>
      <c r="M1157" s="67"/>
      <c r="N1157" s="67"/>
      <c r="O1157" s="67"/>
      <c r="P1157" s="67"/>
      <c r="Q1157" s="67"/>
      <c r="R1157" s="67"/>
      <c r="S1157" s="67"/>
      <c r="T1157" s="67"/>
      <c r="U1157" s="67"/>
      <c r="V1157" s="67"/>
      <c r="W1157" s="67"/>
      <c r="X1157" s="67"/>
      <c r="Y1157" s="67"/>
      <c r="Z1157" s="67"/>
    </row>
    <row r="1158" spans="1:26" ht="12.5">
      <c r="A1158" s="68" t="s">
        <v>2793</v>
      </c>
      <c r="B1158" s="68" t="s">
        <v>2794</v>
      </c>
      <c r="C1158" s="68" t="s">
        <v>2800</v>
      </c>
      <c r="D1158" s="68" t="s">
        <v>32</v>
      </c>
      <c r="E1158" s="69">
        <v>2020</v>
      </c>
      <c r="F1158" s="69">
        <v>34</v>
      </c>
      <c r="G1158" s="69">
        <v>865.4</v>
      </c>
      <c r="H1158" s="69">
        <v>16239</v>
      </c>
      <c r="I1158" s="67"/>
      <c r="J1158" s="67"/>
      <c r="K1158" s="67"/>
      <c r="L1158" s="67"/>
      <c r="M1158" s="67"/>
      <c r="N1158" s="67"/>
      <c r="O1158" s="67"/>
      <c r="P1158" s="67"/>
      <c r="Q1158" s="67"/>
      <c r="R1158" s="67"/>
      <c r="S1158" s="67"/>
      <c r="T1158" s="67"/>
      <c r="U1158" s="67"/>
      <c r="V1158" s="67"/>
      <c r="W1158" s="67"/>
      <c r="X1158" s="67"/>
      <c r="Y1158" s="67"/>
      <c r="Z1158" s="67"/>
    </row>
    <row r="1159" spans="1:26" ht="12.5">
      <c r="A1159" s="68" t="s">
        <v>2793</v>
      </c>
      <c r="B1159" s="68" t="s">
        <v>2794</v>
      </c>
      <c r="C1159" s="68" t="s">
        <v>2803</v>
      </c>
      <c r="D1159" s="68" t="s">
        <v>32</v>
      </c>
      <c r="E1159" s="69">
        <v>2020</v>
      </c>
      <c r="F1159" s="69">
        <v>22</v>
      </c>
      <c r="G1159" s="69">
        <v>494.9</v>
      </c>
      <c r="H1159" s="69">
        <v>11002</v>
      </c>
      <c r="I1159" s="67"/>
      <c r="J1159" s="67"/>
      <c r="K1159" s="67"/>
      <c r="L1159" s="67"/>
      <c r="M1159" s="67"/>
      <c r="N1159" s="67"/>
      <c r="O1159" s="67"/>
      <c r="P1159" s="67"/>
      <c r="Q1159" s="67"/>
      <c r="R1159" s="67"/>
      <c r="S1159" s="67"/>
      <c r="T1159" s="67"/>
      <c r="U1159" s="67"/>
      <c r="V1159" s="67"/>
      <c r="W1159" s="67"/>
      <c r="X1159" s="67"/>
      <c r="Y1159" s="67"/>
      <c r="Z1159" s="67"/>
    </row>
    <row r="1160" spans="1:26" ht="12.5">
      <c r="A1160" s="68" t="s">
        <v>2793</v>
      </c>
      <c r="B1160" s="68" t="s">
        <v>2794</v>
      </c>
      <c r="C1160" s="68" t="s">
        <v>158</v>
      </c>
      <c r="D1160" s="68" t="s">
        <v>32</v>
      </c>
      <c r="E1160" s="69">
        <v>2020</v>
      </c>
      <c r="F1160" s="69">
        <v>12</v>
      </c>
      <c r="G1160" s="69">
        <v>197.3</v>
      </c>
      <c r="H1160" s="69">
        <v>3402</v>
      </c>
      <c r="I1160" s="67"/>
      <c r="J1160" s="67"/>
      <c r="K1160" s="67"/>
      <c r="L1160" s="67"/>
      <c r="M1160" s="67"/>
      <c r="N1160" s="67"/>
      <c r="O1160" s="67"/>
      <c r="P1160" s="67"/>
      <c r="Q1160" s="67"/>
      <c r="R1160" s="67"/>
      <c r="S1160" s="67"/>
      <c r="T1160" s="67"/>
      <c r="U1160" s="67"/>
      <c r="V1160" s="67"/>
      <c r="W1160" s="67"/>
      <c r="X1160" s="67"/>
      <c r="Y1160" s="67"/>
      <c r="Z1160" s="67"/>
    </row>
    <row r="1161" spans="1:26" ht="12.5">
      <c r="A1161" s="68" t="s">
        <v>2793</v>
      </c>
      <c r="B1161" s="68" t="s">
        <v>2794</v>
      </c>
      <c r="C1161" s="68" t="s">
        <v>2807</v>
      </c>
      <c r="D1161" s="68" t="s">
        <v>28</v>
      </c>
      <c r="E1161" s="69">
        <v>2020</v>
      </c>
      <c r="F1161" s="69">
        <v>14</v>
      </c>
      <c r="G1161" s="69">
        <v>206.1</v>
      </c>
      <c r="H1161" s="69">
        <v>2898</v>
      </c>
      <c r="I1161" s="67"/>
      <c r="J1161" s="67"/>
      <c r="K1161" s="67"/>
      <c r="L1161" s="67"/>
      <c r="M1161" s="67"/>
      <c r="N1161" s="67"/>
      <c r="O1161" s="67"/>
      <c r="P1161" s="67"/>
      <c r="Q1161" s="67"/>
      <c r="R1161" s="67"/>
      <c r="S1161" s="67"/>
      <c r="T1161" s="67"/>
      <c r="U1161" s="67"/>
      <c r="V1161" s="67"/>
      <c r="W1161" s="67"/>
      <c r="X1161" s="67"/>
      <c r="Y1161" s="67"/>
      <c r="Z1161" s="67"/>
    </row>
    <row r="1162" spans="1:26" ht="12.5">
      <c r="A1162" s="68" t="s">
        <v>2793</v>
      </c>
      <c r="B1162" s="68" t="s">
        <v>2794</v>
      </c>
      <c r="C1162" s="68" t="s">
        <v>2810</v>
      </c>
      <c r="D1162" s="68" t="s">
        <v>28</v>
      </c>
      <c r="E1162" s="69">
        <v>2020</v>
      </c>
      <c r="F1162" s="69">
        <v>10</v>
      </c>
      <c r="G1162" s="69">
        <v>551.4</v>
      </c>
      <c r="H1162" s="69">
        <v>6799</v>
      </c>
      <c r="I1162" s="67"/>
      <c r="J1162" s="67"/>
      <c r="K1162" s="67"/>
      <c r="L1162" s="67"/>
      <c r="M1162" s="67"/>
      <c r="N1162" s="67"/>
      <c r="O1162" s="67"/>
      <c r="P1162" s="67"/>
      <c r="Q1162" s="67"/>
      <c r="R1162" s="67"/>
      <c r="S1162" s="67"/>
      <c r="T1162" s="67"/>
      <c r="U1162" s="67"/>
      <c r="V1162" s="67"/>
      <c r="W1162" s="67"/>
      <c r="X1162" s="67"/>
      <c r="Y1162" s="67"/>
      <c r="Z1162" s="67"/>
    </row>
    <row r="1163" spans="1:26" ht="12.5">
      <c r="A1163" s="68" t="s">
        <v>2793</v>
      </c>
      <c r="B1163" s="68" t="s">
        <v>2794</v>
      </c>
      <c r="C1163" s="68" t="s">
        <v>2812</v>
      </c>
      <c r="D1163" s="68" t="s">
        <v>32</v>
      </c>
      <c r="E1163" s="69">
        <v>2020</v>
      </c>
      <c r="F1163" s="69">
        <v>10</v>
      </c>
      <c r="G1163" s="69">
        <v>465.4</v>
      </c>
      <c r="H1163" s="69">
        <v>12343</v>
      </c>
      <c r="I1163" s="67"/>
      <c r="J1163" s="67"/>
      <c r="K1163" s="67"/>
      <c r="L1163" s="67"/>
      <c r="M1163" s="67"/>
      <c r="N1163" s="67"/>
      <c r="O1163" s="67"/>
      <c r="P1163" s="67"/>
      <c r="Q1163" s="67"/>
      <c r="R1163" s="67"/>
      <c r="S1163" s="67"/>
      <c r="T1163" s="67"/>
      <c r="U1163" s="67"/>
      <c r="V1163" s="67"/>
      <c r="W1163" s="67"/>
      <c r="X1163" s="67"/>
      <c r="Y1163" s="67"/>
      <c r="Z1163" s="67"/>
    </row>
    <row r="1164" spans="1:26" ht="12.5">
      <c r="A1164" s="68" t="s">
        <v>2793</v>
      </c>
      <c r="B1164" s="68" t="s">
        <v>2794</v>
      </c>
      <c r="C1164" s="68" t="s">
        <v>301</v>
      </c>
      <c r="D1164" s="68" t="s">
        <v>28</v>
      </c>
      <c r="E1164" s="69">
        <v>2020</v>
      </c>
      <c r="F1164" s="69">
        <v>9</v>
      </c>
      <c r="G1164" s="69">
        <v>407.9</v>
      </c>
      <c r="H1164" s="69">
        <v>5947</v>
      </c>
      <c r="I1164" s="67"/>
      <c r="J1164" s="67"/>
      <c r="K1164" s="67"/>
      <c r="L1164" s="67"/>
      <c r="M1164" s="67"/>
      <c r="N1164" s="67"/>
      <c r="O1164" s="67"/>
      <c r="P1164" s="67"/>
      <c r="Q1164" s="67"/>
      <c r="R1164" s="67"/>
      <c r="S1164" s="67"/>
      <c r="T1164" s="67"/>
      <c r="U1164" s="67"/>
      <c r="V1164" s="67"/>
      <c r="W1164" s="67"/>
      <c r="X1164" s="67"/>
      <c r="Y1164" s="67"/>
      <c r="Z1164" s="67"/>
    </row>
    <row r="1165" spans="1:26" ht="12.5">
      <c r="A1165" s="68" t="s">
        <v>2793</v>
      </c>
      <c r="B1165" s="68" t="s">
        <v>2794</v>
      </c>
      <c r="C1165" s="68" t="s">
        <v>2817</v>
      </c>
      <c r="D1165" s="68" t="s">
        <v>28</v>
      </c>
      <c r="E1165" s="69">
        <v>2020</v>
      </c>
      <c r="F1165" s="69">
        <v>9</v>
      </c>
      <c r="G1165" s="69">
        <v>351.5</v>
      </c>
      <c r="H1165" s="69">
        <v>5822</v>
      </c>
      <c r="I1165" s="67"/>
      <c r="J1165" s="67"/>
      <c r="K1165" s="67"/>
      <c r="L1165" s="67"/>
      <c r="M1165" s="67"/>
      <c r="N1165" s="67"/>
      <c r="O1165" s="67"/>
      <c r="P1165" s="67"/>
      <c r="Q1165" s="67"/>
      <c r="R1165" s="67"/>
      <c r="S1165" s="67"/>
      <c r="T1165" s="67"/>
      <c r="U1165" s="67"/>
      <c r="V1165" s="67"/>
      <c r="W1165" s="67"/>
      <c r="X1165" s="67"/>
      <c r="Y1165" s="67"/>
      <c r="Z1165" s="67"/>
    </row>
    <row r="1166" spans="1:26" ht="12.5">
      <c r="A1166" s="68" t="s">
        <v>2793</v>
      </c>
      <c r="B1166" s="68" t="s">
        <v>2794</v>
      </c>
      <c r="C1166" s="68" t="s">
        <v>2819</v>
      </c>
      <c r="D1166" s="68" t="s">
        <v>28</v>
      </c>
      <c r="E1166" s="69">
        <v>2020</v>
      </c>
      <c r="F1166" s="69">
        <v>11</v>
      </c>
      <c r="G1166" s="69">
        <v>424.3</v>
      </c>
      <c r="H1166" s="69">
        <v>9788</v>
      </c>
      <c r="I1166" s="67"/>
      <c r="J1166" s="67"/>
      <c r="K1166" s="67"/>
      <c r="L1166" s="67"/>
      <c r="M1166" s="67"/>
      <c r="N1166" s="67"/>
      <c r="O1166" s="67"/>
      <c r="P1166" s="67"/>
      <c r="Q1166" s="67"/>
      <c r="R1166" s="67"/>
      <c r="S1166" s="67"/>
      <c r="T1166" s="67"/>
      <c r="U1166" s="67"/>
      <c r="V1166" s="67"/>
      <c r="W1166" s="67"/>
      <c r="X1166" s="67"/>
      <c r="Y1166" s="67"/>
      <c r="Z1166" s="67"/>
    </row>
    <row r="1167" spans="1:26" ht="12.5">
      <c r="A1167" s="68" t="s">
        <v>2793</v>
      </c>
      <c r="B1167" s="68" t="s">
        <v>2822</v>
      </c>
      <c r="C1167" s="68" t="s">
        <v>152</v>
      </c>
      <c r="D1167" s="68" t="s">
        <v>32</v>
      </c>
      <c r="E1167" s="69">
        <v>2020</v>
      </c>
      <c r="F1167" s="69">
        <v>28</v>
      </c>
      <c r="G1167" s="69">
        <v>1119.3</v>
      </c>
      <c r="H1167" s="69">
        <v>12995</v>
      </c>
      <c r="I1167" s="67"/>
      <c r="J1167" s="67"/>
      <c r="K1167" s="67"/>
      <c r="L1167" s="67"/>
      <c r="M1167" s="67"/>
      <c r="N1167" s="67"/>
      <c r="O1167" s="67"/>
      <c r="P1167" s="67"/>
      <c r="Q1167" s="67"/>
      <c r="R1167" s="67"/>
      <c r="S1167" s="67"/>
      <c r="T1167" s="67"/>
      <c r="U1167" s="67"/>
      <c r="V1167" s="67"/>
      <c r="W1167" s="67"/>
      <c r="X1167" s="67"/>
      <c r="Y1167" s="67"/>
      <c r="Z1167" s="67"/>
    </row>
    <row r="1168" spans="1:26" ht="12.5">
      <c r="A1168" s="68" t="s">
        <v>2793</v>
      </c>
      <c r="B1168" s="68" t="s">
        <v>2822</v>
      </c>
      <c r="C1168" s="68" t="s">
        <v>2824</v>
      </c>
      <c r="D1168" s="68" t="s">
        <v>20</v>
      </c>
      <c r="E1168" s="69">
        <v>2020</v>
      </c>
      <c r="F1168" s="69">
        <v>68</v>
      </c>
      <c r="G1168" s="69">
        <v>2497.1</v>
      </c>
      <c r="H1168" s="69">
        <v>57846</v>
      </c>
      <c r="I1168" s="67"/>
      <c r="J1168" s="67"/>
      <c r="K1168" s="67"/>
      <c r="L1168" s="67"/>
      <c r="M1168" s="67"/>
      <c r="N1168" s="67"/>
      <c r="O1168" s="67"/>
      <c r="P1168" s="67"/>
      <c r="Q1168" s="67"/>
      <c r="R1168" s="67"/>
      <c r="S1168" s="67"/>
      <c r="T1168" s="67"/>
      <c r="U1168" s="67"/>
      <c r="V1168" s="67"/>
      <c r="W1168" s="67"/>
      <c r="X1168" s="67"/>
      <c r="Y1168" s="67"/>
      <c r="Z1168" s="67"/>
    </row>
    <row r="1169" spans="1:26" ht="12.5">
      <c r="A1169" s="68" t="s">
        <v>2793</v>
      </c>
      <c r="B1169" s="68" t="s">
        <v>2822</v>
      </c>
      <c r="C1169" s="68" t="s">
        <v>2827</v>
      </c>
      <c r="D1169" s="68" t="s">
        <v>32</v>
      </c>
      <c r="E1169" s="69">
        <v>2020</v>
      </c>
      <c r="F1169" s="69">
        <v>25</v>
      </c>
      <c r="G1169" s="69">
        <v>1207.8</v>
      </c>
      <c r="H1169" s="69">
        <v>14736</v>
      </c>
      <c r="I1169" s="67"/>
      <c r="J1169" s="67"/>
      <c r="K1169" s="67"/>
      <c r="L1169" s="67"/>
      <c r="M1169" s="67"/>
      <c r="N1169" s="67"/>
      <c r="O1169" s="67"/>
      <c r="P1169" s="67"/>
      <c r="Q1169" s="67"/>
      <c r="R1169" s="67"/>
      <c r="S1169" s="67"/>
      <c r="T1169" s="67"/>
      <c r="U1169" s="67"/>
      <c r="V1169" s="67"/>
      <c r="W1169" s="67"/>
      <c r="X1169" s="67"/>
      <c r="Y1169" s="67"/>
      <c r="Z1169" s="67"/>
    </row>
    <row r="1170" spans="1:26" ht="12.5">
      <c r="A1170" s="68" t="s">
        <v>2793</v>
      </c>
      <c r="B1170" s="68" t="s">
        <v>2822</v>
      </c>
      <c r="C1170" s="68" t="s">
        <v>2830</v>
      </c>
      <c r="D1170" s="68" t="s">
        <v>32</v>
      </c>
      <c r="E1170" s="69">
        <v>2020</v>
      </c>
      <c r="F1170" s="69">
        <v>44</v>
      </c>
      <c r="G1170" s="69">
        <v>2296.3000000000002</v>
      </c>
      <c r="H1170" s="69">
        <v>34324</v>
      </c>
      <c r="I1170" s="67"/>
      <c r="J1170" s="67"/>
      <c r="K1170" s="67"/>
      <c r="L1170" s="67"/>
      <c r="M1170" s="67"/>
      <c r="N1170" s="67"/>
      <c r="O1170" s="67"/>
      <c r="P1170" s="67"/>
      <c r="Q1170" s="67"/>
      <c r="R1170" s="67"/>
      <c r="S1170" s="67"/>
      <c r="T1170" s="67"/>
      <c r="U1170" s="67"/>
      <c r="V1170" s="67"/>
      <c r="W1170" s="67"/>
      <c r="X1170" s="67"/>
      <c r="Y1170" s="67"/>
      <c r="Z1170" s="67"/>
    </row>
    <row r="1171" spans="1:26" ht="12.5">
      <c r="A1171" s="68" t="s">
        <v>2793</v>
      </c>
      <c r="B1171" s="68" t="s">
        <v>2833</v>
      </c>
      <c r="C1171" s="68" t="s">
        <v>2834</v>
      </c>
      <c r="D1171" s="68" t="s">
        <v>32</v>
      </c>
      <c r="E1171" s="69">
        <v>2020</v>
      </c>
      <c r="F1171" s="69">
        <v>9</v>
      </c>
      <c r="G1171" s="69">
        <v>400.4</v>
      </c>
      <c r="H1171" s="69">
        <v>6336</v>
      </c>
      <c r="I1171" s="67"/>
      <c r="J1171" s="67"/>
      <c r="K1171" s="67"/>
      <c r="L1171" s="67"/>
      <c r="M1171" s="67"/>
      <c r="N1171" s="67"/>
      <c r="O1171" s="67"/>
      <c r="P1171" s="67"/>
      <c r="Q1171" s="67"/>
      <c r="R1171" s="67"/>
      <c r="S1171" s="67"/>
      <c r="T1171" s="67"/>
      <c r="U1171" s="67"/>
      <c r="V1171" s="67"/>
      <c r="W1171" s="67"/>
      <c r="X1171" s="67"/>
      <c r="Y1171" s="67"/>
      <c r="Z1171" s="67"/>
    </row>
    <row r="1172" spans="1:26" ht="12.5">
      <c r="A1172" s="68" t="s">
        <v>2793</v>
      </c>
      <c r="B1172" s="68" t="s">
        <v>2833</v>
      </c>
      <c r="C1172" s="68" t="s">
        <v>2836</v>
      </c>
      <c r="D1172" s="68" t="s">
        <v>32</v>
      </c>
      <c r="E1172" s="69">
        <v>2020</v>
      </c>
      <c r="F1172" s="69">
        <v>8</v>
      </c>
      <c r="G1172" s="69">
        <v>630.5</v>
      </c>
      <c r="H1172" s="69">
        <v>11755</v>
      </c>
      <c r="I1172" s="67"/>
      <c r="J1172" s="67"/>
      <c r="K1172" s="67"/>
      <c r="L1172" s="67"/>
      <c r="M1172" s="67"/>
      <c r="N1172" s="67"/>
      <c r="O1172" s="67"/>
      <c r="P1172" s="67"/>
      <c r="Q1172" s="67"/>
      <c r="R1172" s="67"/>
      <c r="S1172" s="67"/>
      <c r="T1172" s="67"/>
      <c r="U1172" s="67"/>
      <c r="V1172" s="67"/>
      <c r="W1172" s="67"/>
      <c r="X1172" s="67"/>
      <c r="Y1172" s="67"/>
      <c r="Z1172" s="67"/>
    </row>
    <row r="1173" spans="1:26" ht="12.5">
      <c r="A1173" s="68" t="s">
        <v>2793</v>
      </c>
      <c r="B1173" s="68" t="s">
        <v>2833</v>
      </c>
      <c r="C1173" s="68" t="s">
        <v>2839</v>
      </c>
      <c r="D1173" s="68" t="s">
        <v>32</v>
      </c>
      <c r="E1173" s="69">
        <v>2020</v>
      </c>
      <c r="F1173" s="69">
        <v>21</v>
      </c>
      <c r="G1173" s="69">
        <v>914.3</v>
      </c>
      <c r="H1173" s="69">
        <v>11059</v>
      </c>
      <c r="I1173" s="67"/>
      <c r="J1173" s="67"/>
      <c r="K1173" s="67"/>
      <c r="L1173" s="67"/>
      <c r="M1173" s="67"/>
      <c r="N1173" s="67"/>
      <c r="O1173" s="67"/>
      <c r="P1173" s="67"/>
      <c r="Q1173" s="67"/>
      <c r="R1173" s="67"/>
      <c r="S1173" s="67"/>
      <c r="T1173" s="67"/>
      <c r="U1173" s="67"/>
      <c r="V1173" s="67"/>
      <c r="W1173" s="67"/>
      <c r="X1173" s="67"/>
      <c r="Y1173" s="67"/>
      <c r="Z1173" s="67"/>
    </row>
    <row r="1174" spans="1:26" ht="12.5">
      <c r="A1174" s="68" t="s">
        <v>2793</v>
      </c>
      <c r="B1174" s="68" t="s">
        <v>2833</v>
      </c>
      <c r="C1174" s="68" t="s">
        <v>2842</v>
      </c>
      <c r="D1174" s="68" t="s">
        <v>32</v>
      </c>
      <c r="E1174" s="69">
        <v>2020</v>
      </c>
      <c r="F1174" s="69">
        <v>20</v>
      </c>
      <c r="G1174" s="69">
        <v>757.2</v>
      </c>
      <c r="H1174" s="69">
        <v>14885</v>
      </c>
      <c r="I1174" s="67"/>
      <c r="J1174" s="67"/>
      <c r="K1174" s="67"/>
      <c r="L1174" s="67"/>
      <c r="M1174" s="67"/>
      <c r="N1174" s="67"/>
      <c r="O1174" s="67"/>
      <c r="P1174" s="67"/>
      <c r="Q1174" s="67"/>
      <c r="R1174" s="67"/>
      <c r="S1174" s="67"/>
      <c r="T1174" s="67"/>
      <c r="U1174" s="67"/>
      <c r="V1174" s="67"/>
      <c r="W1174" s="67"/>
      <c r="X1174" s="67"/>
      <c r="Y1174" s="67"/>
      <c r="Z1174" s="67"/>
    </row>
    <row r="1175" spans="1:26" ht="12.5">
      <c r="A1175" s="68" t="s">
        <v>2793</v>
      </c>
      <c r="B1175" s="68" t="s">
        <v>2833</v>
      </c>
      <c r="C1175" s="68" t="s">
        <v>2844</v>
      </c>
      <c r="D1175" s="68" t="s">
        <v>28</v>
      </c>
      <c r="E1175" s="69">
        <v>2020</v>
      </c>
      <c r="F1175" s="69">
        <v>17</v>
      </c>
      <c r="G1175" s="69">
        <v>491.5</v>
      </c>
      <c r="H1175" s="69">
        <v>8195</v>
      </c>
      <c r="I1175" s="67"/>
      <c r="J1175" s="67"/>
      <c r="K1175" s="67"/>
      <c r="L1175" s="67"/>
      <c r="M1175" s="67"/>
      <c r="N1175" s="67"/>
      <c r="O1175" s="67"/>
      <c r="P1175" s="67"/>
      <c r="Q1175" s="67"/>
      <c r="R1175" s="67"/>
      <c r="S1175" s="67"/>
      <c r="T1175" s="67"/>
      <c r="U1175" s="67"/>
      <c r="V1175" s="67"/>
      <c r="W1175" s="67"/>
      <c r="X1175" s="67"/>
      <c r="Y1175" s="67"/>
      <c r="Z1175" s="67"/>
    </row>
    <row r="1176" spans="1:26" ht="12.5">
      <c r="A1176" s="68" t="s">
        <v>2793</v>
      </c>
      <c r="B1176" s="68" t="s">
        <v>2833</v>
      </c>
      <c r="C1176" s="68" t="s">
        <v>2846</v>
      </c>
      <c r="D1176" s="68" t="s">
        <v>20</v>
      </c>
      <c r="E1176" s="69">
        <v>2020</v>
      </c>
      <c r="F1176" s="69">
        <v>5</v>
      </c>
      <c r="G1176" s="69">
        <v>195.4</v>
      </c>
      <c r="H1176" s="69">
        <v>43063</v>
      </c>
      <c r="I1176" s="67"/>
      <c r="J1176" s="67"/>
      <c r="K1176" s="67"/>
      <c r="L1176" s="67"/>
      <c r="M1176" s="67"/>
      <c r="N1176" s="67"/>
      <c r="O1176" s="67"/>
      <c r="P1176" s="67"/>
      <c r="Q1176" s="67"/>
      <c r="R1176" s="67"/>
      <c r="S1176" s="67"/>
      <c r="T1176" s="67"/>
      <c r="U1176" s="67"/>
      <c r="V1176" s="67"/>
      <c r="W1176" s="67"/>
      <c r="X1176" s="67"/>
      <c r="Y1176" s="67"/>
      <c r="Z1176" s="67"/>
    </row>
    <row r="1177" spans="1:26" ht="12.5">
      <c r="A1177" s="68" t="s">
        <v>2793</v>
      </c>
      <c r="B1177" s="68" t="s">
        <v>2833</v>
      </c>
      <c r="C1177" s="68" t="s">
        <v>512</v>
      </c>
      <c r="D1177" s="68" t="s">
        <v>28</v>
      </c>
      <c r="E1177" s="69">
        <v>2020</v>
      </c>
      <c r="F1177" s="69">
        <v>9</v>
      </c>
      <c r="G1177" s="69">
        <v>259.39999999999998</v>
      </c>
      <c r="H1177" s="69">
        <v>3905</v>
      </c>
      <c r="I1177" s="67"/>
      <c r="J1177" s="67"/>
      <c r="K1177" s="67"/>
      <c r="L1177" s="67"/>
      <c r="M1177" s="67"/>
      <c r="N1177" s="67"/>
      <c r="O1177" s="67"/>
      <c r="P1177" s="67"/>
      <c r="Q1177" s="67"/>
      <c r="R1177" s="67"/>
      <c r="S1177" s="67"/>
      <c r="T1177" s="67"/>
      <c r="U1177" s="67"/>
      <c r="V1177" s="67"/>
      <c r="W1177" s="67"/>
      <c r="X1177" s="67"/>
      <c r="Y1177" s="67"/>
      <c r="Z1177" s="67"/>
    </row>
    <row r="1178" spans="1:26" ht="12.5">
      <c r="A1178" s="68" t="s">
        <v>2793</v>
      </c>
      <c r="B1178" s="68" t="s">
        <v>2833</v>
      </c>
      <c r="C1178" s="68" t="s">
        <v>293</v>
      </c>
      <c r="D1178" s="68" t="s">
        <v>32</v>
      </c>
      <c r="E1178" s="69">
        <v>2020</v>
      </c>
      <c r="F1178" s="69">
        <v>6</v>
      </c>
      <c r="G1178" s="69">
        <v>234.6</v>
      </c>
      <c r="H1178" s="69">
        <v>7579</v>
      </c>
      <c r="I1178" s="67"/>
      <c r="J1178" s="67"/>
      <c r="K1178" s="67"/>
      <c r="L1178" s="67"/>
      <c r="M1178" s="67"/>
      <c r="N1178" s="67"/>
      <c r="O1178" s="67"/>
      <c r="P1178" s="67"/>
      <c r="Q1178" s="67"/>
      <c r="R1178" s="67"/>
      <c r="S1178" s="67"/>
      <c r="T1178" s="67"/>
      <c r="U1178" s="67"/>
      <c r="V1178" s="67"/>
      <c r="W1178" s="67"/>
      <c r="X1178" s="67"/>
      <c r="Y1178" s="67"/>
      <c r="Z1178" s="67"/>
    </row>
    <row r="1179" spans="1:26" ht="12.5">
      <c r="A1179" s="68" t="s">
        <v>2793</v>
      </c>
      <c r="B1179" s="68" t="s">
        <v>2833</v>
      </c>
      <c r="C1179" s="68" t="s">
        <v>2851</v>
      </c>
      <c r="D1179" s="68" t="s">
        <v>20</v>
      </c>
      <c r="E1179" s="69">
        <v>2020</v>
      </c>
      <c r="F1179" s="69">
        <v>11</v>
      </c>
      <c r="G1179" s="69">
        <v>241</v>
      </c>
      <c r="H1179" s="69">
        <v>59749</v>
      </c>
      <c r="I1179" s="67"/>
      <c r="J1179" s="67"/>
      <c r="K1179" s="67"/>
      <c r="L1179" s="67"/>
      <c r="M1179" s="67"/>
      <c r="N1179" s="67"/>
      <c r="O1179" s="67"/>
      <c r="P1179" s="67"/>
      <c r="Q1179" s="67"/>
      <c r="R1179" s="67"/>
      <c r="S1179" s="67"/>
      <c r="T1179" s="67"/>
      <c r="U1179" s="67"/>
      <c r="V1179" s="67"/>
      <c r="W1179" s="67"/>
      <c r="X1179" s="67"/>
      <c r="Y1179" s="67"/>
      <c r="Z1179" s="67"/>
    </row>
    <row r="1180" spans="1:26" ht="12.5">
      <c r="A1180" s="68" t="s">
        <v>2793</v>
      </c>
      <c r="B1180" s="68" t="s">
        <v>2833</v>
      </c>
      <c r="C1180" s="68" t="s">
        <v>2854</v>
      </c>
      <c r="D1180" s="68" t="s">
        <v>28</v>
      </c>
      <c r="E1180" s="69">
        <v>2020</v>
      </c>
      <c r="F1180" s="69">
        <v>5</v>
      </c>
      <c r="G1180" s="69">
        <v>398.7</v>
      </c>
      <c r="H1180" s="69">
        <v>4816</v>
      </c>
      <c r="I1180" s="67"/>
      <c r="J1180" s="67"/>
      <c r="K1180" s="67"/>
      <c r="L1180" s="67"/>
      <c r="M1180" s="67"/>
      <c r="N1180" s="67"/>
      <c r="O1180" s="67"/>
      <c r="P1180" s="67"/>
      <c r="Q1180" s="67"/>
      <c r="R1180" s="67"/>
      <c r="S1180" s="67"/>
      <c r="T1180" s="67"/>
      <c r="U1180" s="67"/>
      <c r="V1180" s="67"/>
      <c r="W1180" s="67"/>
      <c r="X1180" s="67"/>
      <c r="Y1180" s="67"/>
      <c r="Z1180" s="67"/>
    </row>
    <row r="1181" spans="1:26" ht="12.5">
      <c r="A1181" s="68" t="s">
        <v>2793</v>
      </c>
      <c r="B1181" s="68" t="s">
        <v>2833</v>
      </c>
      <c r="C1181" s="68" t="s">
        <v>2856</v>
      </c>
      <c r="D1181" s="68" t="s">
        <v>28</v>
      </c>
      <c r="E1181" s="69">
        <v>2020</v>
      </c>
      <c r="F1181" s="69">
        <v>5</v>
      </c>
      <c r="G1181" s="69">
        <v>368.7</v>
      </c>
      <c r="H1181" s="69">
        <v>3923</v>
      </c>
      <c r="I1181" s="67"/>
      <c r="J1181" s="67"/>
      <c r="K1181" s="67"/>
      <c r="L1181" s="67"/>
      <c r="M1181" s="67"/>
      <c r="N1181" s="67"/>
      <c r="O1181" s="67"/>
      <c r="P1181" s="67"/>
      <c r="Q1181" s="67"/>
      <c r="R1181" s="67"/>
      <c r="S1181" s="67"/>
      <c r="T1181" s="67"/>
      <c r="U1181" s="67"/>
      <c r="V1181" s="67"/>
      <c r="W1181" s="67"/>
      <c r="X1181" s="67"/>
      <c r="Y1181" s="67"/>
      <c r="Z1181" s="67"/>
    </row>
    <row r="1182" spans="1:26" ht="12.5">
      <c r="A1182" s="68" t="s">
        <v>2793</v>
      </c>
      <c r="B1182" s="68" t="s">
        <v>2833</v>
      </c>
      <c r="C1182" s="68" t="s">
        <v>2859</v>
      </c>
      <c r="D1182" s="68" t="s">
        <v>28</v>
      </c>
      <c r="E1182" s="69">
        <v>2020</v>
      </c>
      <c r="F1182" s="69">
        <v>11</v>
      </c>
      <c r="G1182" s="69">
        <v>332.6</v>
      </c>
      <c r="H1182" s="69">
        <v>4912</v>
      </c>
      <c r="I1182" s="67"/>
      <c r="J1182" s="67"/>
      <c r="K1182" s="67"/>
      <c r="L1182" s="67"/>
      <c r="M1182" s="67"/>
      <c r="N1182" s="67"/>
      <c r="O1182" s="67"/>
      <c r="P1182" s="67"/>
      <c r="Q1182" s="67"/>
      <c r="R1182" s="67"/>
      <c r="S1182" s="67"/>
      <c r="T1182" s="67"/>
      <c r="U1182" s="67"/>
      <c r="V1182" s="67"/>
      <c r="W1182" s="67"/>
      <c r="X1182" s="67"/>
      <c r="Y1182" s="67"/>
      <c r="Z1182" s="67"/>
    </row>
    <row r="1183" spans="1:26" ht="12.5">
      <c r="A1183" s="68" t="s">
        <v>2793</v>
      </c>
      <c r="B1183" s="68" t="s">
        <v>2833</v>
      </c>
      <c r="C1183" s="68" t="s">
        <v>995</v>
      </c>
      <c r="D1183" s="68" t="s">
        <v>20</v>
      </c>
      <c r="E1183" s="69">
        <v>2020</v>
      </c>
      <c r="F1183" s="69">
        <v>8</v>
      </c>
      <c r="G1183" s="69">
        <v>250.7</v>
      </c>
      <c r="H1183" s="69">
        <v>16992</v>
      </c>
      <c r="I1183" s="67"/>
      <c r="J1183" s="67"/>
      <c r="K1183" s="67"/>
      <c r="L1183" s="67"/>
      <c r="M1183" s="67"/>
      <c r="N1183" s="67"/>
      <c r="O1183" s="67"/>
      <c r="P1183" s="67"/>
      <c r="Q1183" s="67"/>
      <c r="R1183" s="67"/>
      <c r="S1183" s="67"/>
      <c r="T1183" s="67"/>
      <c r="U1183" s="67"/>
      <c r="V1183" s="67"/>
      <c r="W1183" s="67"/>
      <c r="X1183" s="67"/>
      <c r="Y1183" s="67"/>
      <c r="Z1183" s="67"/>
    </row>
    <row r="1184" spans="1:26" ht="12.5">
      <c r="A1184" s="68" t="s">
        <v>2793</v>
      </c>
      <c r="B1184" s="68" t="s">
        <v>2833</v>
      </c>
      <c r="C1184" s="68" t="s">
        <v>2862</v>
      </c>
      <c r="D1184" s="68" t="s">
        <v>28</v>
      </c>
      <c r="E1184" s="69">
        <v>2020</v>
      </c>
      <c r="F1184" s="69">
        <v>9</v>
      </c>
      <c r="G1184" s="69">
        <v>274.60000000000002</v>
      </c>
      <c r="H1184" s="69">
        <v>5394</v>
      </c>
      <c r="I1184" s="67"/>
      <c r="J1184" s="67"/>
      <c r="K1184" s="67"/>
      <c r="L1184" s="67"/>
      <c r="M1184" s="67"/>
      <c r="N1184" s="67"/>
      <c r="O1184" s="67"/>
      <c r="P1184" s="67"/>
      <c r="Q1184" s="67"/>
      <c r="R1184" s="67"/>
      <c r="S1184" s="67"/>
      <c r="T1184" s="67"/>
      <c r="U1184" s="67"/>
      <c r="V1184" s="67"/>
      <c r="W1184" s="67"/>
      <c r="X1184" s="67"/>
      <c r="Y1184" s="67"/>
      <c r="Z1184" s="67"/>
    </row>
    <row r="1185" spans="1:26" ht="12.5">
      <c r="A1185" s="68" t="s">
        <v>2793</v>
      </c>
      <c r="B1185" s="68" t="s">
        <v>2833</v>
      </c>
      <c r="C1185" s="68" t="s">
        <v>2864</v>
      </c>
      <c r="D1185" s="68" t="s">
        <v>32</v>
      </c>
      <c r="E1185" s="69">
        <v>2020</v>
      </c>
      <c r="F1185" s="69">
        <v>18</v>
      </c>
      <c r="G1185" s="69">
        <v>646.20000000000005</v>
      </c>
      <c r="H1185" s="69">
        <v>17220</v>
      </c>
      <c r="I1185" s="67"/>
      <c r="J1185" s="67"/>
      <c r="K1185" s="67"/>
      <c r="L1185" s="67"/>
      <c r="M1185" s="67"/>
      <c r="N1185" s="67"/>
      <c r="O1185" s="67"/>
      <c r="P1185" s="67"/>
      <c r="Q1185" s="67"/>
      <c r="R1185" s="67"/>
      <c r="S1185" s="67"/>
      <c r="T1185" s="67"/>
      <c r="U1185" s="67"/>
      <c r="V1185" s="67"/>
      <c r="W1185" s="67"/>
      <c r="X1185" s="67"/>
      <c r="Y1185" s="67"/>
      <c r="Z1185" s="67"/>
    </row>
    <row r="1186" spans="1:26" ht="12.5">
      <c r="A1186" s="68" t="s">
        <v>2793</v>
      </c>
      <c r="B1186" s="68" t="s">
        <v>2866</v>
      </c>
      <c r="C1186" s="68" t="s">
        <v>2867</v>
      </c>
      <c r="D1186" s="68" t="s">
        <v>28</v>
      </c>
      <c r="E1186" s="69">
        <v>2020</v>
      </c>
      <c r="F1186" s="69">
        <v>15</v>
      </c>
      <c r="G1186" s="69">
        <v>523.29999999999995</v>
      </c>
      <c r="H1186" s="69">
        <v>10335</v>
      </c>
      <c r="I1186" s="67"/>
      <c r="J1186" s="67"/>
      <c r="K1186" s="67"/>
      <c r="L1186" s="67"/>
      <c r="M1186" s="67"/>
      <c r="N1186" s="67"/>
      <c r="O1186" s="67"/>
      <c r="P1186" s="67"/>
      <c r="Q1186" s="67"/>
      <c r="R1186" s="67"/>
      <c r="S1186" s="67"/>
      <c r="T1186" s="67"/>
      <c r="U1186" s="67"/>
      <c r="V1186" s="67"/>
      <c r="W1186" s="67"/>
      <c r="X1186" s="67"/>
      <c r="Y1186" s="67"/>
      <c r="Z1186" s="67"/>
    </row>
    <row r="1187" spans="1:26" ht="12.5">
      <c r="A1187" s="68" t="s">
        <v>2793</v>
      </c>
      <c r="B1187" s="68" t="s">
        <v>2866</v>
      </c>
      <c r="C1187" s="68" t="s">
        <v>2869</v>
      </c>
      <c r="D1187" s="68" t="s">
        <v>20</v>
      </c>
      <c r="E1187" s="69">
        <v>2020</v>
      </c>
      <c r="F1187" s="69">
        <v>14</v>
      </c>
      <c r="G1187" s="69">
        <v>927.9</v>
      </c>
      <c r="H1187" s="69">
        <v>34032</v>
      </c>
      <c r="I1187" s="67"/>
      <c r="J1187" s="67"/>
      <c r="K1187" s="67"/>
      <c r="L1187" s="67"/>
      <c r="M1187" s="67"/>
      <c r="N1187" s="67"/>
      <c r="O1187" s="67"/>
      <c r="P1187" s="67"/>
      <c r="Q1187" s="67"/>
      <c r="R1187" s="67"/>
      <c r="S1187" s="67"/>
      <c r="T1187" s="67"/>
      <c r="U1187" s="67"/>
      <c r="V1187" s="67"/>
      <c r="W1187" s="67"/>
      <c r="X1187" s="67"/>
      <c r="Y1187" s="67"/>
      <c r="Z1187" s="67"/>
    </row>
    <row r="1188" spans="1:26" ht="12.5">
      <c r="A1188" s="68" t="s">
        <v>2793</v>
      </c>
      <c r="B1188" s="68" t="s">
        <v>2866</v>
      </c>
      <c r="C1188" s="68" t="s">
        <v>2872</v>
      </c>
      <c r="D1188" s="68" t="s">
        <v>28</v>
      </c>
      <c r="E1188" s="69">
        <v>2020</v>
      </c>
      <c r="F1188" s="69">
        <v>8</v>
      </c>
      <c r="G1188" s="69">
        <v>274.8</v>
      </c>
      <c r="H1188" s="69">
        <v>4558</v>
      </c>
      <c r="I1188" s="67"/>
      <c r="J1188" s="67"/>
      <c r="K1188" s="67"/>
      <c r="L1188" s="67"/>
      <c r="M1188" s="67"/>
      <c r="N1188" s="67"/>
      <c r="O1188" s="67"/>
      <c r="P1188" s="67"/>
      <c r="Q1188" s="67"/>
      <c r="R1188" s="67"/>
      <c r="S1188" s="67"/>
      <c r="T1188" s="67"/>
      <c r="U1188" s="67"/>
      <c r="V1188" s="67"/>
      <c r="W1188" s="67"/>
      <c r="X1188" s="67"/>
      <c r="Y1188" s="67"/>
      <c r="Z1188" s="67"/>
    </row>
    <row r="1189" spans="1:26" ht="12.5">
      <c r="A1189" s="68" t="s">
        <v>2793</v>
      </c>
      <c r="B1189" s="68" t="s">
        <v>2866</v>
      </c>
      <c r="C1189" s="68" t="s">
        <v>2874</v>
      </c>
      <c r="D1189" s="68" t="s">
        <v>32</v>
      </c>
      <c r="E1189" s="69">
        <v>2020</v>
      </c>
      <c r="F1189" s="69">
        <v>15</v>
      </c>
      <c r="G1189" s="69">
        <v>723.7</v>
      </c>
      <c r="H1189" s="69">
        <v>17003</v>
      </c>
      <c r="I1189" s="67"/>
      <c r="J1189" s="67"/>
      <c r="K1189" s="67"/>
      <c r="L1189" s="67"/>
      <c r="M1189" s="67"/>
      <c r="N1189" s="67"/>
      <c r="O1189" s="67"/>
      <c r="P1189" s="67"/>
      <c r="Q1189" s="67"/>
      <c r="R1189" s="67"/>
      <c r="S1189" s="67"/>
      <c r="T1189" s="67"/>
      <c r="U1189" s="67"/>
      <c r="V1189" s="67"/>
      <c r="W1189" s="67"/>
      <c r="X1189" s="67"/>
      <c r="Y1189" s="67"/>
      <c r="Z1189" s="67"/>
    </row>
    <row r="1190" spans="1:26" ht="12.5">
      <c r="A1190" s="68" t="s">
        <v>2793</v>
      </c>
      <c r="B1190" s="68" t="s">
        <v>2866</v>
      </c>
      <c r="C1190" s="68" t="s">
        <v>2876</v>
      </c>
      <c r="D1190" s="68" t="s">
        <v>32</v>
      </c>
      <c r="E1190" s="69">
        <v>2020</v>
      </c>
      <c r="F1190" s="69">
        <v>7</v>
      </c>
      <c r="G1190" s="69">
        <v>191.8</v>
      </c>
      <c r="H1190" s="69">
        <v>6508</v>
      </c>
      <c r="I1190" s="67"/>
      <c r="J1190" s="67"/>
      <c r="K1190" s="67"/>
      <c r="L1190" s="67"/>
      <c r="M1190" s="67"/>
      <c r="N1190" s="67"/>
      <c r="O1190" s="67"/>
      <c r="P1190" s="67"/>
      <c r="Q1190" s="67"/>
      <c r="R1190" s="67"/>
      <c r="S1190" s="67"/>
      <c r="T1190" s="67"/>
      <c r="U1190" s="67"/>
      <c r="V1190" s="67"/>
      <c r="W1190" s="67"/>
      <c r="X1190" s="67"/>
      <c r="Y1190" s="67"/>
      <c r="Z1190" s="67"/>
    </row>
    <row r="1191" spans="1:26" ht="12.5">
      <c r="A1191" s="68" t="s">
        <v>2793</v>
      </c>
      <c r="B1191" s="68" t="s">
        <v>2866</v>
      </c>
      <c r="C1191" s="68" t="s">
        <v>494</v>
      </c>
      <c r="D1191" s="68" t="s">
        <v>32</v>
      </c>
      <c r="E1191" s="69">
        <v>2020</v>
      </c>
      <c r="F1191" s="69">
        <v>7</v>
      </c>
      <c r="G1191" s="69">
        <v>181.6</v>
      </c>
      <c r="H1191" s="69">
        <v>3787</v>
      </c>
      <c r="I1191" s="67"/>
      <c r="J1191" s="67"/>
      <c r="K1191" s="67"/>
      <c r="L1191" s="67"/>
      <c r="M1191" s="67"/>
      <c r="N1191" s="67"/>
      <c r="O1191" s="67"/>
      <c r="P1191" s="67"/>
      <c r="Q1191" s="67"/>
      <c r="R1191" s="67"/>
      <c r="S1191" s="67"/>
      <c r="T1191" s="67"/>
      <c r="U1191" s="67"/>
      <c r="V1191" s="67"/>
      <c r="W1191" s="67"/>
      <c r="X1191" s="67"/>
      <c r="Y1191" s="67"/>
      <c r="Z1191" s="67"/>
    </row>
    <row r="1192" spans="1:26" ht="12.5">
      <c r="A1192" s="68" t="s">
        <v>2793</v>
      </c>
      <c r="B1192" s="68" t="s">
        <v>2866</v>
      </c>
      <c r="C1192" s="68" t="s">
        <v>985</v>
      </c>
      <c r="D1192" s="68" t="s">
        <v>28</v>
      </c>
      <c r="E1192" s="69">
        <v>2020</v>
      </c>
      <c r="F1192" s="69">
        <v>7</v>
      </c>
      <c r="G1192" s="69">
        <v>242</v>
      </c>
      <c r="H1192" s="69">
        <v>5919</v>
      </c>
      <c r="I1192" s="67"/>
      <c r="J1192" s="67"/>
      <c r="K1192" s="67"/>
      <c r="L1192" s="67"/>
      <c r="M1192" s="67"/>
      <c r="N1192" s="67"/>
      <c r="O1192" s="67"/>
      <c r="P1192" s="67"/>
      <c r="Q1192" s="67"/>
      <c r="R1192" s="67"/>
      <c r="S1192" s="67"/>
      <c r="T1192" s="67"/>
      <c r="U1192" s="67"/>
      <c r="V1192" s="67"/>
      <c r="W1192" s="67"/>
      <c r="X1192" s="67"/>
      <c r="Y1192" s="67"/>
      <c r="Z1192" s="67"/>
    </row>
    <row r="1193" spans="1:26" ht="12.5">
      <c r="A1193" s="68" t="s">
        <v>2793</v>
      </c>
      <c r="B1193" s="68" t="s">
        <v>2866</v>
      </c>
      <c r="C1193" s="68" t="s">
        <v>2881</v>
      </c>
      <c r="D1193" s="68" t="s">
        <v>20</v>
      </c>
      <c r="E1193" s="69">
        <v>2020</v>
      </c>
      <c r="F1193" s="69">
        <v>28</v>
      </c>
      <c r="G1193" s="69">
        <v>776.3</v>
      </c>
      <c r="H1193" s="69">
        <v>34758</v>
      </c>
      <c r="I1193" s="67"/>
      <c r="J1193" s="67"/>
      <c r="K1193" s="67"/>
      <c r="L1193" s="67"/>
      <c r="M1193" s="67"/>
      <c r="N1193" s="67"/>
      <c r="O1193" s="67"/>
      <c r="P1193" s="67"/>
      <c r="Q1193" s="67"/>
      <c r="R1193" s="67"/>
      <c r="S1193" s="67"/>
      <c r="T1193" s="67"/>
      <c r="U1193" s="67"/>
      <c r="V1193" s="67"/>
      <c r="W1193" s="67"/>
      <c r="X1193" s="67"/>
      <c r="Y1193" s="67"/>
      <c r="Z1193" s="67"/>
    </row>
    <row r="1194" spans="1:26" ht="12.5">
      <c r="A1194" s="68" t="s">
        <v>2793</v>
      </c>
      <c r="B1194" s="68" t="s">
        <v>2866</v>
      </c>
      <c r="C1194" s="68" t="s">
        <v>2884</v>
      </c>
      <c r="D1194" s="68" t="s">
        <v>28</v>
      </c>
      <c r="E1194" s="69">
        <v>2020</v>
      </c>
      <c r="F1194" s="69">
        <v>13</v>
      </c>
      <c r="G1194" s="69">
        <v>1413.6</v>
      </c>
      <c r="H1194" s="69">
        <v>7608</v>
      </c>
      <c r="I1194" s="67"/>
      <c r="J1194" s="67"/>
      <c r="K1194" s="67"/>
      <c r="L1194" s="67"/>
      <c r="M1194" s="67"/>
      <c r="N1194" s="67"/>
      <c r="O1194" s="67"/>
      <c r="P1194" s="67"/>
      <c r="Q1194" s="67"/>
      <c r="R1194" s="67"/>
      <c r="S1194" s="67"/>
      <c r="T1194" s="67"/>
      <c r="U1194" s="67"/>
      <c r="V1194" s="67"/>
      <c r="W1194" s="67"/>
      <c r="X1194" s="67"/>
      <c r="Y1194" s="67"/>
      <c r="Z1194" s="67"/>
    </row>
    <row r="1195" spans="1:26" ht="12.5">
      <c r="A1195" s="68" t="s">
        <v>2793</v>
      </c>
      <c r="B1195" s="68" t="s">
        <v>2886</v>
      </c>
      <c r="C1195" s="68" t="s">
        <v>551</v>
      </c>
      <c r="D1195" s="68" t="s">
        <v>32</v>
      </c>
      <c r="E1195" s="69">
        <v>2020</v>
      </c>
      <c r="F1195" s="69">
        <v>25</v>
      </c>
      <c r="G1195" s="69">
        <v>407.5</v>
      </c>
      <c r="H1195" s="69">
        <v>21926</v>
      </c>
      <c r="I1195" s="67"/>
      <c r="J1195" s="67"/>
      <c r="K1195" s="67"/>
      <c r="L1195" s="67"/>
      <c r="M1195" s="67"/>
      <c r="N1195" s="67"/>
      <c r="O1195" s="67"/>
      <c r="P1195" s="67"/>
      <c r="Q1195" s="67"/>
      <c r="R1195" s="67"/>
      <c r="S1195" s="67"/>
      <c r="T1195" s="67"/>
      <c r="U1195" s="67"/>
      <c r="V1195" s="67"/>
      <c r="W1195" s="67"/>
      <c r="X1195" s="67"/>
      <c r="Y1195" s="67"/>
      <c r="Z1195" s="67"/>
    </row>
    <row r="1196" spans="1:26" ht="12.5">
      <c r="A1196" s="68" t="s">
        <v>2793</v>
      </c>
      <c r="B1196" s="68" t="s">
        <v>2886</v>
      </c>
      <c r="C1196" s="68" t="s">
        <v>2888</v>
      </c>
      <c r="D1196" s="68" t="s">
        <v>28</v>
      </c>
      <c r="E1196" s="69">
        <v>2020</v>
      </c>
      <c r="F1196" s="69">
        <v>3</v>
      </c>
      <c r="G1196" s="69">
        <v>112.8</v>
      </c>
      <c r="H1196" s="69">
        <v>6887</v>
      </c>
      <c r="I1196" s="67"/>
      <c r="J1196" s="67"/>
      <c r="K1196" s="67"/>
      <c r="L1196" s="67"/>
      <c r="M1196" s="67"/>
      <c r="N1196" s="67"/>
      <c r="O1196" s="67"/>
      <c r="P1196" s="67"/>
      <c r="Q1196" s="67"/>
      <c r="R1196" s="67"/>
      <c r="S1196" s="67"/>
      <c r="T1196" s="67"/>
      <c r="U1196" s="67"/>
      <c r="V1196" s="67"/>
      <c r="W1196" s="67"/>
      <c r="X1196" s="67"/>
      <c r="Y1196" s="67"/>
      <c r="Z1196" s="67"/>
    </row>
    <row r="1197" spans="1:26" ht="12.5">
      <c r="A1197" s="68" t="s">
        <v>2793</v>
      </c>
      <c r="B1197" s="68" t="s">
        <v>2886</v>
      </c>
      <c r="C1197" s="68" t="s">
        <v>750</v>
      </c>
      <c r="D1197" s="68" t="s">
        <v>28</v>
      </c>
      <c r="E1197" s="69">
        <v>2020</v>
      </c>
      <c r="F1197" s="69">
        <v>7</v>
      </c>
      <c r="G1197" s="69">
        <v>362.1</v>
      </c>
      <c r="H1197" s="69">
        <v>12042</v>
      </c>
      <c r="I1197" s="67"/>
      <c r="J1197" s="67"/>
      <c r="K1197" s="67"/>
      <c r="L1197" s="67"/>
      <c r="M1197" s="67"/>
      <c r="N1197" s="67"/>
      <c r="O1197" s="67"/>
      <c r="P1197" s="67"/>
      <c r="Q1197" s="67"/>
      <c r="R1197" s="67"/>
      <c r="S1197" s="67"/>
      <c r="T1197" s="67"/>
      <c r="U1197" s="67"/>
      <c r="V1197" s="67"/>
      <c r="W1197" s="67"/>
      <c r="X1197" s="67"/>
      <c r="Y1197" s="67"/>
      <c r="Z1197" s="67"/>
    </row>
    <row r="1198" spans="1:26" ht="12.5">
      <c r="A1198" s="68" t="s">
        <v>2793</v>
      </c>
      <c r="B1198" s="68" t="s">
        <v>2886</v>
      </c>
      <c r="C1198" s="68" t="s">
        <v>2891</v>
      </c>
      <c r="D1198" s="68" t="s">
        <v>28</v>
      </c>
      <c r="E1198" s="69">
        <v>2020</v>
      </c>
      <c r="F1198" s="69">
        <v>15</v>
      </c>
      <c r="G1198" s="69">
        <v>442</v>
      </c>
      <c r="H1198" s="69">
        <v>13909</v>
      </c>
      <c r="I1198" s="67"/>
      <c r="J1198" s="67"/>
      <c r="K1198" s="67"/>
      <c r="L1198" s="67"/>
      <c r="M1198" s="67"/>
      <c r="N1198" s="67"/>
      <c r="O1198" s="67"/>
      <c r="P1198" s="67"/>
      <c r="Q1198" s="67"/>
      <c r="R1198" s="67"/>
      <c r="S1198" s="67"/>
      <c r="T1198" s="67"/>
      <c r="U1198" s="67"/>
      <c r="V1198" s="67"/>
      <c r="W1198" s="67"/>
      <c r="X1198" s="67"/>
      <c r="Y1198" s="67"/>
      <c r="Z1198" s="67"/>
    </row>
    <row r="1199" spans="1:26" ht="12.5">
      <c r="A1199" s="68" t="s">
        <v>2793</v>
      </c>
      <c r="B1199" s="68" t="s">
        <v>2886</v>
      </c>
      <c r="C1199" s="68" t="s">
        <v>2894</v>
      </c>
      <c r="D1199" s="68" t="s">
        <v>28</v>
      </c>
      <c r="E1199" s="69">
        <v>2020</v>
      </c>
      <c r="F1199" s="69">
        <v>5</v>
      </c>
      <c r="G1199" s="69">
        <v>126.8</v>
      </c>
      <c r="H1199" s="69">
        <v>3693</v>
      </c>
      <c r="I1199" s="67"/>
      <c r="J1199" s="67"/>
      <c r="K1199" s="67"/>
      <c r="L1199" s="67"/>
      <c r="M1199" s="67"/>
      <c r="N1199" s="67"/>
      <c r="O1199" s="67"/>
      <c r="P1199" s="67"/>
      <c r="Q1199" s="67"/>
      <c r="R1199" s="67"/>
      <c r="S1199" s="67"/>
      <c r="T1199" s="67"/>
      <c r="U1199" s="67"/>
      <c r="V1199" s="67"/>
      <c r="W1199" s="67"/>
      <c r="X1199" s="67"/>
      <c r="Y1199" s="67"/>
      <c r="Z1199" s="67"/>
    </row>
    <row r="1200" spans="1:26" ht="12.5">
      <c r="A1200" s="68" t="s">
        <v>2793</v>
      </c>
      <c r="B1200" s="68" t="s">
        <v>2886</v>
      </c>
      <c r="C1200" s="68" t="s">
        <v>2896</v>
      </c>
      <c r="D1200" s="68" t="s">
        <v>20</v>
      </c>
      <c r="E1200" s="69">
        <v>2020</v>
      </c>
      <c r="F1200" s="69">
        <v>13</v>
      </c>
      <c r="G1200" s="69">
        <v>799.2</v>
      </c>
      <c r="H1200" s="69">
        <v>38313</v>
      </c>
      <c r="I1200" s="67"/>
      <c r="J1200" s="67"/>
      <c r="K1200" s="67"/>
      <c r="L1200" s="67"/>
      <c r="M1200" s="67"/>
      <c r="N1200" s="67"/>
      <c r="O1200" s="67"/>
      <c r="P1200" s="67"/>
      <c r="Q1200" s="67"/>
      <c r="R1200" s="67"/>
      <c r="S1200" s="67"/>
      <c r="T1200" s="67"/>
      <c r="U1200" s="67"/>
      <c r="V1200" s="67"/>
      <c r="W1200" s="67"/>
      <c r="X1200" s="67"/>
      <c r="Y1200" s="67"/>
      <c r="Z1200" s="67"/>
    </row>
    <row r="1201" spans="1:26" ht="12.5">
      <c r="A1201" s="68" t="s">
        <v>2793</v>
      </c>
      <c r="B1201" s="68" t="s">
        <v>2886</v>
      </c>
      <c r="C1201" s="68" t="s">
        <v>2899</v>
      </c>
      <c r="D1201" s="68" t="s">
        <v>28</v>
      </c>
      <c r="E1201" s="69">
        <v>2020</v>
      </c>
      <c r="F1201" s="69">
        <v>4</v>
      </c>
      <c r="G1201" s="69">
        <v>412.3</v>
      </c>
      <c r="H1201" s="69">
        <v>9936</v>
      </c>
      <c r="I1201" s="67"/>
      <c r="J1201" s="67"/>
      <c r="K1201" s="67"/>
      <c r="L1201" s="67"/>
      <c r="M1201" s="67"/>
      <c r="N1201" s="67"/>
      <c r="O1201" s="67"/>
      <c r="P1201" s="67"/>
      <c r="Q1201" s="67"/>
      <c r="R1201" s="67"/>
      <c r="S1201" s="67"/>
      <c r="T1201" s="67"/>
      <c r="U1201" s="67"/>
      <c r="V1201" s="67"/>
      <c r="W1201" s="67"/>
      <c r="X1201" s="67"/>
      <c r="Y1201" s="67"/>
      <c r="Z1201" s="67"/>
    </row>
    <row r="1202" spans="1:26" ht="12.5">
      <c r="A1202" s="68" t="s">
        <v>2793</v>
      </c>
      <c r="B1202" s="68" t="s">
        <v>2886</v>
      </c>
      <c r="C1202" s="68" t="s">
        <v>2901</v>
      </c>
      <c r="D1202" s="68" t="s">
        <v>20</v>
      </c>
      <c r="E1202" s="69">
        <v>2020</v>
      </c>
      <c r="F1202" s="69">
        <v>16</v>
      </c>
      <c r="G1202" s="69">
        <v>452.6</v>
      </c>
      <c r="H1202" s="69">
        <v>322557</v>
      </c>
      <c r="I1202" s="67"/>
      <c r="J1202" s="67"/>
      <c r="K1202" s="67"/>
      <c r="L1202" s="67"/>
      <c r="M1202" s="67"/>
      <c r="N1202" s="67"/>
      <c r="O1202" s="67"/>
      <c r="P1202" s="67"/>
      <c r="Q1202" s="67"/>
      <c r="R1202" s="67"/>
      <c r="S1202" s="67"/>
      <c r="T1202" s="67"/>
      <c r="U1202" s="67"/>
      <c r="V1202" s="67"/>
      <c r="W1202" s="67"/>
      <c r="X1202" s="67"/>
      <c r="Y1202" s="67"/>
      <c r="Z1202" s="67"/>
    </row>
    <row r="1203" spans="1:26" ht="12.5">
      <c r="A1203" s="68" t="s">
        <v>2793</v>
      </c>
      <c r="B1203" s="68" t="s">
        <v>2886</v>
      </c>
      <c r="C1203" s="68" t="s">
        <v>2904</v>
      </c>
      <c r="D1203" s="68" t="s">
        <v>28</v>
      </c>
      <c r="E1203" s="69">
        <v>2020</v>
      </c>
      <c r="F1203" s="69">
        <v>10</v>
      </c>
      <c r="G1203" s="69">
        <v>241.9</v>
      </c>
      <c r="H1203" s="69">
        <v>14943</v>
      </c>
      <c r="I1203" s="67"/>
      <c r="J1203" s="67"/>
      <c r="K1203" s="67"/>
      <c r="L1203" s="67"/>
      <c r="M1203" s="67"/>
      <c r="N1203" s="67"/>
      <c r="O1203" s="67"/>
      <c r="P1203" s="67"/>
      <c r="Q1203" s="67"/>
      <c r="R1203" s="67"/>
      <c r="S1203" s="67"/>
      <c r="T1203" s="67"/>
      <c r="U1203" s="67"/>
      <c r="V1203" s="67"/>
      <c r="W1203" s="67"/>
      <c r="X1203" s="67"/>
      <c r="Y1203" s="67"/>
      <c r="Z1203" s="67"/>
    </row>
    <row r="1204" spans="1:26" ht="12.5">
      <c r="A1204" s="68" t="s">
        <v>2793</v>
      </c>
      <c r="B1204" s="68" t="s">
        <v>2886</v>
      </c>
      <c r="C1204" s="68" t="s">
        <v>2907</v>
      </c>
      <c r="D1204" s="68" t="s">
        <v>28</v>
      </c>
      <c r="E1204" s="69">
        <v>2020</v>
      </c>
      <c r="F1204" s="69">
        <v>8</v>
      </c>
      <c r="G1204" s="69">
        <v>484.7</v>
      </c>
      <c r="H1204" s="69">
        <v>12342</v>
      </c>
      <c r="I1204" s="67"/>
      <c r="J1204" s="67"/>
      <c r="K1204" s="67"/>
      <c r="L1204" s="67"/>
      <c r="M1204" s="67"/>
      <c r="N1204" s="67"/>
      <c r="O1204" s="67"/>
      <c r="P1204" s="67"/>
      <c r="Q1204" s="67"/>
      <c r="R1204" s="67"/>
      <c r="S1204" s="67"/>
      <c r="T1204" s="67"/>
      <c r="U1204" s="67"/>
      <c r="V1204" s="67"/>
      <c r="W1204" s="67"/>
      <c r="X1204" s="67"/>
      <c r="Y1204" s="67"/>
      <c r="Z1204" s="67"/>
    </row>
    <row r="1205" spans="1:26" ht="12.5">
      <c r="A1205" s="68" t="s">
        <v>2909</v>
      </c>
      <c r="B1205" s="68" t="s">
        <v>2910</v>
      </c>
      <c r="C1205" s="68" t="s">
        <v>2911</v>
      </c>
      <c r="D1205" s="68" t="s">
        <v>28</v>
      </c>
      <c r="E1205" s="69">
        <v>2020</v>
      </c>
      <c r="F1205" s="69">
        <v>8</v>
      </c>
      <c r="G1205" s="69">
        <v>95.4</v>
      </c>
      <c r="H1205" s="69">
        <v>2662</v>
      </c>
      <c r="I1205" s="67"/>
      <c r="J1205" s="67"/>
      <c r="K1205" s="67"/>
      <c r="L1205" s="67"/>
      <c r="M1205" s="67"/>
      <c r="N1205" s="67"/>
      <c r="O1205" s="67"/>
      <c r="P1205" s="67"/>
      <c r="Q1205" s="67"/>
      <c r="R1205" s="67"/>
      <c r="S1205" s="67"/>
      <c r="T1205" s="67"/>
      <c r="U1205" s="67"/>
      <c r="V1205" s="67"/>
      <c r="W1205" s="67"/>
      <c r="X1205" s="67"/>
      <c r="Y1205" s="67"/>
      <c r="Z1205" s="67"/>
    </row>
    <row r="1206" spans="1:26" ht="12.5">
      <c r="A1206" s="68" t="s">
        <v>2909</v>
      </c>
      <c r="B1206" s="68" t="s">
        <v>2910</v>
      </c>
      <c r="C1206" s="68" t="s">
        <v>2913</v>
      </c>
      <c r="D1206" s="68" t="s">
        <v>28</v>
      </c>
      <c r="E1206" s="69">
        <v>2020</v>
      </c>
      <c r="F1206" s="69">
        <v>23</v>
      </c>
      <c r="G1206" s="69">
        <v>285.3</v>
      </c>
      <c r="H1206" s="69">
        <v>12664</v>
      </c>
      <c r="I1206" s="67"/>
      <c r="J1206" s="67"/>
      <c r="K1206" s="67"/>
      <c r="L1206" s="67"/>
      <c r="M1206" s="67"/>
      <c r="N1206" s="67"/>
      <c r="O1206" s="67"/>
      <c r="P1206" s="67"/>
      <c r="Q1206" s="67"/>
      <c r="R1206" s="67"/>
      <c r="S1206" s="67"/>
      <c r="T1206" s="67"/>
      <c r="U1206" s="67"/>
      <c r="V1206" s="67"/>
      <c r="W1206" s="67"/>
      <c r="X1206" s="67"/>
      <c r="Y1206" s="67"/>
      <c r="Z1206" s="67"/>
    </row>
    <row r="1207" spans="1:26" ht="12.5">
      <c r="A1207" s="68" t="s">
        <v>2909</v>
      </c>
      <c r="B1207" s="68" t="s">
        <v>2910</v>
      </c>
      <c r="C1207" s="68" t="s">
        <v>2915</v>
      </c>
      <c r="D1207" s="68" t="s">
        <v>20</v>
      </c>
      <c r="E1207" s="69">
        <v>2020</v>
      </c>
      <c r="F1207" s="69">
        <v>51</v>
      </c>
      <c r="G1207" s="69">
        <v>661.2</v>
      </c>
      <c r="H1207" s="69">
        <v>35924</v>
      </c>
      <c r="I1207" s="67"/>
      <c r="J1207" s="67"/>
      <c r="K1207" s="67"/>
      <c r="L1207" s="67"/>
      <c r="M1207" s="67"/>
      <c r="N1207" s="67"/>
      <c r="O1207" s="67"/>
      <c r="P1207" s="67"/>
      <c r="Q1207" s="67"/>
      <c r="R1207" s="67"/>
      <c r="S1207" s="67"/>
      <c r="T1207" s="67"/>
      <c r="U1207" s="67"/>
      <c r="V1207" s="67"/>
      <c r="W1207" s="67"/>
      <c r="X1207" s="67"/>
      <c r="Y1207" s="67"/>
      <c r="Z1207" s="67"/>
    </row>
    <row r="1208" spans="1:26" ht="12.5">
      <c r="A1208" s="68" t="s">
        <v>2909</v>
      </c>
      <c r="B1208" s="68" t="s">
        <v>2910</v>
      </c>
      <c r="C1208" s="68" t="s">
        <v>2917</v>
      </c>
      <c r="D1208" s="68" t="s">
        <v>28</v>
      </c>
      <c r="E1208" s="69">
        <v>2020</v>
      </c>
      <c r="F1208" s="69">
        <v>23</v>
      </c>
      <c r="G1208" s="69">
        <v>249.6</v>
      </c>
      <c r="H1208" s="69">
        <v>8037</v>
      </c>
      <c r="I1208" s="67"/>
      <c r="J1208" s="67"/>
      <c r="K1208" s="67"/>
      <c r="L1208" s="67"/>
      <c r="M1208" s="67"/>
      <c r="N1208" s="67"/>
      <c r="O1208" s="67"/>
      <c r="P1208" s="67"/>
      <c r="Q1208" s="67"/>
      <c r="R1208" s="67"/>
      <c r="S1208" s="67"/>
      <c r="T1208" s="67"/>
      <c r="U1208" s="67"/>
      <c r="V1208" s="67"/>
      <c r="W1208" s="67"/>
      <c r="X1208" s="67"/>
      <c r="Y1208" s="67"/>
      <c r="Z1208" s="67"/>
    </row>
    <row r="1209" spans="1:26" ht="12.5">
      <c r="A1209" s="68" t="s">
        <v>2909</v>
      </c>
      <c r="B1209" s="68" t="s">
        <v>2910</v>
      </c>
      <c r="C1209" s="68" t="s">
        <v>2919</v>
      </c>
      <c r="D1209" s="68" t="s">
        <v>32</v>
      </c>
      <c r="E1209" s="69">
        <v>2020</v>
      </c>
      <c r="F1209" s="69">
        <v>14</v>
      </c>
      <c r="G1209" s="69">
        <v>177.5</v>
      </c>
      <c r="H1209" s="69">
        <v>7242</v>
      </c>
      <c r="I1209" s="67"/>
      <c r="J1209" s="67"/>
      <c r="K1209" s="67"/>
      <c r="L1209" s="67"/>
      <c r="M1209" s="67"/>
      <c r="N1209" s="67"/>
      <c r="O1209" s="67"/>
      <c r="P1209" s="67"/>
      <c r="Q1209" s="67"/>
      <c r="R1209" s="67"/>
      <c r="S1209" s="67"/>
      <c r="T1209" s="67"/>
      <c r="U1209" s="67"/>
      <c r="V1209" s="67"/>
      <c r="W1209" s="67"/>
      <c r="X1209" s="67"/>
      <c r="Y1209" s="67"/>
      <c r="Z1209" s="67"/>
    </row>
    <row r="1210" spans="1:26" ht="12.5">
      <c r="A1210" s="68" t="s">
        <v>2909</v>
      </c>
      <c r="B1210" s="68" t="s">
        <v>2910</v>
      </c>
      <c r="C1210" s="68" t="s">
        <v>2922</v>
      </c>
      <c r="D1210" s="68" t="s">
        <v>20</v>
      </c>
      <c r="E1210" s="69">
        <v>2020</v>
      </c>
      <c r="F1210" s="69">
        <v>13</v>
      </c>
      <c r="G1210" s="69">
        <v>175.3</v>
      </c>
      <c r="H1210" s="69">
        <v>109064</v>
      </c>
      <c r="I1210" s="67"/>
      <c r="J1210" s="67"/>
      <c r="K1210" s="67"/>
      <c r="L1210" s="67"/>
      <c r="M1210" s="67"/>
      <c r="N1210" s="67"/>
      <c r="O1210" s="67"/>
      <c r="P1210" s="67"/>
      <c r="Q1210" s="67"/>
      <c r="R1210" s="67"/>
      <c r="S1210" s="67"/>
      <c r="T1210" s="67"/>
      <c r="U1210" s="67"/>
      <c r="V1210" s="67"/>
      <c r="W1210" s="67"/>
      <c r="X1210" s="67"/>
      <c r="Y1210" s="67"/>
      <c r="Z1210" s="67"/>
    </row>
    <row r="1211" spans="1:26" ht="12.5">
      <c r="A1211" s="68" t="s">
        <v>2909</v>
      </c>
      <c r="B1211" s="68" t="s">
        <v>2910</v>
      </c>
      <c r="C1211" s="68" t="s">
        <v>291</v>
      </c>
      <c r="D1211" s="68" t="s">
        <v>28</v>
      </c>
      <c r="E1211" s="69">
        <v>2020</v>
      </c>
      <c r="F1211" s="69">
        <v>13</v>
      </c>
      <c r="G1211" s="69">
        <v>189.3</v>
      </c>
      <c r="H1211" s="69">
        <v>4221</v>
      </c>
      <c r="I1211" s="67"/>
      <c r="J1211" s="67"/>
      <c r="K1211" s="67"/>
      <c r="L1211" s="67"/>
      <c r="M1211" s="67"/>
      <c r="N1211" s="67"/>
      <c r="O1211" s="67"/>
      <c r="P1211" s="67"/>
      <c r="Q1211" s="67"/>
      <c r="R1211" s="67"/>
      <c r="S1211" s="67"/>
      <c r="T1211" s="67"/>
      <c r="U1211" s="67"/>
      <c r="V1211" s="67"/>
      <c r="W1211" s="67"/>
      <c r="X1211" s="67"/>
      <c r="Y1211" s="67"/>
      <c r="Z1211" s="67"/>
    </row>
    <row r="1212" spans="1:26" ht="12.5">
      <c r="A1212" s="68" t="s">
        <v>2909</v>
      </c>
      <c r="B1212" s="68" t="s">
        <v>2910</v>
      </c>
      <c r="C1212" s="68" t="s">
        <v>2926</v>
      </c>
      <c r="D1212" s="68" t="s">
        <v>28</v>
      </c>
      <c r="E1212" s="69">
        <v>2020</v>
      </c>
      <c r="F1212" s="69">
        <v>8</v>
      </c>
      <c r="G1212" s="69">
        <v>106</v>
      </c>
      <c r="H1212" s="69">
        <v>6666</v>
      </c>
      <c r="I1212" s="67"/>
      <c r="J1212" s="67"/>
      <c r="K1212" s="67"/>
      <c r="L1212" s="67"/>
      <c r="M1212" s="67"/>
      <c r="N1212" s="67"/>
      <c r="O1212" s="67"/>
      <c r="P1212" s="67"/>
      <c r="Q1212" s="67"/>
      <c r="R1212" s="67"/>
      <c r="S1212" s="67"/>
      <c r="T1212" s="67"/>
      <c r="U1212" s="67"/>
      <c r="V1212" s="67"/>
      <c r="W1212" s="67"/>
      <c r="X1212" s="67"/>
      <c r="Y1212" s="67"/>
      <c r="Z1212" s="67"/>
    </row>
    <row r="1213" spans="1:26" ht="12.5">
      <c r="A1213" s="68" t="s">
        <v>2909</v>
      </c>
      <c r="B1213" s="68" t="s">
        <v>2910</v>
      </c>
      <c r="C1213" s="68" t="s">
        <v>2928</v>
      </c>
      <c r="D1213" s="68" t="s">
        <v>32</v>
      </c>
      <c r="E1213" s="69">
        <v>2020</v>
      </c>
      <c r="F1213" s="69">
        <v>18</v>
      </c>
      <c r="G1213" s="69">
        <v>256.2</v>
      </c>
      <c r="H1213" s="69">
        <v>9963</v>
      </c>
      <c r="I1213" s="67"/>
      <c r="J1213" s="67"/>
      <c r="K1213" s="67"/>
      <c r="L1213" s="67"/>
      <c r="M1213" s="67"/>
      <c r="N1213" s="67"/>
      <c r="O1213" s="67"/>
      <c r="P1213" s="67"/>
      <c r="Q1213" s="67"/>
      <c r="R1213" s="67"/>
      <c r="S1213" s="67"/>
      <c r="T1213" s="67"/>
      <c r="U1213" s="67"/>
      <c r="V1213" s="67"/>
      <c r="W1213" s="67"/>
      <c r="X1213" s="67"/>
      <c r="Y1213" s="67"/>
      <c r="Z1213" s="67"/>
    </row>
    <row r="1214" spans="1:26" ht="12.5">
      <c r="A1214" s="68" t="s">
        <v>2909</v>
      </c>
      <c r="B1214" s="68" t="s">
        <v>2910</v>
      </c>
      <c r="C1214" s="68" t="s">
        <v>2930</v>
      </c>
      <c r="D1214" s="68" t="s">
        <v>32</v>
      </c>
      <c r="E1214" s="69">
        <v>2020</v>
      </c>
      <c r="F1214" s="69">
        <v>59</v>
      </c>
      <c r="G1214" s="69">
        <v>851.7</v>
      </c>
      <c r="H1214" s="69">
        <v>26541</v>
      </c>
      <c r="I1214" s="67"/>
      <c r="J1214" s="67"/>
      <c r="K1214" s="67"/>
      <c r="L1214" s="67"/>
      <c r="M1214" s="67"/>
      <c r="N1214" s="67"/>
      <c r="O1214" s="67"/>
      <c r="P1214" s="67"/>
      <c r="Q1214" s="67"/>
      <c r="R1214" s="67"/>
      <c r="S1214" s="67"/>
      <c r="T1214" s="67"/>
      <c r="U1214" s="67"/>
      <c r="V1214" s="67"/>
      <c r="W1214" s="67"/>
      <c r="X1214" s="67"/>
      <c r="Y1214" s="67"/>
      <c r="Z1214" s="67"/>
    </row>
    <row r="1215" spans="1:26" ht="12.5">
      <c r="A1215" s="68" t="s">
        <v>2909</v>
      </c>
      <c r="B1215" s="68" t="s">
        <v>2910</v>
      </c>
      <c r="C1215" s="68" t="s">
        <v>2932</v>
      </c>
      <c r="D1215" s="68" t="s">
        <v>28</v>
      </c>
      <c r="E1215" s="69">
        <v>2020</v>
      </c>
      <c r="F1215" s="69">
        <v>17</v>
      </c>
      <c r="G1215" s="69">
        <v>231.3</v>
      </c>
      <c r="H1215" s="69">
        <v>8350</v>
      </c>
      <c r="I1215" s="67"/>
      <c r="J1215" s="67"/>
      <c r="K1215" s="67"/>
      <c r="L1215" s="67"/>
      <c r="M1215" s="67"/>
      <c r="N1215" s="67"/>
      <c r="O1215" s="67"/>
      <c r="P1215" s="67"/>
      <c r="Q1215" s="67"/>
      <c r="R1215" s="67"/>
      <c r="S1215" s="67"/>
      <c r="T1215" s="67"/>
      <c r="U1215" s="67"/>
      <c r="V1215" s="67"/>
      <c r="W1215" s="67"/>
      <c r="X1215" s="67"/>
      <c r="Y1215" s="67"/>
      <c r="Z1215" s="67"/>
    </row>
    <row r="1216" spans="1:26" ht="12.5">
      <c r="A1216" s="68" t="s">
        <v>2909</v>
      </c>
      <c r="B1216" s="68" t="s">
        <v>2910</v>
      </c>
      <c r="C1216" s="68" t="s">
        <v>2935</v>
      </c>
      <c r="D1216" s="68" t="s">
        <v>28</v>
      </c>
      <c r="E1216" s="69">
        <v>2020</v>
      </c>
      <c r="F1216" s="69">
        <v>23</v>
      </c>
      <c r="G1216" s="69">
        <v>253.5</v>
      </c>
      <c r="H1216" s="69">
        <v>12162</v>
      </c>
      <c r="I1216" s="67"/>
      <c r="J1216" s="67"/>
      <c r="K1216" s="67"/>
      <c r="L1216" s="67"/>
      <c r="M1216" s="67"/>
      <c r="N1216" s="67"/>
      <c r="O1216" s="67"/>
      <c r="P1216" s="67"/>
      <c r="Q1216" s="67"/>
      <c r="R1216" s="67"/>
      <c r="S1216" s="67"/>
      <c r="T1216" s="67"/>
      <c r="U1216" s="67"/>
      <c r="V1216" s="67"/>
      <c r="W1216" s="67"/>
      <c r="X1216" s="67"/>
      <c r="Y1216" s="67"/>
      <c r="Z1216" s="67"/>
    </row>
    <row r="1217" spans="1:26" ht="12.5">
      <c r="A1217" s="68" t="s">
        <v>2909</v>
      </c>
      <c r="B1217" s="68" t="s">
        <v>2910</v>
      </c>
      <c r="C1217" s="68" t="s">
        <v>2937</v>
      </c>
      <c r="D1217" s="68" t="s">
        <v>32</v>
      </c>
      <c r="E1217" s="69">
        <v>2020</v>
      </c>
      <c r="F1217" s="69">
        <v>9</v>
      </c>
      <c r="G1217" s="69">
        <v>156.1</v>
      </c>
      <c r="H1217" s="69">
        <v>6161</v>
      </c>
      <c r="I1217" s="67"/>
      <c r="J1217" s="67"/>
      <c r="K1217" s="67"/>
      <c r="L1217" s="67"/>
      <c r="M1217" s="67"/>
      <c r="N1217" s="67"/>
      <c r="O1217" s="67"/>
      <c r="P1217" s="67"/>
      <c r="Q1217" s="67"/>
      <c r="R1217" s="67"/>
      <c r="S1217" s="67"/>
      <c r="T1217" s="67"/>
      <c r="U1217" s="67"/>
      <c r="V1217" s="67"/>
      <c r="W1217" s="67"/>
      <c r="X1217" s="67"/>
      <c r="Y1217" s="67"/>
      <c r="Z1217" s="67"/>
    </row>
    <row r="1218" spans="1:26" ht="12.5">
      <c r="A1218" s="68" t="s">
        <v>2909</v>
      </c>
      <c r="B1218" s="68" t="s">
        <v>2910</v>
      </c>
      <c r="C1218" s="68" t="s">
        <v>2939</v>
      </c>
      <c r="D1218" s="68" t="s">
        <v>32</v>
      </c>
      <c r="E1218" s="69">
        <v>2020</v>
      </c>
      <c r="F1218" s="69">
        <v>13</v>
      </c>
      <c r="G1218" s="69">
        <v>215.6</v>
      </c>
      <c r="H1218" s="69">
        <v>6985</v>
      </c>
      <c r="I1218" s="67"/>
      <c r="J1218" s="67"/>
      <c r="K1218" s="67"/>
      <c r="L1218" s="67"/>
      <c r="M1218" s="67"/>
      <c r="N1218" s="67"/>
      <c r="O1218" s="67"/>
      <c r="P1218" s="67"/>
      <c r="Q1218" s="67"/>
      <c r="R1218" s="67"/>
      <c r="S1218" s="67"/>
      <c r="T1218" s="67"/>
      <c r="U1218" s="67"/>
      <c r="V1218" s="67"/>
      <c r="W1218" s="67"/>
      <c r="X1218" s="67"/>
      <c r="Y1218" s="67"/>
      <c r="Z1218" s="67"/>
    </row>
    <row r="1219" spans="1:26" ht="12.5">
      <c r="A1219" s="68" t="s">
        <v>2909</v>
      </c>
      <c r="B1219" s="68" t="s">
        <v>2910</v>
      </c>
      <c r="C1219" s="68" t="s">
        <v>2941</v>
      </c>
      <c r="D1219" s="68" t="s">
        <v>32</v>
      </c>
      <c r="E1219" s="69">
        <v>2020</v>
      </c>
      <c r="F1219" s="69">
        <v>46</v>
      </c>
      <c r="G1219" s="69">
        <v>620.5</v>
      </c>
      <c r="H1219" s="69">
        <v>27368</v>
      </c>
      <c r="I1219" s="67"/>
      <c r="J1219" s="67"/>
      <c r="K1219" s="67"/>
      <c r="L1219" s="67"/>
      <c r="M1219" s="67"/>
      <c r="N1219" s="67"/>
      <c r="O1219" s="67"/>
      <c r="P1219" s="67"/>
      <c r="Q1219" s="67"/>
      <c r="R1219" s="67"/>
      <c r="S1219" s="67"/>
      <c r="T1219" s="67"/>
      <c r="U1219" s="67"/>
      <c r="V1219" s="67"/>
      <c r="W1219" s="67"/>
      <c r="X1219" s="67"/>
      <c r="Y1219" s="67"/>
      <c r="Z1219" s="67"/>
    </row>
    <row r="1220" spans="1:26" ht="12.5">
      <c r="A1220" s="68" t="s">
        <v>2909</v>
      </c>
      <c r="B1220" s="68" t="s">
        <v>2943</v>
      </c>
      <c r="C1220" s="68" t="s">
        <v>2944</v>
      </c>
      <c r="D1220" s="68" t="s">
        <v>32</v>
      </c>
      <c r="E1220" s="69">
        <v>2020</v>
      </c>
      <c r="F1220" s="69">
        <v>34</v>
      </c>
      <c r="G1220" s="69">
        <v>392.7</v>
      </c>
      <c r="H1220" s="69">
        <v>10339</v>
      </c>
      <c r="I1220" s="67"/>
      <c r="J1220" s="67"/>
      <c r="K1220" s="67"/>
      <c r="L1220" s="67"/>
      <c r="M1220" s="67"/>
      <c r="N1220" s="67"/>
      <c r="O1220" s="67"/>
      <c r="P1220" s="67"/>
      <c r="Q1220" s="67"/>
      <c r="R1220" s="67"/>
      <c r="S1220" s="67"/>
      <c r="T1220" s="67"/>
      <c r="U1220" s="67"/>
      <c r="V1220" s="67"/>
      <c r="W1220" s="67"/>
      <c r="X1220" s="67"/>
      <c r="Y1220" s="67"/>
      <c r="Z1220" s="67"/>
    </row>
    <row r="1221" spans="1:26" ht="12.5">
      <c r="A1221" s="68" t="s">
        <v>2909</v>
      </c>
      <c r="B1221" s="68" t="s">
        <v>2943</v>
      </c>
      <c r="C1221" s="68" t="s">
        <v>2946</v>
      </c>
      <c r="D1221" s="68" t="s">
        <v>32</v>
      </c>
      <c r="E1221" s="69">
        <v>2020</v>
      </c>
      <c r="F1221" s="69">
        <v>21</v>
      </c>
      <c r="G1221" s="69">
        <v>260.10000000000002</v>
      </c>
      <c r="H1221" s="69">
        <v>6135</v>
      </c>
      <c r="I1221" s="67"/>
      <c r="J1221" s="67"/>
      <c r="K1221" s="67"/>
      <c r="L1221" s="67"/>
      <c r="M1221" s="67"/>
      <c r="N1221" s="67"/>
      <c r="O1221" s="67"/>
      <c r="P1221" s="67"/>
      <c r="Q1221" s="67"/>
      <c r="R1221" s="67"/>
      <c r="S1221" s="67"/>
      <c r="T1221" s="67"/>
      <c r="U1221" s="67"/>
      <c r="V1221" s="67"/>
      <c r="W1221" s="67"/>
      <c r="X1221" s="67"/>
      <c r="Y1221" s="67"/>
      <c r="Z1221" s="67"/>
    </row>
    <row r="1222" spans="1:26" ht="12.5">
      <c r="A1222" s="68" t="s">
        <v>2909</v>
      </c>
      <c r="B1222" s="68" t="s">
        <v>2943</v>
      </c>
      <c r="C1222" s="68" t="s">
        <v>2948</v>
      </c>
      <c r="D1222" s="68" t="s">
        <v>20</v>
      </c>
      <c r="E1222" s="69">
        <v>2020</v>
      </c>
      <c r="F1222" s="69">
        <v>53</v>
      </c>
      <c r="G1222" s="69">
        <v>619.70000000000005</v>
      </c>
      <c r="H1222" s="69">
        <v>34226</v>
      </c>
      <c r="I1222" s="67"/>
      <c r="J1222" s="67"/>
      <c r="K1222" s="67"/>
      <c r="L1222" s="67"/>
      <c r="M1222" s="67"/>
      <c r="N1222" s="67"/>
      <c r="O1222" s="67"/>
      <c r="P1222" s="67"/>
      <c r="Q1222" s="67"/>
      <c r="R1222" s="67"/>
      <c r="S1222" s="67"/>
      <c r="T1222" s="67"/>
      <c r="U1222" s="67"/>
      <c r="V1222" s="67"/>
      <c r="W1222" s="67"/>
      <c r="X1222" s="67"/>
      <c r="Y1222" s="67"/>
      <c r="Z1222" s="67"/>
    </row>
    <row r="1223" spans="1:26" ht="12.5">
      <c r="A1223" s="68" t="s">
        <v>2909</v>
      </c>
      <c r="B1223" s="68" t="s">
        <v>2943</v>
      </c>
      <c r="C1223" s="68" t="s">
        <v>2950</v>
      </c>
      <c r="D1223" s="68" t="s">
        <v>32</v>
      </c>
      <c r="E1223" s="69">
        <v>2020</v>
      </c>
      <c r="F1223" s="69">
        <v>19</v>
      </c>
      <c r="G1223" s="69">
        <v>269.7</v>
      </c>
      <c r="H1223" s="69">
        <v>7976</v>
      </c>
      <c r="I1223" s="67"/>
      <c r="J1223" s="67"/>
      <c r="K1223" s="67"/>
      <c r="L1223" s="67"/>
      <c r="M1223" s="67"/>
      <c r="N1223" s="67"/>
      <c r="O1223" s="67"/>
      <c r="P1223" s="67"/>
      <c r="Q1223" s="67"/>
      <c r="R1223" s="67"/>
      <c r="S1223" s="67"/>
      <c r="T1223" s="67"/>
      <c r="U1223" s="67"/>
      <c r="V1223" s="67"/>
      <c r="W1223" s="67"/>
      <c r="X1223" s="67"/>
      <c r="Y1223" s="67"/>
      <c r="Z1223" s="67"/>
    </row>
    <row r="1224" spans="1:26" ht="12.5">
      <c r="A1224" s="68" t="s">
        <v>2909</v>
      </c>
      <c r="B1224" s="68" t="s">
        <v>2943</v>
      </c>
      <c r="C1224" s="68" t="s">
        <v>2952</v>
      </c>
      <c r="D1224" s="68" t="s">
        <v>32</v>
      </c>
      <c r="E1224" s="69">
        <v>2020</v>
      </c>
      <c r="F1224" s="69">
        <v>30</v>
      </c>
      <c r="G1224" s="69">
        <v>521.29999999999995</v>
      </c>
      <c r="H1224" s="69">
        <v>18587</v>
      </c>
      <c r="I1224" s="67"/>
      <c r="J1224" s="67"/>
      <c r="K1224" s="67"/>
      <c r="L1224" s="67"/>
      <c r="M1224" s="67"/>
      <c r="N1224" s="67"/>
      <c r="O1224" s="67"/>
      <c r="P1224" s="67"/>
      <c r="Q1224" s="67"/>
      <c r="R1224" s="67"/>
      <c r="S1224" s="67"/>
      <c r="T1224" s="67"/>
      <c r="U1224" s="67"/>
      <c r="V1224" s="67"/>
      <c r="W1224" s="67"/>
      <c r="X1224" s="67"/>
      <c r="Y1224" s="67"/>
      <c r="Z1224" s="67"/>
    </row>
    <row r="1225" spans="1:26" ht="12.5">
      <c r="A1225" s="68" t="s">
        <v>2909</v>
      </c>
      <c r="B1225" s="68" t="s">
        <v>2943</v>
      </c>
      <c r="C1225" s="68" t="s">
        <v>2955</v>
      </c>
      <c r="D1225" s="68" t="s">
        <v>28</v>
      </c>
      <c r="E1225" s="69">
        <v>2020</v>
      </c>
      <c r="F1225" s="69">
        <v>11</v>
      </c>
      <c r="G1225" s="69">
        <v>170.9</v>
      </c>
      <c r="H1225" s="69">
        <v>7554</v>
      </c>
      <c r="I1225" s="67"/>
      <c r="J1225" s="67"/>
      <c r="K1225" s="67"/>
      <c r="L1225" s="67"/>
      <c r="M1225" s="67"/>
      <c r="N1225" s="67"/>
      <c r="O1225" s="67"/>
      <c r="P1225" s="67"/>
      <c r="Q1225" s="67"/>
      <c r="R1225" s="67"/>
      <c r="S1225" s="67"/>
      <c r="T1225" s="67"/>
      <c r="U1225" s="67"/>
      <c r="V1225" s="67"/>
      <c r="W1225" s="67"/>
      <c r="X1225" s="67"/>
      <c r="Y1225" s="67"/>
      <c r="Z1225" s="67"/>
    </row>
    <row r="1226" spans="1:26" ht="12.5">
      <c r="A1226" s="68" t="s">
        <v>2909</v>
      </c>
      <c r="B1226" s="68" t="s">
        <v>2943</v>
      </c>
      <c r="C1226" s="68" t="s">
        <v>626</v>
      </c>
      <c r="D1226" s="68" t="s">
        <v>20</v>
      </c>
      <c r="E1226" s="69">
        <v>2020</v>
      </c>
      <c r="F1226" s="69">
        <v>48</v>
      </c>
      <c r="G1226" s="69">
        <v>772.8</v>
      </c>
      <c r="H1226" s="69">
        <v>34872</v>
      </c>
      <c r="I1226" s="67"/>
      <c r="J1226" s="67"/>
      <c r="K1226" s="67"/>
      <c r="L1226" s="67"/>
      <c r="M1226" s="67"/>
      <c r="N1226" s="67"/>
      <c r="O1226" s="67"/>
      <c r="P1226" s="67"/>
      <c r="Q1226" s="67"/>
      <c r="R1226" s="67"/>
      <c r="S1226" s="67"/>
      <c r="T1226" s="67"/>
      <c r="U1226" s="67"/>
      <c r="V1226" s="67"/>
      <c r="W1226" s="67"/>
      <c r="X1226" s="67"/>
      <c r="Y1226" s="67"/>
      <c r="Z1226" s="67"/>
    </row>
    <row r="1227" spans="1:26" ht="12.5">
      <c r="A1227" s="68" t="s">
        <v>2909</v>
      </c>
      <c r="B1227" s="68" t="s">
        <v>2943</v>
      </c>
      <c r="C1227" s="68" t="s">
        <v>2958</v>
      </c>
      <c r="D1227" s="68" t="s">
        <v>20</v>
      </c>
      <c r="E1227" s="69">
        <v>2020</v>
      </c>
      <c r="F1227" s="69">
        <v>39</v>
      </c>
      <c r="G1227" s="69">
        <v>619.29999999999995</v>
      </c>
      <c r="H1227" s="69">
        <v>23360</v>
      </c>
      <c r="I1227" s="67"/>
      <c r="J1227" s="67"/>
      <c r="K1227" s="67"/>
      <c r="L1227" s="67"/>
      <c r="M1227" s="67"/>
      <c r="N1227" s="67"/>
      <c r="O1227" s="67"/>
      <c r="P1227" s="67"/>
      <c r="Q1227" s="67"/>
      <c r="R1227" s="67"/>
      <c r="S1227" s="67"/>
      <c r="T1227" s="67"/>
      <c r="U1227" s="67"/>
      <c r="V1227" s="67"/>
      <c r="W1227" s="67"/>
      <c r="X1227" s="67"/>
      <c r="Y1227" s="67"/>
      <c r="Z1227" s="67"/>
    </row>
    <row r="1228" spans="1:26" ht="12.5">
      <c r="A1228" s="68" t="s">
        <v>2909</v>
      </c>
      <c r="B1228" s="68" t="s">
        <v>2943</v>
      </c>
      <c r="C1228" s="68" t="s">
        <v>2961</v>
      </c>
      <c r="D1228" s="68" t="s">
        <v>28</v>
      </c>
      <c r="E1228" s="69">
        <v>2020</v>
      </c>
      <c r="F1228" s="69">
        <v>21</v>
      </c>
      <c r="G1228" s="69">
        <v>201.8</v>
      </c>
      <c r="H1228" s="69">
        <v>4305</v>
      </c>
      <c r="I1228" s="67"/>
      <c r="J1228" s="67"/>
      <c r="K1228" s="67"/>
      <c r="L1228" s="67"/>
      <c r="M1228" s="67"/>
      <c r="N1228" s="67"/>
      <c r="O1228" s="67"/>
      <c r="P1228" s="67"/>
      <c r="Q1228" s="67"/>
      <c r="R1228" s="67"/>
      <c r="S1228" s="67"/>
      <c r="T1228" s="67"/>
      <c r="U1228" s="67"/>
      <c r="V1228" s="67"/>
      <c r="W1228" s="67"/>
      <c r="X1228" s="67"/>
      <c r="Y1228" s="67"/>
      <c r="Z1228" s="67"/>
    </row>
    <row r="1229" spans="1:26" ht="12.5">
      <c r="A1229" s="68" t="s">
        <v>2909</v>
      </c>
      <c r="B1229" s="68" t="s">
        <v>2943</v>
      </c>
      <c r="C1229" s="68" t="s">
        <v>2219</v>
      </c>
      <c r="D1229" s="68" t="s">
        <v>28</v>
      </c>
      <c r="E1229" s="69">
        <v>2020</v>
      </c>
      <c r="F1229" s="69">
        <v>6</v>
      </c>
      <c r="G1229" s="69">
        <v>142</v>
      </c>
      <c r="H1229" s="69">
        <v>3744</v>
      </c>
      <c r="I1229" s="67"/>
      <c r="J1229" s="67"/>
      <c r="K1229" s="67"/>
      <c r="L1229" s="67"/>
      <c r="M1229" s="67"/>
      <c r="N1229" s="67"/>
      <c r="O1229" s="67"/>
      <c r="P1229" s="67"/>
      <c r="Q1229" s="67"/>
      <c r="R1229" s="67"/>
      <c r="S1229" s="67"/>
      <c r="T1229" s="67"/>
      <c r="U1229" s="67"/>
      <c r="V1229" s="67"/>
      <c r="W1229" s="67"/>
      <c r="X1229" s="67"/>
      <c r="Y1229" s="67"/>
      <c r="Z1229" s="67"/>
    </row>
    <row r="1230" spans="1:26" ht="12.5">
      <c r="A1230" s="68" t="s">
        <v>2909</v>
      </c>
      <c r="B1230" s="68" t="s">
        <v>2943</v>
      </c>
      <c r="C1230" s="68" t="s">
        <v>2965</v>
      </c>
      <c r="D1230" s="68" t="s">
        <v>20</v>
      </c>
      <c r="E1230" s="69">
        <v>2020</v>
      </c>
      <c r="F1230" s="69">
        <v>31</v>
      </c>
      <c r="G1230" s="69">
        <v>445.2</v>
      </c>
      <c r="H1230" s="69">
        <v>29624</v>
      </c>
      <c r="I1230" s="67"/>
      <c r="J1230" s="67"/>
      <c r="K1230" s="67"/>
      <c r="L1230" s="67"/>
      <c r="M1230" s="67"/>
      <c r="N1230" s="67"/>
      <c r="O1230" s="67"/>
      <c r="P1230" s="67"/>
      <c r="Q1230" s="67"/>
      <c r="R1230" s="67"/>
      <c r="S1230" s="67"/>
      <c r="T1230" s="67"/>
      <c r="U1230" s="67"/>
      <c r="V1230" s="67"/>
      <c r="W1230" s="67"/>
      <c r="X1230" s="67"/>
      <c r="Y1230" s="67"/>
      <c r="Z1230" s="67"/>
    </row>
    <row r="1231" spans="1:26" ht="12.5">
      <c r="A1231" s="68" t="s">
        <v>2909</v>
      </c>
      <c r="B1231" s="68" t="s">
        <v>2943</v>
      </c>
      <c r="C1231" s="68" t="s">
        <v>2967</v>
      </c>
      <c r="D1231" s="68" t="s">
        <v>32</v>
      </c>
      <c r="E1231" s="69">
        <v>2020</v>
      </c>
      <c r="F1231" s="69">
        <v>45</v>
      </c>
      <c r="G1231" s="69">
        <v>632.9</v>
      </c>
      <c r="H1231" s="69">
        <v>18694</v>
      </c>
      <c r="I1231" s="67"/>
      <c r="J1231" s="67"/>
      <c r="K1231" s="67"/>
      <c r="L1231" s="67"/>
      <c r="M1231" s="67"/>
      <c r="N1231" s="67"/>
      <c r="O1231" s="67"/>
      <c r="P1231" s="67"/>
      <c r="Q1231" s="67"/>
      <c r="R1231" s="67"/>
      <c r="S1231" s="67"/>
      <c r="T1231" s="67"/>
      <c r="U1231" s="67"/>
      <c r="V1231" s="67"/>
      <c r="W1231" s="67"/>
      <c r="X1231" s="67"/>
      <c r="Y1231" s="67"/>
      <c r="Z1231" s="67"/>
    </row>
    <row r="1232" spans="1:26" ht="12.5">
      <c r="A1232" s="68" t="s">
        <v>2909</v>
      </c>
      <c r="B1232" s="68" t="s">
        <v>2943</v>
      </c>
      <c r="C1232" s="68" t="s">
        <v>2969</v>
      </c>
      <c r="D1232" s="68" t="s">
        <v>28</v>
      </c>
      <c r="E1232" s="69">
        <v>2020</v>
      </c>
      <c r="F1232" s="69">
        <v>14</v>
      </c>
      <c r="G1232" s="69">
        <v>254</v>
      </c>
      <c r="H1232" s="69">
        <v>7636</v>
      </c>
      <c r="I1232" s="67"/>
      <c r="J1232" s="67"/>
      <c r="K1232" s="67"/>
      <c r="L1232" s="67"/>
      <c r="M1232" s="67"/>
      <c r="N1232" s="67"/>
      <c r="O1232" s="67"/>
      <c r="P1232" s="67"/>
      <c r="Q1232" s="67"/>
      <c r="R1232" s="67"/>
      <c r="S1232" s="67"/>
      <c r="T1232" s="67"/>
      <c r="U1232" s="67"/>
      <c r="V1232" s="67"/>
      <c r="W1232" s="67"/>
      <c r="X1232" s="67"/>
      <c r="Y1232" s="67"/>
      <c r="Z1232" s="67"/>
    </row>
    <row r="1233" spans="1:26" ht="12.5">
      <c r="A1233" s="68" t="s">
        <v>2909</v>
      </c>
      <c r="B1233" s="68" t="s">
        <v>2943</v>
      </c>
      <c r="C1233" s="68" t="s">
        <v>2971</v>
      </c>
      <c r="D1233" s="68" t="s">
        <v>32</v>
      </c>
      <c r="E1233" s="69">
        <v>2020</v>
      </c>
      <c r="F1233" s="69">
        <v>12</v>
      </c>
      <c r="G1233" s="69">
        <v>322.7</v>
      </c>
      <c r="H1233" s="69">
        <v>7438</v>
      </c>
      <c r="I1233" s="67"/>
      <c r="J1233" s="67"/>
      <c r="K1233" s="67"/>
      <c r="L1233" s="67"/>
      <c r="M1233" s="67"/>
      <c r="N1233" s="67"/>
      <c r="O1233" s="67"/>
      <c r="P1233" s="67"/>
      <c r="Q1233" s="67"/>
      <c r="R1233" s="67"/>
      <c r="S1233" s="67"/>
      <c r="T1233" s="67"/>
      <c r="U1233" s="67"/>
      <c r="V1233" s="67"/>
      <c r="W1233" s="67"/>
      <c r="X1233" s="67"/>
      <c r="Y1233" s="67"/>
      <c r="Z1233" s="67"/>
    </row>
    <row r="1234" spans="1:26" ht="12.5">
      <c r="A1234" s="68" t="s">
        <v>2909</v>
      </c>
      <c r="B1234" s="68" t="s">
        <v>2943</v>
      </c>
      <c r="C1234" s="68" t="s">
        <v>2973</v>
      </c>
      <c r="D1234" s="68" t="s">
        <v>28</v>
      </c>
      <c r="E1234" s="69">
        <v>2020</v>
      </c>
      <c r="F1234" s="69">
        <v>15</v>
      </c>
      <c r="G1234" s="69">
        <v>214.4</v>
      </c>
      <c r="H1234" s="69">
        <v>4085</v>
      </c>
      <c r="I1234" s="67"/>
      <c r="J1234" s="67"/>
      <c r="K1234" s="67"/>
      <c r="L1234" s="67"/>
      <c r="M1234" s="67"/>
      <c r="N1234" s="67"/>
      <c r="O1234" s="67"/>
      <c r="P1234" s="67"/>
      <c r="Q1234" s="67"/>
      <c r="R1234" s="67"/>
      <c r="S1234" s="67"/>
      <c r="T1234" s="67"/>
      <c r="U1234" s="67"/>
      <c r="V1234" s="67"/>
      <c r="W1234" s="67"/>
      <c r="X1234" s="67"/>
      <c r="Y1234" s="67"/>
      <c r="Z1234" s="67"/>
    </row>
    <row r="1235" spans="1:26" ht="12.5">
      <c r="A1235" s="68" t="s">
        <v>2909</v>
      </c>
      <c r="B1235" s="68" t="s">
        <v>2943</v>
      </c>
      <c r="C1235" s="68" t="s">
        <v>2976</v>
      </c>
      <c r="D1235" s="68" t="s">
        <v>32</v>
      </c>
      <c r="E1235" s="69">
        <v>2020</v>
      </c>
      <c r="F1235" s="69">
        <v>16</v>
      </c>
      <c r="G1235" s="69">
        <v>216.9</v>
      </c>
      <c r="H1235" s="69">
        <v>5945</v>
      </c>
      <c r="I1235" s="67"/>
      <c r="J1235" s="67"/>
      <c r="K1235" s="67"/>
      <c r="L1235" s="67"/>
      <c r="M1235" s="67"/>
      <c r="N1235" s="67"/>
      <c r="O1235" s="67"/>
      <c r="P1235" s="67"/>
      <c r="Q1235" s="67"/>
      <c r="R1235" s="67"/>
      <c r="S1235" s="67"/>
      <c r="T1235" s="67"/>
      <c r="U1235" s="67"/>
      <c r="V1235" s="67"/>
      <c r="W1235" s="67"/>
      <c r="X1235" s="67"/>
      <c r="Y1235" s="67"/>
      <c r="Z1235" s="67"/>
    </row>
    <row r="1236" spans="1:26" ht="12.5">
      <c r="A1236" s="68" t="s">
        <v>2909</v>
      </c>
      <c r="B1236" s="68" t="s">
        <v>2943</v>
      </c>
      <c r="C1236" s="68" t="s">
        <v>2978</v>
      </c>
      <c r="D1236" s="68" t="s">
        <v>28</v>
      </c>
      <c r="E1236" s="69">
        <v>2020</v>
      </c>
      <c r="F1236" s="69">
        <v>26</v>
      </c>
      <c r="G1236" s="69">
        <v>335.9</v>
      </c>
      <c r="H1236" s="69">
        <v>11420</v>
      </c>
      <c r="I1236" s="67"/>
      <c r="J1236" s="67"/>
      <c r="K1236" s="67"/>
      <c r="L1236" s="67"/>
      <c r="M1236" s="67"/>
      <c r="N1236" s="67"/>
      <c r="O1236" s="67"/>
      <c r="P1236" s="67"/>
      <c r="Q1236" s="67"/>
      <c r="R1236" s="67"/>
      <c r="S1236" s="67"/>
      <c r="T1236" s="67"/>
      <c r="U1236" s="67"/>
      <c r="V1236" s="67"/>
      <c r="W1236" s="67"/>
      <c r="X1236" s="67"/>
      <c r="Y1236" s="67"/>
      <c r="Z1236" s="67"/>
    </row>
    <row r="1237" spans="1:26" ht="12.5">
      <c r="A1237" s="68" t="s">
        <v>2909</v>
      </c>
      <c r="B1237" s="68" t="s">
        <v>2943</v>
      </c>
      <c r="C1237" s="68" t="s">
        <v>2980</v>
      </c>
      <c r="D1237" s="68" t="s">
        <v>32</v>
      </c>
      <c r="E1237" s="69">
        <v>2020</v>
      </c>
      <c r="F1237" s="69">
        <v>26</v>
      </c>
      <c r="G1237" s="69">
        <v>339.1</v>
      </c>
      <c r="H1237" s="69">
        <v>9946</v>
      </c>
      <c r="I1237" s="67"/>
      <c r="J1237" s="67"/>
      <c r="K1237" s="67"/>
      <c r="L1237" s="67"/>
      <c r="M1237" s="67"/>
      <c r="N1237" s="67"/>
      <c r="O1237" s="67"/>
      <c r="P1237" s="67"/>
      <c r="Q1237" s="67"/>
      <c r="R1237" s="67"/>
      <c r="S1237" s="67"/>
      <c r="T1237" s="67"/>
      <c r="U1237" s="67"/>
      <c r="V1237" s="67"/>
      <c r="W1237" s="67"/>
      <c r="X1237" s="67"/>
      <c r="Y1237" s="67"/>
      <c r="Z1237" s="67"/>
    </row>
    <row r="1238" spans="1:26" ht="12.5">
      <c r="A1238" s="68" t="s">
        <v>2909</v>
      </c>
      <c r="B1238" s="68" t="s">
        <v>2943</v>
      </c>
      <c r="C1238" s="68" t="s">
        <v>2982</v>
      </c>
      <c r="D1238" s="68" t="s">
        <v>28</v>
      </c>
      <c r="E1238" s="69">
        <v>2020</v>
      </c>
      <c r="F1238" s="69">
        <v>10</v>
      </c>
      <c r="G1238" s="69">
        <v>156.9</v>
      </c>
      <c r="H1238" s="69">
        <v>3984</v>
      </c>
      <c r="I1238" s="67"/>
      <c r="J1238" s="67"/>
      <c r="K1238" s="67"/>
      <c r="L1238" s="67"/>
      <c r="M1238" s="67"/>
      <c r="N1238" s="67"/>
      <c r="O1238" s="67"/>
      <c r="P1238" s="67"/>
      <c r="Q1238" s="67"/>
      <c r="R1238" s="67"/>
      <c r="S1238" s="67"/>
      <c r="T1238" s="67"/>
      <c r="U1238" s="67"/>
      <c r="V1238" s="67"/>
      <c r="W1238" s="67"/>
      <c r="X1238" s="67"/>
      <c r="Y1238" s="67"/>
      <c r="Z1238" s="67"/>
    </row>
    <row r="1239" spans="1:26" ht="12.5">
      <c r="A1239" s="68" t="s">
        <v>2909</v>
      </c>
      <c r="B1239" s="68" t="s">
        <v>2943</v>
      </c>
      <c r="C1239" s="68" t="s">
        <v>2984</v>
      </c>
      <c r="D1239" s="68" t="s">
        <v>20</v>
      </c>
      <c r="E1239" s="69">
        <v>2020</v>
      </c>
      <c r="F1239" s="69">
        <v>67</v>
      </c>
      <c r="G1239" s="69">
        <v>795.1</v>
      </c>
      <c r="H1239" s="69">
        <v>51570</v>
      </c>
      <c r="I1239" s="67"/>
      <c r="J1239" s="67"/>
      <c r="K1239" s="67"/>
      <c r="L1239" s="67"/>
      <c r="M1239" s="67"/>
      <c r="N1239" s="67"/>
      <c r="O1239" s="67"/>
      <c r="P1239" s="67"/>
      <c r="Q1239" s="67"/>
      <c r="R1239" s="67"/>
      <c r="S1239" s="67"/>
      <c r="T1239" s="67"/>
      <c r="U1239" s="67"/>
      <c r="V1239" s="67"/>
      <c r="W1239" s="67"/>
      <c r="X1239" s="67"/>
      <c r="Y1239" s="67"/>
      <c r="Z1239" s="67"/>
    </row>
    <row r="1240" spans="1:26" ht="12.5">
      <c r="A1240" s="68" t="s">
        <v>2909</v>
      </c>
      <c r="B1240" s="68" t="s">
        <v>2943</v>
      </c>
      <c r="C1240" s="68" t="s">
        <v>2987</v>
      </c>
      <c r="D1240" s="68" t="s">
        <v>28</v>
      </c>
      <c r="E1240" s="69">
        <v>2020</v>
      </c>
      <c r="F1240" s="69">
        <v>17</v>
      </c>
      <c r="G1240" s="69">
        <v>261.60000000000002</v>
      </c>
      <c r="H1240" s="69">
        <v>5708</v>
      </c>
      <c r="I1240" s="67"/>
      <c r="J1240" s="67"/>
      <c r="K1240" s="67"/>
      <c r="L1240" s="67"/>
      <c r="M1240" s="67"/>
      <c r="N1240" s="67"/>
      <c r="O1240" s="67"/>
      <c r="P1240" s="67"/>
      <c r="Q1240" s="67"/>
      <c r="R1240" s="67"/>
      <c r="S1240" s="67"/>
      <c r="T1240" s="67"/>
      <c r="U1240" s="67"/>
      <c r="V1240" s="67"/>
      <c r="W1240" s="67"/>
      <c r="X1240" s="67"/>
      <c r="Y1240" s="67"/>
      <c r="Z1240" s="67"/>
    </row>
    <row r="1241" spans="1:26" ht="12.5">
      <c r="A1241" s="68" t="s">
        <v>2909</v>
      </c>
      <c r="B1241" s="68" t="s">
        <v>2943</v>
      </c>
      <c r="C1241" s="68" t="s">
        <v>2990</v>
      </c>
      <c r="D1241" s="68" t="s">
        <v>32</v>
      </c>
      <c r="E1241" s="69">
        <v>2020</v>
      </c>
      <c r="F1241" s="69">
        <v>45</v>
      </c>
      <c r="G1241" s="69">
        <v>662.8</v>
      </c>
      <c r="H1241" s="69">
        <v>18771</v>
      </c>
      <c r="I1241" s="67"/>
      <c r="J1241" s="67"/>
      <c r="K1241" s="67"/>
      <c r="L1241" s="67"/>
      <c r="M1241" s="67"/>
      <c r="N1241" s="67"/>
      <c r="O1241" s="67"/>
      <c r="P1241" s="67"/>
      <c r="Q1241" s="67"/>
      <c r="R1241" s="67"/>
      <c r="S1241" s="67"/>
      <c r="T1241" s="67"/>
      <c r="U1241" s="67"/>
      <c r="V1241" s="67"/>
      <c r="W1241" s="67"/>
      <c r="X1241" s="67"/>
      <c r="Y1241" s="67"/>
      <c r="Z1241" s="67"/>
    </row>
    <row r="1242" spans="1:26" ht="12.5">
      <c r="A1242" s="68" t="s">
        <v>2909</v>
      </c>
      <c r="B1242" s="68" t="s">
        <v>2943</v>
      </c>
      <c r="C1242" s="68" t="s">
        <v>2992</v>
      </c>
      <c r="D1242" s="68" t="s">
        <v>32</v>
      </c>
      <c r="E1242" s="69">
        <v>2020</v>
      </c>
      <c r="F1242" s="69">
        <v>55</v>
      </c>
      <c r="G1242" s="69">
        <v>716.5</v>
      </c>
      <c r="H1242" s="69">
        <v>25019</v>
      </c>
      <c r="I1242" s="67"/>
      <c r="J1242" s="67"/>
      <c r="K1242" s="67"/>
      <c r="L1242" s="67"/>
      <c r="M1242" s="67"/>
      <c r="N1242" s="67"/>
      <c r="O1242" s="67"/>
      <c r="P1242" s="67"/>
      <c r="Q1242" s="67"/>
      <c r="R1242" s="67"/>
      <c r="S1242" s="67"/>
      <c r="T1242" s="67"/>
      <c r="U1242" s="67"/>
      <c r="V1242" s="67"/>
      <c r="W1242" s="67"/>
      <c r="X1242" s="67"/>
      <c r="Y1242" s="67"/>
      <c r="Z1242" s="67"/>
    </row>
    <row r="1243" spans="1:26" ht="12.5">
      <c r="A1243" s="68" t="s">
        <v>2909</v>
      </c>
      <c r="B1243" s="68" t="s">
        <v>2943</v>
      </c>
      <c r="C1243" s="68" t="s">
        <v>2995</v>
      </c>
      <c r="D1243" s="68" t="s">
        <v>20</v>
      </c>
      <c r="E1243" s="69">
        <v>2020</v>
      </c>
      <c r="F1243" s="69">
        <v>25</v>
      </c>
      <c r="G1243" s="69">
        <v>493.9</v>
      </c>
      <c r="H1243" s="69">
        <v>293223</v>
      </c>
      <c r="I1243" s="67"/>
      <c r="J1243" s="67"/>
      <c r="K1243" s="67"/>
      <c r="L1243" s="67"/>
      <c r="M1243" s="67"/>
      <c r="N1243" s="67"/>
      <c r="O1243" s="67"/>
      <c r="P1243" s="67"/>
      <c r="Q1243" s="67"/>
      <c r="R1243" s="67"/>
      <c r="S1243" s="67"/>
      <c r="T1243" s="67"/>
      <c r="U1243" s="67"/>
      <c r="V1243" s="67"/>
      <c r="W1243" s="67"/>
      <c r="X1243" s="67"/>
      <c r="Y1243" s="67"/>
      <c r="Z1243" s="67"/>
    </row>
    <row r="1244" spans="1:26" ht="12.5">
      <c r="A1244" s="68" t="s">
        <v>2909</v>
      </c>
      <c r="B1244" s="68" t="s">
        <v>2943</v>
      </c>
      <c r="C1244" s="68" t="s">
        <v>2998</v>
      </c>
      <c r="D1244" s="68" t="s">
        <v>32</v>
      </c>
      <c r="E1244" s="69">
        <v>2020</v>
      </c>
      <c r="F1244" s="69">
        <v>21</v>
      </c>
      <c r="G1244" s="69">
        <v>280.2</v>
      </c>
      <c r="H1244" s="69">
        <v>12364</v>
      </c>
      <c r="I1244" s="67"/>
      <c r="J1244" s="67"/>
      <c r="K1244" s="67"/>
      <c r="L1244" s="67"/>
      <c r="M1244" s="67"/>
      <c r="N1244" s="67"/>
      <c r="O1244" s="67"/>
      <c r="P1244" s="67"/>
      <c r="Q1244" s="67"/>
      <c r="R1244" s="67"/>
      <c r="S1244" s="67"/>
      <c r="T1244" s="67"/>
      <c r="U1244" s="67"/>
      <c r="V1244" s="67"/>
      <c r="W1244" s="67"/>
      <c r="X1244" s="67"/>
      <c r="Y1244" s="67"/>
      <c r="Z1244" s="67"/>
    </row>
    <row r="1245" spans="1:26" ht="12.5">
      <c r="A1245" s="68" t="s">
        <v>2909</v>
      </c>
      <c r="B1245" s="68" t="s">
        <v>2943</v>
      </c>
      <c r="C1245" s="68" t="s">
        <v>3000</v>
      </c>
      <c r="D1245" s="68" t="s">
        <v>28</v>
      </c>
      <c r="E1245" s="69">
        <v>2020</v>
      </c>
      <c r="F1245" s="69">
        <v>8</v>
      </c>
      <c r="G1245" s="69">
        <v>121.5</v>
      </c>
      <c r="H1245" s="69">
        <v>3865</v>
      </c>
      <c r="I1245" s="67"/>
      <c r="J1245" s="67"/>
      <c r="K1245" s="67"/>
      <c r="L1245" s="67"/>
      <c r="M1245" s="67"/>
      <c r="N1245" s="67"/>
      <c r="O1245" s="67"/>
      <c r="P1245" s="67"/>
      <c r="Q1245" s="67"/>
      <c r="R1245" s="67"/>
      <c r="S1245" s="67"/>
      <c r="T1245" s="67"/>
      <c r="U1245" s="67"/>
      <c r="V1245" s="67"/>
      <c r="W1245" s="67"/>
      <c r="X1245" s="67"/>
      <c r="Y1245" s="67"/>
      <c r="Z1245" s="67"/>
    </row>
    <row r="1246" spans="1:26" ht="12.5">
      <c r="A1246" s="68" t="s">
        <v>2909</v>
      </c>
      <c r="B1246" s="68" t="s">
        <v>2943</v>
      </c>
      <c r="C1246" s="68" t="s">
        <v>3003</v>
      </c>
      <c r="D1246" s="68" t="s">
        <v>32</v>
      </c>
      <c r="E1246" s="69">
        <v>2020</v>
      </c>
      <c r="F1246" s="69">
        <v>34</v>
      </c>
      <c r="G1246" s="69">
        <v>548.4</v>
      </c>
      <c r="H1246" s="69">
        <v>18984</v>
      </c>
      <c r="I1246" s="67"/>
      <c r="J1246" s="67"/>
      <c r="K1246" s="67"/>
      <c r="L1246" s="67"/>
      <c r="M1246" s="67"/>
      <c r="N1246" s="67"/>
      <c r="O1246" s="67"/>
      <c r="P1246" s="67"/>
      <c r="Q1246" s="67"/>
      <c r="R1246" s="67"/>
      <c r="S1246" s="67"/>
      <c r="T1246" s="67"/>
      <c r="U1246" s="67"/>
      <c r="V1246" s="67"/>
      <c r="W1246" s="67"/>
      <c r="X1246" s="67"/>
      <c r="Y1246" s="67"/>
      <c r="Z1246" s="67"/>
    </row>
    <row r="1247" spans="1:26" ht="12.5">
      <c r="A1247" s="68" t="s">
        <v>2909</v>
      </c>
      <c r="B1247" s="68" t="s">
        <v>3006</v>
      </c>
      <c r="C1247" s="68" t="s">
        <v>3007</v>
      </c>
      <c r="D1247" s="68" t="s">
        <v>20</v>
      </c>
      <c r="E1247" s="69">
        <v>2020</v>
      </c>
      <c r="F1247" s="69">
        <v>46</v>
      </c>
      <c r="G1247" s="69">
        <v>645.70000000000005</v>
      </c>
      <c r="H1247" s="69">
        <v>29345</v>
      </c>
      <c r="I1247" s="67"/>
      <c r="J1247" s="67"/>
      <c r="K1247" s="67"/>
      <c r="L1247" s="67"/>
      <c r="M1247" s="67"/>
      <c r="N1247" s="67"/>
      <c r="O1247" s="67"/>
      <c r="P1247" s="67"/>
      <c r="Q1247" s="67"/>
      <c r="R1247" s="67"/>
      <c r="S1247" s="67"/>
      <c r="T1247" s="67"/>
      <c r="U1247" s="67"/>
      <c r="V1247" s="67"/>
      <c r="W1247" s="67"/>
      <c r="X1247" s="67"/>
      <c r="Y1247" s="67"/>
      <c r="Z1247" s="67"/>
    </row>
    <row r="1248" spans="1:26" ht="12.5">
      <c r="A1248" s="68" t="s">
        <v>2909</v>
      </c>
      <c r="B1248" s="68" t="s">
        <v>3006</v>
      </c>
      <c r="C1248" s="68" t="s">
        <v>3010</v>
      </c>
      <c r="D1248" s="68" t="s">
        <v>28</v>
      </c>
      <c r="E1248" s="69">
        <v>2020</v>
      </c>
      <c r="F1248" s="69">
        <v>27</v>
      </c>
      <c r="G1248" s="69">
        <v>318.3</v>
      </c>
      <c r="H1248" s="69">
        <v>8297</v>
      </c>
      <c r="I1248" s="67"/>
      <c r="J1248" s="67"/>
      <c r="K1248" s="67"/>
      <c r="L1248" s="67"/>
      <c r="M1248" s="67"/>
      <c r="N1248" s="67"/>
      <c r="O1248" s="67"/>
      <c r="P1248" s="67"/>
      <c r="Q1248" s="67"/>
      <c r="R1248" s="67"/>
      <c r="S1248" s="67"/>
      <c r="T1248" s="67"/>
      <c r="U1248" s="67"/>
      <c r="V1248" s="67"/>
      <c r="W1248" s="67"/>
      <c r="X1248" s="67"/>
      <c r="Y1248" s="67"/>
      <c r="Z1248" s="67"/>
    </row>
    <row r="1249" spans="1:26" ht="12.5">
      <c r="A1249" s="68" t="s">
        <v>2909</v>
      </c>
      <c r="B1249" s="68" t="s">
        <v>3006</v>
      </c>
      <c r="C1249" s="68" t="s">
        <v>3012</v>
      </c>
      <c r="D1249" s="68" t="s">
        <v>32</v>
      </c>
      <c r="E1249" s="69">
        <v>2020</v>
      </c>
      <c r="F1249" s="69">
        <v>61</v>
      </c>
      <c r="G1249" s="69">
        <v>615.6</v>
      </c>
      <c r="H1249" s="69">
        <v>19086</v>
      </c>
      <c r="I1249" s="67"/>
      <c r="J1249" s="67"/>
      <c r="K1249" s="67"/>
      <c r="L1249" s="67"/>
      <c r="M1249" s="67"/>
      <c r="N1249" s="67"/>
      <c r="O1249" s="67"/>
      <c r="P1249" s="67"/>
      <c r="Q1249" s="67"/>
      <c r="R1249" s="67"/>
      <c r="S1249" s="67"/>
      <c r="T1249" s="67"/>
      <c r="U1249" s="67"/>
      <c r="V1249" s="67"/>
      <c r="W1249" s="67"/>
      <c r="X1249" s="67"/>
      <c r="Y1249" s="67"/>
      <c r="Z1249" s="67"/>
    </row>
    <row r="1250" spans="1:26" ht="12.5">
      <c r="A1250" s="68" t="s">
        <v>2909</v>
      </c>
      <c r="B1250" s="68" t="s">
        <v>3006</v>
      </c>
      <c r="C1250" s="68" t="s">
        <v>3014</v>
      </c>
      <c r="D1250" s="68" t="s">
        <v>28</v>
      </c>
      <c r="E1250" s="69">
        <v>2020</v>
      </c>
      <c r="F1250" s="69">
        <v>16</v>
      </c>
      <c r="G1250" s="69">
        <v>199.6</v>
      </c>
      <c r="H1250" s="69">
        <v>6047</v>
      </c>
      <c r="I1250" s="67"/>
      <c r="J1250" s="67"/>
      <c r="K1250" s="67"/>
      <c r="L1250" s="67"/>
      <c r="M1250" s="67"/>
      <c r="N1250" s="67"/>
      <c r="O1250" s="67"/>
      <c r="P1250" s="67"/>
      <c r="Q1250" s="67"/>
      <c r="R1250" s="67"/>
      <c r="S1250" s="67"/>
      <c r="T1250" s="67"/>
      <c r="U1250" s="67"/>
      <c r="V1250" s="67"/>
      <c r="W1250" s="67"/>
      <c r="X1250" s="67"/>
      <c r="Y1250" s="67"/>
      <c r="Z1250" s="67"/>
    </row>
    <row r="1251" spans="1:26" ht="12.5">
      <c r="A1251" s="68" t="s">
        <v>2909</v>
      </c>
      <c r="B1251" s="68" t="s">
        <v>3006</v>
      </c>
      <c r="C1251" s="68" t="s">
        <v>3016</v>
      </c>
      <c r="D1251" s="68" t="s">
        <v>32</v>
      </c>
      <c r="E1251" s="69">
        <v>2020</v>
      </c>
      <c r="F1251" s="69">
        <v>15</v>
      </c>
      <c r="G1251" s="69">
        <v>201.2</v>
      </c>
      <c r="H1251" s="69">
        <v>6978</v>
      </c>
      <c r="I1251" s="67"/>
      <c r="J1251" s="67"/>
      <c r="K1251" s="67"/>
      <c r="L1251" s="67"/>
      <c r="M1251" s="67"/>
      <c r="N1251" s="67"/>
      <c r="O1251" s="67"/>
      <c r="P1251" s="67"/>
      <c r="Q1251" s="67"/>
      <c r="R1251" s="67"/>
      <c r="S1251" s="67"/>
      <c r="T1251" s="67"/>
      <c r="U1251" s="67"/>
      <c r="V1251" s="67"/>
      <c r="W1251" s="67"/>
      <c r="X1251" s="67"/>
      <c r="Y1251" s="67"/>
      <c r="Z1251" s="67"/>
    </row>
    <row r="1252" spans="1:26" ht="12.5">
      <c r="A1252" s="68" t="s">
        <v>2909</v>
      </c>
      <c r="B1252" s="68" t="s">
        <v>3006</v>
      </c>
      <c r="C1252" s="68" t="s">
        <v>2302</v>
      </c>
      <c r="D1252" s="68" t="s">
        <v>28</v>
      </c>
      <c r="E1252" s="69">
        <v>2020</v>
      </c>
      <c r="F1252" s="69">
        <v>11</v>
      </c>
      <c r="G1252" s="69">
        <v>190.9</v>
      </c>
      <c r="H1252" s="69">
        <v>3408</v>
      </c>
      <c r="I1252" s="67"/>
      <c r="J1252" s="67"/>
      <c r="K1252" s="67"/>
      <c r="L1252" s="67"/>
      <c r="M1252" s="67"/>
      <c r="N1252" s="67"/>
      <c r="O1252" s="67"/>
      <c r="P1252" s="67"/>
      <c r="Q1252" s="67"/>
      <c r="R1252" s="67"/>
      <c r="S1252" s="67"/>
      <c r="T1252" s="67"/>
      <c r="U1252" s="67"/>
      <c r="V1252" s="67"/>
      <c r="W1252" s="67"/>
      <c r="X1252" s="67"/>
      <c r="Y1252" s="67"/>
      <c r="Z1252" s="67"/>
    </row>
    <row r="1253" spans="1:26" ht="12.5">
      <c r="A1253" s="68" t="s">
        <v>2909</v>
      </c>
      <c r="B1253" s="68" t="s">
        <v>3006</v>
      </c>
      <c r="C1253" s="68" t="s">
        <v>3019</v>
      </c>
      <c r="D1253" s="68" t="s">
        <v>28</v>
      </c>
      <c r="E1253" s="69">
        <v>2020</v>
      </c>
      <c r="F1253" s="69">
        <v>17</v>
      </c>
      <c r="G1253" s="69">
        <v>260.60000000000002</v>
      </c>
      <c r="H1253" s="69">
        <v>6400</v>
      </c>
      <c r="I1253" s="67"/>
      <c r="J1253" s="67"/>
      <c r="K1253" s="67"/>
      <c r="L1253" s="67"/>
      <c r="M1253" s="67"/>
      <c r="N1253" s="67"/>
      <c r="O1253" s="67"/>
      <c r="P1253" s="67"/>
      <c r="Q1253" s="67"/>
      <c r="R1253" s="67"/>
      <c r="S1253" s="67"/>
      <c r="T1253" s="67"/>
      <c r="U1253" s="67"/>
      <c r="V1253" s="67"/>
      <c r="W1253" s="67"/>
      <c r="X1253" s="67"/>
      <c r="Y1253" s="67"/>
      <c r="Z1253" s="67"/>
    </row>
    <row r="1254" spans="1:26" ht="12.5">
      <c r="A1254" s="68" t="s">
        <v>2909</v>
      </c>
      <c r="B1254" s="68" t="s">
        <v>3006</v>
      </c>
      <c r="C1254" s="68" t="s">
        <v>3021</v>
      </c>
      <c r="D1254" s="68" t="s">
        <v>28</v>
      </c>
      <c r="E1254" s="69">
        <v>2020</v>
      </c>
      <c r="F1254" s="69">
        <v>18</v>
      </c>
      <c r="G1254" s="69">
        <v>268.39999999999998</v>
      </c>
      <c r="H1254" s="69">
        <v>5103</v>
      </c>
      <c r="I1254" s="67"/>
      <c r="J1254" s="67"/>
      <c r="K1254" s="67"/>
      <c r="L1254" s="67"/>
      <c r="M1254" s="67"/>
      <c r="N1254" s="67"/>
      <c r="O1254" s="67"/>
      <c r="P1254" s="67"/>
      <c r="Q1254" s="67"/>
      <c r="R1254" s="67"/>
      <c r="S1254" s="67"/>
      <c r="T1254" s="67"/>
      <c r="U1254" s="67"/>
      <c r="V1254" s="67"/>
      <c r="W1254" s="67"/>
      <c r="X1254" s="67"/>
      <c r="Y1254" s="67"/>
      <c r="Z1254" s="67"/>
    </row>
    <row r="1255" spans="1:26" ht="12.5">
      <c r="A1255" s="68" t="s">
        <v>2909</v>
      </c>
      <c r="B1255" s="68" t="s">
        <v>3006</v>
      </c>
      <c r="C1255" s="68" t="s">
        <v>3024</v>
      </c>
      <c r="D1255" s="68" t="s">
        <v>20</v>
      </c>
      <c r="E1255" s="69">
        <v>2020</v>
      </c>
      <c r="F1255" s="69">
        <v>3</v>
      </c>
      <c r="G1255" s="69">
        <v>95.4</v>
      </c>
      <c r="H1255" s="69">
        <v>37723</v>
      </c>
      <c r="I1255" s="67"/>
      <c r="J1255" s="67"/>
      <c r="K1255" s="67"/>
      <c r="L1255" s="67"/>
      <c r="M1255" s="67"/>
      <c r="N1255" s="67"/>
      <c r="O1255" s="67"/>
      <c r="P1255" s="67"/>
      <c r="Q1255" s="67"/>
      <c r="R1255" s="67"/>
      <c r="S1255" s="67"/>
      <c r="T1255" s="67"/>
      <c r="U1255" s="67"/>
      <c r="V1255" s="67"/>
      <c r="W1255" s="67"/>
      <c r="X1255" s="67"/>
      <c r="Y1255" s="67"/>
      <c r="Z1255" s="67"/>
    </row>
    <row r="1256" spans="1:26" ht="12.5">
      <c r="A1256" s="68" t="s">
        <v>2909</v>
      </c>
      <c r="B1256" s="68" t="s">
        <v>3006</v>
      </c>
      <c r="C1256" s="68" t="s">
        <v>3027</v>
      </c>
      <c r="D1256" s="68" t="s">
        <v>28</v>
      </c>
      <c r="E1256" s="69">
        <v>2020</v>
      </c>
      <c r="F1256" s="69">
        <v>23</v>
      </c>
      <c r="G1256" s="69">
        <v>354.7</v>
      </c>
      <c r="H1256" s="69">
        <v>7227</v>
      </c>
      <c r="I1256" s="67"/>
      <c r="J1256" s="67"/>
      <c r="K1256" s="67"/>
      <c r="L1256" s="67"/>
      <c r="M1256" s="67"/>
      <c r="N1256" s="67"/>
      <c r="O1256" s="67"/>
      <c r="P1256" s="67"/>
      <c r="Q1256" s="67"/>
      <c r="R1256" s="67"/>
      <c r="S1256" s="67"/>
      <c r="T1256" s="67"/>
      <c r="U1256" s="67"/>
      <c r="V1256" s="67"/>
      <c r="W1256" s="67"/>
      <c r="X1256" s="67"/>
      <c r="Y1256" s="67"/>
      <c r="Z1256" s="67"/>
    </row>
    <row r="1257" spans="1:26" ht="12.5">
      <c r="A1257" s="68" t="s">
        <v>2909</v>
      </c>
      <c r="B1257" s="68" t="s">
        <v>3006</v>
      </c>
      <c r="C1257" s="68" t="s">
        <v>3029</v>
      </c>
      <c r="D1257" s="68" t="s">
        <v>20</v>
      </c>
      <c r="E1257" s="69">
        <v>2020</v>
      </c>
      <c r="F1257" s="69">
        <v>35</v>
      </c>
      <c r="G1257" s="69">
        <v>617.70000000000005</v>
      </c>
      <c r="H1257" s="69">
        <v>32658</v>
      </c>
      <c r="I1257" s="67"/>
      <c r="J1257" s="67"/>
      <c r="K1257" s="67"/>
      <c r="L1257" s="67"/>
      <c r="M1257" s="67"/>
      <c r="N1257" s="67"/>
      <c r="O1257" s="67"/>
      <c r="P1257" s="67"/>
      <c r="Q1257" s="67"/>
      <c r="R1257" s="67"/>
      <c r="S1257" s="67"/>
      <c r="T1257" s="67"/>
      <c r="U1257" s="67"/>
      <c r="V1257" s="67"/>
      <c r="W1257" s="67"/>
      <c r="X1257" s="67"/>
      <c r="Y1257" s="67"/>
      <c r="Z1257" s="67"/>
    </row>
    <row r="1258" spans="1:26" ht="12.5">
      <c r="A1258" s="68" t="s">
        <v>2909</v>
      </c>
      <c r="B1258" s="68" t="s">
        <v>3006</v>
      </c>
      <c r="C1258" s="68" t="s">
        <v>3031</v>
      </c>
      <c r="D1258" s="68" t="s">
        <v>32</v>
      </c>
      <c r="E1258" s="69">
        <v>2020</v>
      </c>
      <c r="F1258" s="69">
        <v>7</v>
      </c>
      <c r="G1258" s="69">
        <v>170.3</v>
      </c>
      <c r="H1258" s="69">
        <v>7955</v>
      </c>
      <c r="I1258" s="67"/>
      <c r="J1258" s="67"/>
      <c r="K1258" s="67"/>
      <c r="L1258" s="67"/>
      <c r="M1258" s="67"/>
      <c r="N1258" s="67"/>
      <c r="O1258" s="67"/>
      <c r="P1258" s="67"/>
      <c r="Q1258" s="67"/>
      <c r="R1258" s="67"/>
      <c r="S1258" s="67"/>
      <c r="T1258" s="67"/>
      <c r="U1258" s="67"/>
      <c r="V1258" s="67"/>
      <c r="W1258" s="67"/>
      <c r="X1258" s="67"/>
      <c r="Y1258" s="67"/>
      <c r="Z1258" s="67"/>
    </row>
    <row r="1259" spans="1:26" ht="12.5">
      <c r="A1259" s="68" t="s">
        <v>2909</v>
      </c>
      <c r="B1259" s="68" t="s">
        <v>3006</v>
      </c>
      <c r="C1259" s="68" t="s">
        <v>3033</v>
      </c>
      <c r="D1259" s="68" t="s">
        <v>28</v>
      </c>
      <c r="E1259" s="69">
        <v>2020</v>
      </c>
      <c r="F1259" s="69">
        <v>23</v>
      </c>
      <c r="G1259" s="69">
        <v>255.4</v>
      </c>
      <c r="H1259" s="69">
        <v>4845</v>
      </c>
      <c r="I1259" s="67"/>
      <c r="J1259" s="67"/>
      <c r="K1259" s="67"/>
      <c r="L1259" s="67"/>
      <c r="M1259" s="67"/>
      <c r="N1259" s="67"/>
      <c r="O1259" s="67"/>
      <c r="P1259" s="67"/>
      <c r="Q1259" s="67"/>
      <c r="R1259" s="67"/>
      <c r="S1259" s="67"/>
      <c r="T1259" s="67"/>
      <c r="U1259" s="67"/>
      <c r="V1259" s="67"/>
      <c r="W1259" s="67"/>
      <c r="X1259" s="67"/>
      <c r="Y1259" s="67"/>
      <c r="Z1259" s="67"/>
    </row>
    <row r="1260" spans="1:26" ht="12.5">
      <c r="A1260" s="68" t="s">
        <v>2909</v>
      </c>
      <c r="B1260" s="68" t="s">
        <v>3006</v>
      </c>
      <c r="C1260" s="68" t="s">
        <v>3035</v>
      </c>
      <c r="D1260" s="68" t="s">
        <v>20</v>
      </c>
      <c r="E1260" s="69">
        <v>2020</v>
      </c>
      <c r="F1260" s="69">
        <v>3</v>
      </c>
      <c r="G1260" s="69">
        <v>72.7</v>
      </c>
      <c r="H1260" s="69">
        <v>35752</v>
      </c>
      <c r="I1260" s="67"/>
      <c r="J1260" s="67"/>
      <c r="K1260" s="67"/>
      <c r="L1260" s="67"/>
      <c r="M1260" s="67"/>
      <c r="N1260" s="67"/>
      <c r="O1260" s="67"/>
      <c r="P1260" s="67"/>
      <c r="Q1260" s="67"/>
      <c r="R1260" s="67"/>
      <c r="S1260" s="67"/>
      <c r="T1260" s="67"/>
      <c r="U1260" s="67"/>
      <c r="V1260" s="67"/>
      <c r="W1260" s="67"/>
      <c r="X1260" s="67"/>
      <c r="Y1260" s="67"/>
      <c r="Z1260" s="67"/>
    </row>
    <row r="1261" spans="1:26" ht="12.5">
      <c r="A1261" s="68" t="s">
        <v>2909</v>
      </c>
      <c r="B1261" s="68" t="s">
        <v>3006</v>
      </c>
      <c r="C1261" s="68" t="s">
        <v>3038</v>
      </c>
      <c r="D1261" s="68" t="s">
        <v>28</v>
      </c>
      <c r="E1261" s="69">
        <v>2020</v>
      </c>
      <c r="F1261" s="69">
        <v>21</v>
      </c>
      <c r="G1261" s="69">
        <v>374.5</v>
      </c>
      <c r="H1261" s="69">
        <v>12656</v>
      </c>
      <c r="I1261" s="67"/>
      <c r="J1261" s="67"/>
      <c r="K1261" s="67"/>
      <c r="L1261" s="67"/>
      <c r="M1261" s="67"/>
      <c r="N1261" s="67"/>
      <c r="O1261" s="67"/>
      <c r="P1261" s="67"/>
      <c r="Q1261" s="67"/>
      <c r="R1261" s="67"/>
      <c r="S1261" s="67"/>
      <c r="T1261" s="67"/>
      <c r="U1261" s="67"/>
      <c r="V1261" s="67"/>
      <c r="W1261" s="67"/>
      <c r="X1261" s="67"/>
      <c r="Y1261" s="67"/>
      <c r="Z1261" s="67"/>
    </row>
    <row r="1262" spans="1:26" ht="12.5">
      <c r="A1262" s="68" t="s">
        <v>2909</v>
      </c>
      <c r="B1262" s="68" t="s">
        <v>3006</v>
      </c>
      <c r="C1262" s="68" t="s">
        <v>3040</v>
      </c>
      <c r="D1262" s="68" t="s">
        <v>28</v>
      </c>
      <c r="E1262" s="69">
        <v>2020</v>
      </c>
      <c r="F1262" s="69">
        <v>21</v>
      </c>
      <c r="G1262" s="69">
        <v>377.7</v>
      </c>
      <c r="H1262" s="69">
        <v>8112</v>
      </c>
      <c r="I1262" s="67"/>
      <c r="J1262" s="67"/>
      <c r="K1262" s="67"/>
      <c r="L1262" s="67"/>
      <c r="M1262" s="67"/>
      <c r="N1262" s="67"/>
      <c r="O1262" s="67"/>
      <c r="P1262" s="67"/>
      <c r="Q1262" s="67"/>
      <c r="R1262" s="67"/>
      <c r="S1262" s="67"/>
      <c r="T1262" s="67"/>
      <c r="U1262" s="67"/>
      <c r="V1262" s="67"/>
      <c r="W1262" s="67"/>
      <c r="X1262" s="67"/>
      <c r="Y1262" s="67"/>
      <c r="Z1262" s="67"/>
    </row>
    <row r="1263" spans="1:26" ht="12.5">
      <c r="A1263" s="68" t="s">
        <v>2909</v>
      </c>
      <c r="B1263" s="68" t="s">
        <v>3006</v>
      </c>
      <c r="C1263" s="68" t="s">
        <v>3042</v>
      </c>
      <c r="D1263" s="68" t="s">
        <v>20</v>
      </c>
      <c r="E1263" s="69">
        <v>2020</v>
      </c>
      <c r="F1263" s="69">
        <v>4</v>
      </c>
      <c r="G1263" s="69">
        <v>172.8</v>
      </c>
      <c r="H1263" s="69">
        <v>42822</v>
      </c>
      <c r="I1263" s="67"/>
      <c r="J1263" s="67"/>
      <c r="K1263" s="67"/>
      <c r="L1263" s="67"/>
      <c r="M1263" s="67"/>
      <c r="N1263" s="67"/>
      <c r="O1263" s="67"/>
      <c r="P1263" s="67"/>
      <c r="Q1263" s="67"/>
      <c r="R1263" s="67"/>
      <c r="S1263" s="67"/>
      <c r="T1263" s="67"/>
      <c r="U1263" s="67"/>
      <c r="V1263" s="67"/>
      <c r="W1263" s="67"/>
      <c r="X1263" s="67"/>
      <c r="Y1263" s="67"/>
      <c r="Z1263" s="67"/>
    </row>
    <row r="1264" spans="1:26" ht="12.5">
      <c r="A1264" s="68" t="s">
        <v>2909</v>
      </c>
      <c r="B1264" s="68" t="s">
        <v>3006</v>
      </c>
      <c r="C1264" s="68" t="s">
        <v>127</v>
      </c>
      <c r="D1264" s="68" t="s">
        <v>32</v>
      </c>
      <c r="E1264" s="69">
        <v>2020</v>
      </c>
      <c r="F1264" s="69">
        <v>13</v>
      </c>
      <c r="G1264" s="69">
        <v>160.69999999999999</v>
      </c>
      <c r="H1264" s="69">
        <v>5989</v>
      </c>
      <c r="I1264" s="67"/>
      <c r="J1264" s="67"/>
      <c r="K1264" s="67"/>
      <c r="L1264" s="67"/>
      <c r="M1264" s="67"/>
      <c r="N1264" s="67"/>
      <c r="O1264" s="67"/>
      <c r="P1264" s="67"/>
      <c r="Q1264" s="67"/>
      <c r="R1264" s="67"/>
      <c r="S1264" s="67"/>
      <c r="T1264" s="67"/>
      <c r="U1264" s="67"/>
      <c r="V1264" s="67"/>
      <c r="W1264" s="67"/>
      <c r="X1264" s="67"/>
      <c r="Y1264" s="67"/>
      <c r="Z1264" s="67"/>
    </row>
    <row r="1265" spans="1:26" ht="12.5">
      <c r="A1265" s="68" t="s">
        <v>3046</v>
      </c>
      <c r="B1265" s="68" t="s">
        <v>3047</v>
      </c>
      <c r="C1265" s="68" t="s">
        <v>3048</v>
      </c>
      <c r="D1265" s="68" t="s">
        <v>32</v>
      </c>
      <c r="E1265" s="69">
        <v>2020</v>
      </c>
      <c r="F1265" s="69">
        <v>3</v>
      </c>
      <c r="G1265" s="69">
        <v>52.5</v>
      </c>
      <c r="H1265" s="69">
        <v>4883</v>
      </c>
      <c r="I1265" s="67"/>
      <c r="J1265" s="67"/>
      <c r="K1265" s="67"/>
      <c r="L1265" s="67"/>
      <c r="M1265" s="67"/>
      <c r="N1265" s="67"/>
      <c r="O1265" s="67"/>
      <c r="P1265" s="67"/>
      <c r="Q1265" s="67"/>
      <c r="R1265" s="67"/>
      <c r="S1265" s="67"/>
      <c r="T1265" s="67"/>
      <c r="U1265" s="67"/>
      <c r="V1265" s="67"/>
      <c r="W1265" s="67"/>
      <c r="X1265" s="67"/>
      <c r="Y1265" s="67"/>
      <c r="Z1265" s="67"/>
    </row>
    <row r="1266" spans="1:26" ht="12.5">
      <c r="A1266" s="68" t="s">
        <v>3046</v>
      </c>
      <c r="B1266" s="68" t="s">
        <v>3047</v>
      </c>
      <c r="C1266" s="68" t="s">
        <v>3050</v>
      </c>
      <c r="D1266" s="68" t="s">
        <v>28</v>
      </c>
      <c r="E1266" s="69">
        <v>2020</v>
      </c>
      <c r="F1266" s="69">
        <v>8</v>
      </c>
      <c r="G1266" s="69">
        <v>132.6</v>
      </c>
      <c r="H1266" s="69">
        <v>3476</v>
      </c>
      <c r="I1266" s="67"/>
      <c r="J1266" s="67"/>
      <c r="K1266" s="67"/>
      <c r="L1266" s="67"/>
      <c r="M1266" s="67"/>
      <c r="N1266" s="67"/>
      <c r="O1266" s="67"/>
      <c r="P1266" s="67"/>
      <c r="Q1266" s="67"/>
      <c r="R1266" s="67"/>
      <c r="S1266" s="67"/>
      <c r="T1266" s="67"/>
      <c r="U1266" s="67"/>
      <c r="V1266" s="67"/>
      <c r="W1266" s="67"/>
      <c r="X1266" s="67"/>
      <c r="Y1266" s="67"/>
      <c r="Z1266" s="67"/>
    </row>
    <row r="1267" spans="1:26" ht="12.5">
      <c r="A1267" s="68" t="s">
        <v>3046</v>
      </c>
      <c r="B1267" s="68" t="s">
        <v>3047</v>
      </c>
      <c r="C1267" s="68" t="s">
        <v>3052</v>
      </c>
      <c r="D1267" s="68" t="s">
        <v>20</v>
      </c>
      <c r="E1267" s="69">
        <v>2020</v>
      </c>
      <c r="F1267" s="69">
        <v>5</v>
      </c>
      <c r="G1267" s="69">
        <v>107.7</v>
      </c>
      <c r="H1267" s="69">
        <v>20899</v>
      </c>
      <c r="I1267" s="67"/>
      <c r="J1267" s="67"/>
      <c r="K1267" s="67"/>
      <c r="L1267" s="67"/>
      <c r="M1267" s="67"/>
      <c r="N1267" s="67"/>
      <c r="O1267" s="67"/>
      <c r="P1267" s="67"/>
      <c r="Q1267" s="67"/>
      <c r="R1267" s="67"/>
      <c r="S1267" s="67"/>
      <c r="T1267" s="67"/>
      <c r="U1267" s="67"/>
      <c r="V1267" s="67"/>
      <c r="W1267" s="67"/>
      <c r="X1267" s="67"/>
      <c r="Y1267" s="67"/>
      <c r="Z1267" s="67"/>
    </row>
    <row r="1268" spans="1:26" ht="12.5">
      <c r="A1268" s="68" t="s">
        <v>3046</v>
      </c>
      <c r="B1268" s="68" t="s">
        <v>3047</v>
      </c>
      <c r="C1268" s="68" t="s">
        <v>3055</v>
      </c>
      <c r="D1268" s="68" t="s">
        <v>28</v>
      </c>
      <c r="E1268" s="69">
        <v>2020</v>
      </c>
      <c r="F1268" s="69">
        <v>9</v>
      </c>
      <c r="G1268" s="69">
        <v>209.1</v>
      </c>
      <c r="H1268" s="69">
        <v>3936</v>
      </c>
      <c r="I1268" s="67"/>
      <c r="J1268" s="67"/>
      <c r="K1268" s="67"/>
      <c r="L1268" s="67"/>
      <c r="M1268" s="67"/>
      <c r="N1268" s="67"/>
      <c r="O1268" s="67"/>
      <c r="P1268" s="67"/>
      <c r="Q1268" s="67"/>
      <c r="R1268" s="67"/>
      <c r="S1268" s="67"/>
      <c r="T1268" s="67"/>
      <c r="U1268" s="67"/>
      <c r="V1268" s="67"/>
      <c r="W1268" s="67"/>
      <c r="X1268" s="67"/>
      <c r="Y1268" s="67"/>
      <c r="Z1268" s="67"/>
    </row>
    <row r="1269" spans="1:26" ht="12.5">
      <c r="A1269" s="68" t="s">
        <v>3046</v>
      </c>
      <c r="B1269" s="68" t="s">
        <v>3047</v>
      </c>
      <c r="C1269" s="68" t="s">
        <v>3057</v>
      </c>
      <c r="D1269" s="68" t="s">
        <v>28</v>
      </c>
      <c r="E1269" s="69">
        <v>2020</v>
      </c>
      <c r="F1269" s="69">
        <v>14</v>
      </c>
      <c r="G1269" s="69">
        <v>306.7</v>
      </c>
      <c r="H1269" s="69">
        <v>5830</v>
      </c>
      <c r="I1269" s="67"/>
      <c r="J1269" s="67"/>
      <c r="K1269" s="67"/>
      <c r="L1269" s="67"/>
      <c r="M1269" s="67"/>
      <c r="N1269" s="67"/>
      <c r="O1269" s="67"/>
      <c r="P1269" s="67"/>
      <c r="Q1269" s="67"/>
      <c r="R1269" s="67"/>
      <c r="S1269" s="67"/>
      <c r="T1269" s="67"/>
      <c r="U1269" s="67"/>
      <c r="V1269" s="67"/>
      <c r="W1269" s="67"/>
      <c r="X1269" s="67"/>
      <c r="Y1269" s="67"/>
      <c r="Z1269" s="67"/>
    </row>
    <row r="1270" spans="1:26" ht="12.5">
      <c r="A1270" s="68" t="s">
        <v>3046</v>
      </c>
      <c r="B1270" s="68" t="s">
        <v>3047</v>
      </c>
      <c r="C1270" s="68" t="s">
        <v>622</v>
      </c>
      <c r="D1270" s="68" t="s">
        <v>32</v>
      </c>
      <c r="E1270" s="69">
        <v>2020</v>
      </c>
      <c r="F1270" s="69">
        <v>17</v>
      </c>
      <c r="G1270" s="69">
        <v>286.89999999999998</v>
      </c>
      <c r="H1270" s="69">
        <v>9145</v>
      </c>
      <c r="I1270" s="67"/>
      <c r="J1270" s="67"/>
      <c r="K1270" s="67"/>
      <c r="L1270" s="67"/>
      <c r="M1270" s="67"/>
      <c r="N1270" s="67"/>
      <c r="O1270" s="67"/>
      <c r="P1270" s="67"/>
      <c r="Q1270" s="67"/>
      <c r="R1270" s="67"/>
      <c r="S1270" s="67"/>
      <c r="T1270" s="67"/>
      <c r="U1270" s="67"/>
      <c r="V1270" s="67"/>
      <c r="W1270" s="67"/>
      <c r="X1270" s="67"/>
      <c r="Y1270" s="67"/>
      <c r="Z1270" s="67"/>
    </row>
    <row r="1271" spans="1:26" ht="12.5">
      <c r="A1271" s="68" t="s">
        <v>3046</v>
      </c>
      <c r="B1271" s="68" t="s">
        <v>3047</v>
      </c>
      <c r="C1271" s="68" t="s">
        <v>3060</v>
      </c>
      <c r="D1271" s="68" t="s">
        <v>20</v>
      </c>
      <c r="E1271" s="69">
        <v>2020</v>
      </c>
      <c r="F1271" s="69">
        <v>16</v>
      </c>
      <c r="G1271" s="69">
        <v>492.9</v>
      </c>
      <c r="H1271" s="69">
        <v>27434</v>
      </c>
      <c r="I1271" s="67"/>
      <c r="J1271" s="67"/>
      <c r="K1271" s="67"/>
      <c r="L1271" s="67"/>
      <c r="M1271" s="67"/>
      <c r="N1271" s="67"/>
      <c r="O1271" s="67"/>
      <c r="P1271" s="67"/>
      <c r="Q1271" s="67"/>
      <c r="R1271" s="67"/>
      <c r="S1271" s="67"/>
      <c r="T1271" s="67"/>
      <c r="U1271" s="67"/>
      <c r="V1271" s="67"/>
      <c r="W1271" s="67"/>
      <c r="X1271" s="67"/>
      <c r="Y1271" s="67"/>
      <c r="Z1271" s="67"/>
    </row>
    <row r="1272" spans="1:26" ht="12.5">
      <c r="A1272" s="68" t="s">
        <v>3046</v>
      </c>
      <c r="B1272" s="68" t="s">
        <v>3047</v>
      </c>
      <c r="C1272" s="68" t="s">
        <v>3063</v>
      </c>
      <c r="D1272" s="68" t="s">
        <v>32</v>
      </c>
      <c r="E1272" s="69">
        <v>2020</v>
      </c>
      <c r="F1272" s="69">
        <v>21</v>
      </c>
      <c r="G1272" s="69">
        <v>441.8</v>
      </c>
      <c r="H1272" s="69">
        <v>12989</v>
      </c>
      <c r="I1272" s="67"/>
      <c r="J1272" s="67"/>
      <c r="K1272" s="67"/>
      <c r="L1272" s="67"/>
      <c r="M1272" s="67"/>
      <c r="N1272" s="67"/>
      <c r="O1272" s="67"/>
      <c r="P1272" s="67"/>
      <c r="Q1272" s="67"/>
      <c r="R1272" s="67"/>
      <c r="S1272" s="67"/>
      <c r="T1272" s="67"/>
      <c r="U1272" s="67"/>
      <c r="V1272" s="67"/>
      <c r="W1272" s="67"/>
      <c r="X1272" s="67"/>
      <c r="Y1272" s="67"/>
      <c r="Z1272" s="67"/>
    </row>
    <row r="1273" spans="1:26" ht="12.5">
      <c r="A1273" s="68" t="s">
        <v>3046</v>
      </c>
      <c r="B1273" s="68" t="s">
        <v>3047</v>
      </c>
      <c r="C1273" s="68" t="s">
        <v>3066</v>
      </c>
      <c r="D1273" s="68" t="s">
        <v>28</v>
      </c>
      <c r="E1273" s="69">
        <v>2020</v>
      </c>
      <c r="F1273" s="69">
        <v>13</v>
      </c>
      <c r="G1273" s="69">
        <v>216.4</v>
      </c>
      <c r="H1273" s="69">
        <v>3148</v>
      </c>
      <c r="I1273" s="67"/>
      <c r="J1273" s="67"/>
      <c r="K1273" s="67"/>
      <c r="L1273" s="67"/>
      <c r="M1273" s="67"/>
      <c r="N1273" s="67"/>
      <c r="O1273" s="67"/>
      <c r="P1273" s="67"/>
      <c r="Q1273" s="67"/>
      <c r="R1273" s="67"/>
      <c r="S1273" s="67"/>
      <c r="T1273" s="67"/>
      <c r="U1273" s="67"/>
      <c r="V1273" s="67"/>
      <c r="W1273" s="67"/>
      <c r="X1273" s="67"/>
      <c r="Y1273" s="67"/>
      <c r="Z1273" s="67"/>
    </row>
    <row r="1274" spans="1:26" ht="12.5">
      <c r="A1274" s="68" t="s">
        <v>3046</v>
      </c>
      <c r="B1274" s="68" t="s">
        <v>3047</v>
      </c>
      <c r="C1274" s="68" t="s">
        <v>3068</v>
      </c>
      <c r="D1274" s="68" t="s">
        <v>32</v>
      </c>
      <c r="E1274" s="69">
        <v>2020</v>
      </c>
      <c r="F1274" s="69">
        <v>20</v>
      </c>
      <c r="G1274" s="69">
        <v>374.8</v>
      </c>
      <c r="H1274" s="69">
        <v>13899</v>
      </c>
      <c r="I1274" s="67"/>
      <c r="J1274" s="67"/>
      <c r="K1274" s="67"/>
      <c r="L1274" s="67"/>
      <c r="M1274" s="67"/>
      <c r="N1274" s="67"/>
      <c r="O1274" s="67"/>
      <c r="P1274" s="67"/>
      <c r="Q1274" s="67"/>
      <c r="R1274" s="67"/>
      <c r="S1274" s="67"/>
      <c r="T1274" s="67"/>
      <c r="U1274" s="67"/>
      <c r="V1274" s="67"/>
      <c r="W1274" s="67"/>
      <c r="X1274" s="67"/>
      <c r="Y1274" s="67"/>
      <c r="Z1274" s="67"/>
    </row>
    <row r="1275" spans="1:26" ht="12.5">
      <c r="A1275" s="68" t="s">
        <v>3046</v>
      </c>
      <c r="B1275" s="68" t="s">
        <v>3047</v>
      </c>
      <c r="C1275" s="68" t="s">
        <v>3070</v>
      </c>
      <c r="D1275" s="68" t="s">
        <v>28</v>
      </c>
      <c r="E1275" s="69">
        <v>2020</v>
      </c>
      <c r="F1275" s="69">
        <v>2</v>
      </c>
      <c r="G1275" s="69">
        <v>104.9</v>
      </c>
      <c r="H1275" s="69">
        <v>3790</v>
      </c>
      <c r="I1275" s="67"/>
      <c r="J1275" s="67"/>
      <c r="K1275" s="67"/>
      <c r="L1275" s="67"/>
      <c r="M1275" s="67"/>
      <c r="N1275" s="67"/>
      <c r="O1275" s="67"/>
      <c r="P1275" s="67"/>
      <c r="Q1275" s="67"/>
      <c r="R1275" s="67"/>
      <c r="S1275" s="67"/>
      <c r="T1275" s="67"/>
      <c r="U1275" s="67"/>
      <c r="V1275" s="67"/>
      <c r="W1275" s="67"/>
      <c r="X1275" s="67"/>
      <c r="Y1275" s="67"/>
      <c r="Z1275" s="67"/>
    </row>
    <row r="1276" spans="1:26" ht="12.5">
      <c r="A1276" s="68" t="s">
        <v>3046</v>
      </c>
      <c r="B1276" s="68" t="s">
        <v>3047</v>
      </c>
      <c r="C1276" s="68" t="s">
        <v>3072</v>
      </c>
      <c r="D1276" s="68" t="s">
        <v>28</v>
      </c>
      <c r="E1276" s="69">
        <v>2020</v>
      </c>
      <c r="F1276" s="69">
        <v>9</v>
      </c>
      <c r="G1276" s="69">
        <v>178</v>
      </c>
      <c r="H1276" s="69">
        <v>4838</v>
      </c>
      <c r="I1276" s="67"/>
      <c r="J1276" s="67"/>
      <c r="K1276" s="67"/>
      <c r="L1276" s="67"/>
      <c r="M1276" s="67"/>
      <c r="N1276" s="67"/>
      <c r="O1276" s="67"/>
      <c r="P1276" s="67"/>
      <c r="Q1276" s="67"/>
      <c r="R1276" s="67"/>
      <c r="S1276" s="67"/>
      <c r="T1276" s="67"/>
      <c r="U1276" s="67"/>
      <c r="V1276" s="67"/>
      <c r="W1276" s="67"/>
      <c r="X1276" s="67"/>
      <c r="Y1276" s="67"/>
      <c r="Z1276" s="67"/>
    </row>
    <row r="1277" spans="1:26" ht="12.5">
      <c r="A1277" s="68" t="s">
        <v>3046</v>
      </c>
      <c r="B1277" s="68" t="s">
        <v>3047</v>
      </c>
      <c r="C1277" s="68" t="s">
        <v>3074</v>
      </c>
      <c r="D1277" s="68" t="s">
        <v>28</v>
      </c>
      <c r="E1277" s="69">
        <v>2020</v>
      </c>
      <c r="F1277" s="69">
        <v>16</v>
      </c>
      <c r="G1277" s="69">
        <v>267.39999999999998</v>
      </c>
      <c r="H1277" s="69">
        <v>6415</v>
      </c>
      <c r="I1277" s="67"/>
      <c r="J1277" s="67"/>
      <c r="K1277" s="67"/>
      <c r="L1277" s="67"/>
      <c r="M1277" s="67"/>
      <c r="N1277" s="67"/>
      <c r="O1277" s="67"/>
      <c r="P1277" s="67"/>
      <c r="Q1277" s="67"/>
      <c r="R1277" s="67"/>
      <c r="S1277" s="67"/>
      <c r="T1277" s="67"/>
      <c r="U1277" s="67"/>
      <c r="V1277" s="67"/>
      <c r="W1277" s="67"/>
      <c r="X1277" s="67"/>
      <c r="Y1277" s="67"/>
      <c r="Z1277" s="67"/>
    </row>
    <row r="1278" spans="1:26" ht="12.5">
      <c r="A1278" s="68" t="s">
        <v>3046</v>
      </c>
      <c r="B1278" s="68" t="s">
        <v>3047</v>
      </c>
      <c r="C1278" s="68" t="s">
        <v>3076</v>
      </c>
      <c r="D1278" s="68" t="s">
        <v>32</v>
      </c>
      <c r="E1278" s="69">
        <v>2020</v>
      </c>
      <c r="F1278" s="69">
        <v>16</v>
      </c>
      <c r="G1278" s="69">
        <v>260.8</v>
      </c>
      <c r="H1278" s="69">
        <v>7261</v>
      </c>
      <c r="I1278" s="67"/>
      <c r="J1278" s="67"/>
      <c r="K1278" s="67"/>
      <c r="L1278" s="67"/>
      <c r="M1278" s="67"/>
      <c r="N1278" s="67"/>
      <c r="O1278" s="67"/>
      <c r="P1278" s="67"/>
      <c r="Q1278" s="67"/>
      <c r="R1278" s="67"/>
      <c r="S1278" s="67"/>
      <c r="T1278" s="67"/>
      <c r="U1278" s="67"/>
      <c r="V1278" s="67"/>
      <c r="W1278" s="67"/>
      <c r="X1278" s="67"/>
      <c r="Y1278" s="67"/>
      <c r="Z1278" s="67"/>
    </row>
    <row r="1279" spans="1:26" ht="12.5">
      <c r="A1279" s="68" t="s">
        <v>3046</v>
      </c>
      <c r="B1279" s="68" t="s">
        <v>3047</v>
      </c>
      <c r="C1279" s="68" t="s">
        <v>3078</v>
      </c>
      <c r="D1279" s="68" t="s">
        <v>20</v>
      </c>
      <c r="E1279" s="69">
        <v>2020</v>
      </c>
      <c r="F1279" s="69">
        <v>43</v>
      </c>
      <c r="G1279" s="69">
        <v>916.6</v>
      </c>
      <c r="H1279" s="69">
        <v>31217</v>
      </c>
      <c r="I1279" s="67"/>
      <c r="J1279" s="67"/>
      <c r="K1279" s="67"/>
      <c r="L1279" s="67"/>
      <c r="M1279" s="67"/>
      <c r="N1279" s="67"/>
      <c r="O1279" s="67"/>
      <c r="P1279" s="67"/>
      <c r="Q1279" s="67"/>
      <c r="R1279" s="67"/>
      <c r="S1279" s="67"/>
      <c r="T1279" s="67"/>
      <c r="U1279" s="67"/>
      <c r="V1279" s="67"/>
      <c r="W1279" s="67"/>
      <c r="X1279" s="67"/>
      <c r="Y1279" s="67"/>
      <c r="Z1279" s="67"/>
    </row>
    <row r="1280" spans="1:26" ht="12.5">
      <c r="A1280" s="68" t="s">
        <v>3046</v>
      </c>
      <c r="B1280" s="68" t="s">
        <v>3047</v>
      </c>
      <c r="C1280" s="68" t="s">
        <v>1880</v>
      </c>
      <c r="D1280" s="68" t="s">
        <v>28</v>
      </c>
      <c r="E1280" s="69">
        <v>2020</v>
      </c>
      <c r="F1280" s="69">
        <v>9</v>
      </c>
      <c r="G1280" s="69">
        <v>140.1</v>
      </c>
      <c r="H1280" s="69">
        <v>4642</v>
      </c>
      <c r="I1280" s="67"/>
      <c r="J1280" s="67"/>
      <c r="K1280" s="67"/>
      <c r="L1280" s="67"/>
      <c r="M1280" s="67"/>
      <c r="N1280" s="67"/>
      <c r="O1280" s="67"/>
      <c r="P1280" s="67"/>
      <c r="Q1280" s="67"/>
      <c r="R1280" s="67"/>
      <c r="S1280" s="67"/>
      <c r="T1280" s="67"/>
      <c r="U1280" s="67"/>
      <c r="V1280" s="67"/>
      <c r="W1280" s="67"/>
      <c r="X1280" s="67"/>
      <c r="Y1280" s="67"/>
      <c r="Z1280" s="67"/>
    </row>
    <row r="1281" spans="1:26" ht="12.5">
      <c r="A1281" s="68" t="s">
        <v>3046</v>
      </c>
      <c r="B1281" s="68" t="s">
        <v>3047</v>
      </c>
      <c r="C1281" s="68" t="s">
        <v>3081</v>
      </c>
      <c r="D1281" s="68" t="s">
        <v>20</v>
      </c>
      <c r="E1281" s="69">
        <v>2020</v>
      </c>
      <c r="F1281" s="69">
        <v>22</v>
      </c>
      <c r="G1281" s="69">
        <v>782.3</v>
      </c>
      <c r="H1281" s="69">
        <v>33707</v>
      </c>
      <c r="I1281" s="67"/>
      <c r="J1281" s="67"/>
      <c r="K1281" s="67"/>
      <c r="L1281" s="67"/>
      <c r="M1281" s="67"/>
      <c r="N1281" s="67"/>
      <c r="O1281" s="67"/>
      <c r="P1281" s="67"/>
      <c r="Q1281" s="67"/>
      <c r="R1281" s="67"/>
      <c r="S1281" s="67"/>
      <c r="T1281" s="67"/>
      <c r="U1281" s="67"/>
      <c r="V1281" s="67"/>
      <c r="W1281" s="67"/>
      <c r="X1281" s="67"/>
      <c r="Y1281" s="67"/>
      <c r="Z1281" s="67"/>
    </row>
    <row r="1282" spans="1:26" ht="12.5">
      <c r="A1282" s="68" t="s">
        <v>3046</v>
      </c>
      <c r="B1282" s="68" t="s">
        <v>3083</v>
      </c>
      <c r="C1282" s="68" t="s">
        <v>3084</v>
      </c>
      <c r="D1282" s="68" t="s">
        <v>28</v>
      </c>
      <c r="E1282" s="69">
        <v>2020</v>
      </c>
      <c r="F1282" s="69">
        <v>26</v>
      </c>
      <c r="G1282" s="69">
        <v>939.8</v>
      </c>
      <c r="H1282" s="69">
        <v>18395</v>
      </c>
      <c r="I1282" s="67"/>
      <c r="J1282" s="67"/>
      <c r="K1282" s="67"/>
      <c r="L1282" s="67"/>
      <c r="M1282" s="67"/>
      <c r="N1282" s="67"/>
      <c r="O1282" s="67"/>
      <c r="P1282" s="67"/>
      <c r="Q1282" s="67"/>
      <c r="R1282" s="67"/>
      <c r="S1282" s="67"/>
      <c r="T1282" s="67"/>
      <c r="U1282" s="67"/>
      <c r="V1282" s="67"/>
      <c r="W1282" s="67"/>
      <c r="X1282" s="67"/>
      <c r="Y1282" s="67"/>
      <c r="Z1282" s="67"/>
    </row>
    <row r="1283" spans="1:26" ht="12.5">
      <c r="A1283" s="68" t="s">
        <v>3046</v>
      </c>
      <c r="B1283" s="68" t="s">
        <v>3083</v>
      </c>
      <c r="C1283" s="68" t="s">
        <v>3086</v>
      </c>
      <c r="D1283" s="68" t="s">
        <v>28</v>
      </c>
      <c r="E1283" s="69">
        <v>2020</v>
      </c>
      <c r="F1283" s="69">
        <v>5</v>
      </c>
      <c r="G1283" s="69">
        <v>150.6</v>
      </c>
      <c r="H1283" s="69">
        <v>3161</v>
      </c>
      <c r="I1283" s="67"/>
      <c r="J1283" s="67"/>
      <c r="K1283" s="67"/>
      <c r="L1283" s="67"/>
      <c r="M1283" s="67"/>
      <c r="N1283" s="67"/>
      <c r="O1283" s="67"/>
      <c r="P1283" s="67"/>
      <c r="Q1283" s="67"/>
      <c r="R1283" s="67"/>
      <c r="S1283" s="67"/>
      <c r="T1283" s="67"/>
      <c r="U1283" s="67"/>
      <c r="V1283" s="67"/>
      <c r="W1283" s="67"/>
      <c r="X1283" s="67"/>
      <c r="Y1283" s="67"/>
      <c r="Z1283" s="67"/>
    </row>
    <row r="1284" spans="1:26" ht="12.5">
      <c r="A1284" s="68" t="s">
        <v>3046</v>
      </c>
      <c r="B1284" s="68" t="s">
        <v>3083</v>
      </c>
      <c r="C1284" s="68" t="s">
        <v>1824</v>
      </c>
      <c r="D1284" s="68" t="s">
        <v>28</v>
      </c>
      <c r="E1284" s="69">
        <v>2020</v>
      </c>
      <c r="F1284" s="69">
        <v>8</v>
      </c>
      <c r="G1284" s="69">
        <v>107.1</v>
      </c>
      <c r="H1284" s="69">
        <v>5024</v>
      </c>
      <c r="I1284" s="67"/>
      <c r="J1284" s="67"/>
      <c r="K1284" s="67"/>
      <c r="L1284" s="67"/>
      <c r="M1284" s="67"/>
      <c r="N1284" s="67"/>
      <c r="O1284" s="67"/>
      <c r="P1284" s="67"/>
      <c r="Q1284" s="67"/>
      <c r="R1284" s="67"/>
      <c r="S1284" s="67"/>
      <c r="T1284" s="67"/>
      <c r="U1284" s="67"/>
      <c r="V1284" s="67"/>
      <c r="W1284" s="67"/>
      <c r="X1284" s="67"/>
      <c r="Y1284" s="67"/>
      <c r="Z1284" s="67"/>
    </row>
    <row r="1285" spans="1:26" ht="12.5">
      <c r="A1285" s="68" t="s">
        <v>3046</v>
      </c>
      <c r="B1285" s="68" t="s">
        <v>3083</v>
      </c>
      <c r="C1285" s="68" t="s">
        <v>3090</v>
      </c>
      <c r="D1285" s="68" t="s">
        <v>28</v>
      </c>
      <c r="E1285" s="69">
        <v>2020</v>
      </c>
      <c r="F1285" s="69">
        <v>12</v>
      </c>
      <c r="G1285" s="69">
        <v>305.10000000000002</v>
      </c>
      <c r="H1285" s="69">
        <v>8167</v>
      </c>
      <c r="I1285" s="67"/>
      <c r="J1285" s="67"/>
      <c r="K1285" s="67"/>
      <c r="L1285" s="67"/>
      <c r="M1285" s="67"/>
      <c r="N1285" s="67"/>
      <c r="O1285" s="67"/>
      <c r="P1285" s="67"/>
      <c r="Q1285" s="67"/>
      <c r="R1285" s="67"/>
      <c r="S1285" s="67"/>
      <c r="T1285" s="67"/>
      <c r="U1285" s="67"/>
      <c r="V1285" s="67"/>
      <c r="W1285" s="67"/>
      <c r="X1285" s="67"/>
      <c r="Y1285" s="67"/>
      <c r="Z1285" s="67"/>
    </row>
    <row r="1286" spans="1:26" ht="12.5">
      <c r="A1286" s="68" t="s">
        <v>3046</v>
      </c>
      <c r="B1286" s="68" t="s">
        <v>3083</v>
      </c>
      <c r="C1286" s="68" t="s">
        <v>3093</v>
      </c>
      <c r="D1286" s="68" t="s">
        <v>32</v>
      </c>
      <c r="E1286" s="69">
        <v>2020</v>
      </c>
      <c r="F1286" s="69">
        <v>18</v>
      </c>
      <c r="G1286" s="69">
        <v>471.6</v>
      </c>
      <c r="H1286" s="69">
        <v>15815</v>
      </c>
      <c r="I1286" s="67"/>
      <c r="J1286" s="67"/>
      <c r="K1286" s="67"/>
      <c r="L1286" s="67"/>
      <c r="M1286" s="67"/>
      <c r="N1286" s="67"/>
      <c r="O1286" s="67"/>
      <c r="P1286" s="67"/>
      <c r="Q1286" s="67"/>
      <c r="R1286" s="67"/>
      <c r="S1286" s="67"/>
      <c r="T1286" s="67"/>
      <c r="U1286" s="67"/>
      <c r="V1286" s="67"/>
      <c r="W1286" s="67"/>
      <c r="X1286" s="67"/>
      <c r="Y1286" s="67"/>
      <c r="Z1286" s="67"/>
    </row>
    <row r="1287" spans="1:26" ht="12.5">
      <c r="A1287" s="68" t="s">
        <v>3046</v>
      </c>
      <c r="B1287" s="68" t="s">
        <v>3083</v>
      </c>
      <c r="C1287" s="68" t="s">
        <v>3095</v>
      </c>
      <c r="D1287" s="68" t="s">
        <v>20</v>
      </c>
      <c r="E1287" s="69">
        <v>2020</v>
      </c>
      <c r="F1287" s="69">
        <v>15</v>
      </c>
      <c r="G1287" s="69">
        <v>410</v>
      </c>
      <c r="H1287" s="69">
        <v>35339</v>
      </c>
      <c r="I1287" s="67"/>
      <c r="J1287" s="67"/>
      <c r="K1287" s="67"/>
      <c r="L1287" s="67"/>
      <c r="M1287" s="67"/>
      <c r="N1287" s="67"/>
      <c r="O1287" s="67"/>
      <c r="P1287" s="67"/>
      <c r="Q1287" s="67"/>
      <c r="R1287" s="67"/>
      <c r="S1287" s="67"/>
      <c r="T1287" s="67"/>
      <c r="U1287" s="67"/>
      <c r="V1287" s="67"/>
      <c r="W1287" s="67"/>
      <c r="X1287" s="67"/>
      <c r="Y1287" s="67"/>
      <c r="Z1287" s="67"/>
    </row>
    <row r="1288" spans="1:26" ht="12.5">
      <c r="A1288" s="68" t="s">
        <v>3046</v>
      </c>
      <c r="B1288" s="68" t="s">
        <v>3083</v>
      </c>
      <c r="C1288" s="68" t="s">
        <v>3098</v>
      </c>
      <c r="D1288" s="68" t="s">
        <v>28</v>
      </c>
      <c r="E1288" s="69">
        <v>2020</v>
      </c>
      <c r="F1288" s="69">
        <v>9</v>
      </c>
      <c r="G1288" s="69">
        <v>173.8</v>
      </c>
      <c r="H1288" s="69">
        <v>3697</v>
      </c>
      <c r="I1288" s="67"/>
      <c r="J1288" s="67"/>
      <c r="K1288" s="67"/>
      <c r="L1288" s="67"/>
      <c r="M1288" s="67"/>
      <c r="N1288" s="67"/>
      <c r="O1288" s="67"/>
      <c r="P1288" s="67"/>
      <c r="Q1288" s="67"/>
      <c r="R1288" s="67"/>
      <c r="S1288" s="67"/>
      <c r="T1288" s="67"/>
      <c r="U1288" s="67"/>
      <c r="V1288" s="67"/>
      <c r="W1288" s="67"/>
      <c r="X1288" s="67"/>
      <c r="Y1288" s="67"/>
      <c r="Z1288" s="67"/>
    </row>
    <row r="1289" spans="1:26" ht="12.5">
      <c r="A1289" s="68" t="s">
        <v>3046</v>
      </c>
      <c r="B1289" s="68" t="s">
        <v>3083</v>
      </c>
      <c r="C1289" s="68" t="s">
        <v>3100</v>
      </c>
      <c r="D1289" s="68" t="s">
        <v>28</v>
      </c>
      <c r="E1289" s="69">
        <v>2020</v>
      </c>
      <c r="F1289" s="69">
        <v>18</v>
      </c>
      <c r="G1289" s="69">
        <v>388.9</v>
      </c>
      <c r="H1289" s="69">
        <v>10032</v>
      </c>
      <c r="I1289" s="67"/>
      <c r="J1289" s="67"/>
      <c r="K1289" s="67"/>
      <c r="L1289" s="67"/>
      <c r="M1289" s="67"/>
      <c r="N1289" s="67"/>
      <c r="O1289" s="67"/>
      <c r="P1289" s="67"/>
      <c r="Q1289" s="67"/>
      <c r="R1289" s="67"/>
      <c r="S1289" s="67"/>
      <c r="T1289" s="67"/>
      <c r="U1289" s="67"/>
      <c r="V1289" s="67"/>
      <c r="W1289" s="67"/>
      <c r="X1289" s="67"/>
      <c r="Y1289" s="67"/>
      <c r="Z1289" s="67"/>
    </row>
    <row r="1290" spans="1:26" ht="12.5">
      <c r="A1290" s="68" t="s">
        <v>3046</v>
      </c>
      <c r="B1290" s="68" t="s">
        <v>3083</v>
      </c>
      <c r="C1290" s="68" t="s">
        <v>140</v>
      </c>
      <c r="D1290" s="68" t="s">
        <v>28</v>
      </c>
      <c r="E1290" s="69">
        <v>2020</v>
      </c>
      <c r="F1290" s="69">
        <v>8</v>
      </c>
      <c r="G1290" s="69">
        <v>239.5</v>
      </c>
      <c r="H1290" s="69">
        <v>6722</v>
      </c>
      <c r="I1290" s="67"/>
      <c r="J1290" s="67"/>
      <c r="K1290" s="67"/>
      <c r="L1290" s="67"/>
      <c r="M1290" s="67"/>
      <c r="N1290" s="67"/>
      <c r="O1290" s="67"/>
      <c r="P1290" s="67"/>
      <c r="Q1290" s="67"/>
      <c r="R1290" s="67"/>
      <c r="S1290" s="67"/>
      <c r="T1290" s="67"/>
      <c r="U1290" s="67"/>
      <c r="V1290" s="67"/>
      <c r="W1290" s="67"/>
      <c r="X1290" s="67"/>
      <c r="Y1290" s="67"/>
      <c r="Z1290" s="67"/>
    </row>
    <row r="1291" spans="1:26" ht="12.5">
      <c r="A1291" s="68" t="s">
        <v>3046</v>
      </c>
      <c r="B1291" s="68" t="s">
        <v>3083</v>
      </c>
      <c r="C1291" s="68" t="s">
        <v>2904</v>
      </c>
      <c r="D1291" s="68" t="s">
        <v>32</v>
      </c>
      <c r="E1291" s="69">
        <v>2020</v>
      </c>
      <c r="F1291" s="69">
        <v>26</v>
      </c>
      <c r="G1291" s="69">
        <v>639.9</v>
      </c>
      <c r="H1291" s="69">
        <v>20269</v>
      </c>
      <c r="I1291" s="67"/>
      <c r="J1291" s="67"/>
      <c r="K1291" s="67"/>
      <c r="L1291" s="67"/>
      <c r="M1291" s="67"/>
      <c r="N1291" s="67"/>
      <c r="O1291" s="67"/>
      <c r="P1291" s="67"/>
      <c r="Q1291" s="67"/>
      <c r="R1291" s="67"/>
      <c r="S1291" s="67"/>
      <c r="T1291" s="67"/>
      <c r="U1291" s="67"/>
      <c r="V1291" s="67"/>
      <c r="W1291" s="67"/>
      <c r="X1291" s="67"/>
      <c r="Y1291" s="67"/>
      <c r="Z1291" s="67"/>
    </row>
    <row r="1292" spans="1:26" ht="12.5">
      <c r="A1292" s="68" t="s">
        <v>3046</v>
      </c>
      <c r="B1292" s="68" t="s">
        <v>3083</v>
      </c>
      <c r="C1292" s="68" t="s">
        <v>3107</v>
      </c>
      <c r="D1292" s="68" t="s">
        <v>28</v>
      </c>
      <c r="E1292" s="69">
        <v>2020</v>
      </c>
      <c r="F1292" s="69">
        <v>23</v>
      </c>
      <c r="G1292" s="69">
        <v>419.8</v>
      </c>
      <c r="H1292" s="69">
        <v>11415</v>
      </c>
      <c r="I1292" s="67"/>
      <c r="J1292" s="67"/>
      <c r="K1292" s="67"/>
      <c r="L1292" s="67"/>
      <c r="M1292" s="67"/>
      <c r="N1292" s="67"/>
      <c r="O1292" s="67"/>
      <c r="P1292" s="67"/>
      <c r="Q1292" s="67"/>
      <c r="R1292" s="67"/>
      <c r="S1292" s="67"/>
      <c r="T1292" s="67"/>
      <c r="U1292" s="67"/>
      <c r="V1292" s="67"/>
      <c r="W1292" s="67"/>
      <c r="X1292" s="67"/>
      <c r="Y1292" s="67"/>
      <c r="Z1292" s="67"/>
    </row>
    <row r="1293" spans="1:26" ht="12.5">
      <c r="A1293" s="68" t="s">
        <v>3046</v>
      </c>
      <c r="B1293" s="68" t="s">
        <v>3110</v>
      </c>
      <c r="C1293" s="68" t="s">
        <v>3111</v>
      </c>
      <c r="D1293" s="68" t="s">
        <v>28</v>
      </c>
      <c r="E1293" s="69">
        <v>2020</v>
      </c>
      <c r="F1293" s="69">
        <v>6</v>
      </c>
      <c r="G1293" s="69">
        <v>154.69999999999999</v>
      </c>
      <c r="H1293" s="69">
        <v>4310</v>
      </c>
      <c r="I1293" s="67"/>
      <c r="J1293" s="67"/>
      <c r="K1293" s="67"/>
      <c r="L1293" s="67"/>
      <c r="M1293" s="67"/>
      <c r="N1293" s="67"/>
      <c r="O1293" s="67"/>
      <c r="P1293" s="67"/>
      <c r="Q1293" s="67"/>
      <c r="R1293" s="67"/>
      <c r="S1293" s="67"/>
      <c r="T1293" s="67"/>
      <c r="U1293" s="67"/>
      <c r="V1293" s="67"/>
      <c r="W1293" s="67"/>
      <c r="X1293" s="67"/>
      <c r="Y1293" s="67"/>
      <c r="Z1293" s="67"/>
    </row>
    <row r="1294" spans="1:26" ht="12.5">
      <c r="A1294" s="68" t="s">
        <v>3046</v>
      </c>
      <c r="B1294" s="68" t="s">
        <v>3110</v>
      </c>
      <c r="C1294" s="68" t="s">
        <v>3113</v>
      </c>
      <c r="D1294" s="68" t="s">
        <v>32</v>
      </c>
      <c r="E1294" s="69">
        <v>2020</v>
      </c>
      <c r="F1294" s="69">
        <v>12</v>
      </c>
      <c r="G1294" s="69">
        <v>275.10000000000002</v>
      </c>
      <c r="H1294" s="69">
        <v>6566</v>
      </c>
      <c r="I1294" s="67"/>
      <c r="J1294" s="67"/>
      <c r="K1294" s="67"/>
      <c r="L1294" s="67"/>
      <c r="M1294" s="67"/>
      <c r="N1294" s="67"/>
      <c r="O1294" s="67"/>
      <c r="P1294" s="67"/>
      <c r="Q1294" s="67"/>
      <c r="R1294" s="67"/>
      <c r="S1294" s="67"/>
      <c r="T1294" s="67"/>
      <c r="U1294" s="67"/>
      <c r="V1294" s="67"/>
      <c r="W1294" s="67"/>
      <c r="X1294" s="67"/>
      <c r="Y1294" s="67"/>
      <c r="Z1294" s="67"/>
    </row>
    <row r="1295" spans="1:26" ht="12.5">
      <c r="A1295" s="68" t="s">
        <v>3046</v>
      </c>
      <c r="B1295" s="68" t="s">
        <v>3110</v>
      </c>
      <c r="C1295" s="68" t="s">
        <v>3116</v>
      </c>
      <c r="D1295" s="68" t="s">
        <v>28</v>
      </c>
      <c r="E1295" s="69">
        <v>2020</v>
      </c>
      <c r="F1295" s="69">
        <v>8</v>
      </c>
      <c r="G1295" s="69">
        <v>179.4</v>
      </c>
      <c r="H1295" s="69">
        <v>4026</v>
      </c>
      <c r="I1295" s="67"/>
      <c r="J1295" s="67"/>
      <c r="K1295" s="67"/>
      <c r="L1295" s="67"/>
      <c r="M1295" s="67"/>
      <c r="N1295" s="67"/>
      <c r="O1295" s="67"/>
      <c r="P1295" s="67"/>
      <c r="Q1295" s="67"/>
      <c r="R1295" s="67"/>
      <c r="S1295" s="67"/>
      <c r="T1295" s="67"/>
      <c r="U1295" s="67"/>
      <c r="V1295" s="67"/>
      <c r="W1295" s="67"/>
      <c r="X1295" s="67"/>
      <c r="Y1295" s="67"/>
      <c r="Z1295" s="67"/>
    </row>
    <row r="1296" spans="1:26" ht="12.5">
      <c r="A1296" s="68" t="s">
        <v>3046</v>
      </c>
      <c r="B1296" s="68" t="s">
        <v>3110</v>
      </c>
      <c r="C1296" s="68" t="s">
        <v>3118</v>
      </c>
      <c r="D1296" s="68" t="s">
        <v>32</v>
      </c>
      <c r="E1296" s="69">
        <v>2020</v>
      </c>
      <c r="F1296" s="69">
        <v>8</v>
      </c>
      <c r="G1296" s="69">
        <v>190.1</v>
      </c>
      <c r="H1296" s="69">
        <v>5176</v>
      </c>
      <c r="I1296" s="67"/>
      <c r="J1296" s="67"/>
      <c r="K1296" s="67"/>
      <c r="L1296" s="67"/>
      <c r="M1296" s="67"/>
      <c r="N1296" s="67"/>
      <c r="O1296" s="67"/>
      <c r="P1296" s="67"/>
      <c r="Q1296" s="67"/>
      <c r="R1296" s="67"/>
      <c r="S1296" s="67"/>
      <c r="T1296" s="67"/>
      <c r="U1296" s="67"/>
      <c r="V1296" s="67"/>
      <c r="W1296" s="67"/>
      <c r="X1296" s="67"/>
      <c r="Y1296" s="67"/>
      <c r="Z1296" s="67"/>
    </row>
    <row r="1297" spans="1:26" ht="12.5">
      <c r="A1297" s="68" t="s">
        <v>3046</v>
      </c>
      <c r="B1297" s="68" t="s">
        <v>3110</v>
      </c>
      <c r="C1297" s="68" t="s">
        <v>3120</v>
      </c>
      <c r="D1297" s="68" t="s">
        <v>28</v>
      </c>
      <c r="E1297" s="69">
        <v>2020</v>
      </c>
      <c r="F1297" s="69">
        <v>12</v>
      </c>
      <c r="G1297" s="69">
        <v>311.39999999999998</v>
      </c>
      <c r="H1297" s="69">
        <v>9535</v>
      </c>
      <c r="I1297" s="67"/>
      <c r="J1297" s="67"/>
      <c r="K1297" s="67"/>
      <c r="L1297" s="67"/>
      <c r="M1297" s="67"/>
      <c r="N1297" s="67"/>
      <c r="O1297" s="67"/>
      <c r="P1297" s="67"/>
      <c r="Q1297" s="67"/>
      <c r="R1297" s="67"/>
      <c r="S1297" s="67"/>
      <c r="T1297" s="67"/>
      <c r="U1297" s="67"/>
      <c r="V1297" s="67"/>
      <c r="W1297" s="67"/>
      <c r="X1297" s="67"/>
      <c r="Y1297" s="67"/>
      <c r="Z1297" s="67"/>
    </row>
    <row r="1298" spans="1:26" ht="12.5">
      <c r="A1298" s="68" t="s">
        <v>3046</v>
      </c>
      <c r="B1298" s="68" t="s">
        <v>3110</v>
      </c>
      <c r="C1298" s="68" t="s">
        <v>3122</v>
      </c>
      <c r="D1298" s="68" t="s">
        <v>20</v>
      </c>
      <c r="E1298" s="69">
        <v>2020</v>
      </c>
      <c r="F1298" s="69">
        <v>28</v>
      </c>
      <c r="G1298" s="69">
        <v>724.9</v>
      </c>
      <c r="H1298" s="69">
        <v>28912</v>
      </c>
      <c r="I1298" s="67"/>
      <c r="J1298" s="67"/>
      <c r="K1298" s="67"/>
      <c r="L1298" s="67"/>
      <c r="M1298" s="67"/>
      <c r="N1298" s="67"/>
      <c r="O1298" s="67"/>
      <c r="P1298" s="67"/>
      <c r="Q1298" s="67"/>
      <c r="R1298" s="67"/>
      <c r="S1298" s="67"/>
      <c r="T1298" s="67"/>
      <c r="U1298" s="67"/>
      <c r="V1298" s="67"/>
      <c r="W1298" s="67"/>
      <c r="X1298" s="67"/>
      <c r="Y1298" s="67"/>
      <c r="Z1298" s="67"/>
    </row>
    <row r="1299" spans="1:26" ht="12.5">
      <c r="A1299" s="68" t="s">
        <v>3046</v>
      </c>
      <c r="B1299" s="68" t="s">
        <v>3110</v>
      </c>
      <c r="C1299" s="68" t="s">
        <v>80</v>
      </c>
      <c r="D1299" s="68" t="s">
        <v>28</v>
      </c>
      <c r="E1299" s="69">
        <v>2020</v>
      </c>
      <c r="F1299" s="69">
        <v>11</v>
      </c>
      <c r="G1299" s="69">
        <v>322.3</v>
      </c>
      <c r="H1299" s="69">
        <v>10337</v>
      </c>
      <c r="I1299" s="67"/>
      <c r="J1299" s="67"/>
      <c r="K1299" s="67"/>
      <c r="L1299" s="67"/>
      <c r="M1299" s="67"/>
      <c r="N1299" s="67"/>
      <c r="O1299" s="67"/>
      <c r="P1299" s="67"/>
      <c r="Q1299" s="67"/>
      <c r="R1299" s="67"/>
      <c r="S1299" s="67"/>
      <c r="T1299" s="67"/>
      <c r="U1299" s="67"/>
      <c r="V1299" s="67"/>
      <c r="W1299" s="67"/>
      <c r="X1299" s="67"/>
      <c r="Y1299" s="67"/>
      <c r="Z1299" s="67"/>
    </row>
    <row r="1300" spans="1:26" ht="12.5">
      <c r="A1300" s="68" t="s">
        <v>3046</v>
      </c>
      <c r="B1300" s="68" t="s">
        <v>3110</v>
      </c>
      <c r="C1300" s="68" t="s">
        <v>3125</v>
      </c>
      <c r="D1300" s="68" t="s">
        <v>32</v>
      </c>
      <c r="E1300" s="69">
        <v>2020</v>
      </c>
      <c r="F1300" s="69">
        <v>19</v>
      </c>
      <c r="G1300" s="69">
        <v>477.3</v>
      </c>
      <c r="H1300" s="69">
        <v>17912</v>
      </c>
      <c r="I1300" s="67"/>
      <c r="J1300" s="67"/>
      <c r="K1300" s="67"/>
      <c r="L1300" s="67"/>
      <c r="M1300" s="67"/>
      <c r="N1300" s="67"/>
      <c r="O1300" s="67"/>
      <c r="P1300" s="67"/>
      <c r="Q1300" s="67"/>
      <c r="R1300" s="67"/>
      <c r="S1300" s="67"/>
      <c r="T1300" s="67"/>
      <c r="U1300" s="67"/>
      <c r="V1300" s="67"/>
      <c r="W1300" s="67"/>
      <c r="X1300" s="67"/>
      <c r="Y1300" s="67"/>
      <c r="Z1300" s="67"/>
    </row>
    <row r="1301" spans="1:26" ht="12.5">
      <c r="A1301" s="68" t="s">
        <v>3046</v>
      </c>
      <c r="B1301" s="68" t="s">
        <v>3110</v>
      </c>
      <c r="C1301" s="68" t="s">
        <v>3128</v>
      </c>
      <c r="D1301" s="68" t="s">
        <v>20</v>
      </c>
      <c r="E1301" s="69">
        <v>2020</v>
      </c>
      <c r="F1301" s="69">
        <v>41</v>
      </c>
      <c r="G1301" s="69">
        <v>719.2</v>
      </c>
      <c r="H1301" s="69">
        <v>34413</v>
      </c>
      <c r="I1301" s="67"/>
      <c r="J1301" s="67"/>
      <c r="K1301" s="67"/>
      <c r="L1301" s="67"/>
      <c r="M1301" s="67"/>
      <c r="N1301" s="67"/>
      <c r="O1301" s="67"/>
      <c r="P1301" s="67"/>
      <c r="Q1301" s="67"/>
      <c r="R1301" s="67"/>
      <c r="S1301" s="67"/>
      <c r="T1301" s="67"/>
      <c r="U1301" s="67"/>
      <c r="V1301" s="67"/>
      <c r="W1301" s="67"/>
      <c r="X1301" s="67"/>
      <c r="Y1301" s="67"/>
      <c r="Z1301" s="67"/>
    </row>
    <row r="1302" spans="1:26" ht="12.5">
      <c r="A1302" s="68" t="s">
        <v>3046</v>
      </c>
      <c r="B1302" s="68" t="s">
        <v>3110</v>
      </c>
      <c r="C1302" s="68" t="s">
        <v>3131</v>
      </c>
      <c r="D1302" s="68" t="s">
        <v>28</v>
      </c>
      <c r="E1302" s="69">
        <v>2020</v>
      </c>
      <c r="F1302" s="69">
        <v>18</v>
      </c>
      <c r="G1302" s="69">
        <v>482.6</v>
      </c>
      <c r="H1302" s="69">
        <v>14789</v>
      </c>
      <c r="I1302" s="67"/>
      <c r="J1302" s="67"/>
      <c r="K1302" s="67"/>
      <c r="L1302" s="67"/>
      <c r="M1302" s="67"/>
      <c r="N1302" s="67"/>
      <c r="O1302" s="67"/>
      <c r="P1302" s="67"/>
      <c r="Q1302" s="67"/>
      <c r="R1302" s="67"/>
      <c r="S1302" s="67"/>
      <c r="T1302" s="67"/>
      <c r="U1302" s="67"/>
      <c r="V1302" s="67"/>
      <c r="W1302" s="67"/>
      <c r="X1302" s="67"/>
      <c r="Y1302" s="67"/>
      <c r="Z1302" s="67"/>
    </row>
    <row r="1303" spans="1:26" ht="12.5">
      <c r="A1303" s="68" t="s">
        <v>3046</v>
      </c>
      <c r="B1303" s="68" t="s">
        <v>3110</v>
      </c>
      <c r="C1303" s="68" t="s">
        <v>3133</v>
      </c>
      <c r="D1303" s="68" t="s">
        <v>20</v>
      </c>
      <c r="E1303" s="69">
        <v>2020</v>
      </c>
      <c r="F1303" s="69">
        <v>2</v>
      </c>
      <c r="G1303" s="69">
        <v>67.2</v>
      </c>
      <c r="H1303" s="69">
        <v>83191</v>
      </c>
      <c r="I1303" s="67"/>
      <c r="J1303" s="67"/>
      <c r="K1303" s="67"/>
      <c r="L1303" s="67"/>
      <c r="M1303" s="67"/>
      <c r="N1303" s="67"/>
      <c r="O1303" s="67"/>
      <c r="P1303" s="67"/>
      <c r="Q1303" s="67"/>
      <c r="R1303" s="67"/>
      <c r="S1303" s="67"/>
      <c r="T1303" s="67"/>
      <c r="U1303" s="67"/>
      <c r="V1303" s="67"/>
      <c r="W1303" s="67"/>
      <c r="X1303" s="67"/>
      <c r="Y1303" s="67"/>
      <c r="Z1303" s="67"/>
    </row>
    <row r="1304" spans="1:26" ht="12.5">
      <c r="A1304" s="68" t="s">
        <v>3046</v>
      </c>
      <c r="B1304" s="68" t="s">
        <v>3110</v>
      </c>
      <c r="C1304" s="68" t="s">
        <v>3136</v>
      </c>
      <c r="D1304" s="68" t="s">
        <v>20</v>
      </c>
      <c r="E1304" s="69">
        <v>2020</v>
      </c>
      <c r="F1304" s="69">
        <v>34</v>
      </c>
      <c r="G1304" s="69">
        <v>607.4</v>
      </c>
      <c r="H1304" s="69">
        <v>32241</v>
      </c>
      <c r="I1304" s="67"/>
      <c r="J1304" s="67"/>
      <c r="K1304" s="67"/>
      <c r="L1304" s="67"/>
      <c r="M1304" s="67"/>
      <c r="N1304" s="67"/>
      <c r="O1304" s="67"/>
      <c r="P1304" s="67"/>
      <c r="Q1304" s="67"/>
      <c r="R1304" s="67"/>
      <c r="S1304" s="67"/>
      <c r="T1304" s="67"/>
      <c r="U1304" s="67"/>
      <c r="V1304" s="67"/>
      <c r="W1304" s="67"/>
      <c r="X1304" s="67"/>
      <c r="Y1304" s="67"/>
      <c r="Z1304" s="67"/>
    </row>
    <row r="1305" spans="1:26" ht="12.5">
      <c r="A1305" s="68" t="s">
        <v>3046</v>
      </c>
      <c r="B1305" s="68" t="s">
        <v>3139</v>
      </c>
      <c r="C1305" s="68" t="s">
        <v>3140</v>
      </c>
      <c r="D1305" s="68" t="s">
        <v>28</v>
      </c>
      <c r="E1305" s="69">
        <v>2020</v>
      </c>
      <c r="F1305" s="69">
        <v>6</v>
      </c>
      <c r="G1305" s="69">
        <v>206.4</v>
      </c>
      <c r="H1305" s="69">
        <v>9519</v>
      </c>
      <c r="I1305" s="67"/>
      <c r="J1305" s="67"/>
      <c r="K1305" s="67"/>
      <c r="L1305" s="67"/>
      <c r="M1305" s="67"/>
      <c r="N1305" s="67"/>
      <c r="O1305" s="67"/>
      <c r="P1305" s="67"/>
      <c r="Q1305" s="67"/>
      <c r="R1305" s="67"/>
      <c r="S1305" s="67"/>
      <c r="T1305" s="67"/>
      <c r="U1305" s="67"/>
      <c r="V1305" s="67"/>
      <c r="W1305" s="67"/>
      <c r="X1305" s="67"/>
      <c r="Y1305" s="67"/>
      <c r="Z1305" s="67"/>
    </row>
    <row r="1306" spans="1:26" ht="12.5">
      <c r="A1306" s="68" t="s">
        <v>3046</v>
      </c>
      <c r="B1306" s="68" t="s">
        <v>3139</v>
      </c>
      <c r="C1306" s="68" t="s">
        <v>3142</v>
      </c>
      <c r="D1306" s="68" t="s">
        <v>28</v>
      </c>
      <c r="E1306" s="69">
        <v>2020</v>
      </c>
      <c r="F1306" s="69">
        <v>5</v>
      </c>
      <c r="G1306" s="69">
        <v>193.2</v>
      </c>
      <c r="H1306" s="69">
        <v>5495</v>
      </c>
      <c r="I1306" s="67"/>
      <c r="J1306" s="67"/>
      <c r="K1306" s="67"/>
      <c r="L1306" s="67"/>
      <c r="M1306" s="67"/>
      <c r="N1306" s="67"/>
      <c r="O1306" s="67"/>
      <c r="P1306" s="67"/>
      <c r="Q1306" s="67"/>
      <c r="R1306" s="67"/>
      <c r="S1306" s="67"/>
      <c r="T1306" s="67"/>
      <c r="U1306" s="67"/>
      <c r="V1306" s="67"/>
      <c r="W1306" s="67"/>
      <c r="X1306" s="67"/>
      <c r="Y1306" s="67"/>
      <c r="Z1306" s="67"/>
    </row>
    <row r="1307" spans="1:26" ht="12.5">
      <c r="A1307" s="68" t="s">
        <v>3046</v>
      </c>
      <c r="B1307" s="68" t="s">
        <v>3139</v>
      </c>
      <c r="C1307" s="68" t="s">
        <v>3144</v>
      </c>
      <c r="D1307" s="68" t="s">
        <v>28</v>
      </c>
      <c r="E1307" s="69">
        <v>2020</v>
      </c>
      <c r="F1307" s="69">
        <v>24</v>
      </c>
      <c r="G1307" s="69">
        <v>399.5</v>
      </c>
      <c r="H1307" s="69">
        <v>4465</v>
      </c>
      <c r="I1307" s="67"/>
      <c r="J1307" s="67"/>
      <c r="K1307" s="67"/>
      <c r="L1307" s="67"/>
      <c r="M1307" s="67"/>
      <c r="N1307" s="67"/>
      <c r="O1307" s="67"/>
      <c r="P1307" s="67"/>
      <c r="Q1307" s="67"/>
      <c r="R1307" s="67"/>
      <c r="S1307" s="67"/>
      <c r="T1307" s="67"/>
      <c r="U1307" s="67"/>
      <c r="V1307" s="67"/>
      <c r="W1307" s="67"/>
      <c r="X1307" s="67"/>
      <c r="Y1307" s="67"/>
      <c r="Z1307" s="67"/>
    </row>
    <row r="1308" spans="1:26" ht="12.5">
      <c r="A1308" s="68" t="s">
        <v>3046</v>
      </c>
      <c r="B1308" s="68" t="s">
        <v>3139</v>
      </c>
      <c r="C1308" s="68" t="s">
        <v>3146</v>
      </c>
      <c r="D1308" s="68" t="s">
        <v>28</v>
      </c>
      <c r="E1308" s="69">
        <v>2020</v>
      </c>
      <c r="F1308" s="69">
        <v>6</v>
      </c>
      <c r="G1308" s="69">
        <v>148.80000000000001</v>
      </c>
      <c r="H1308" s="69">
        <v>4849</v>
      </c>
      <c r="I1308" s="67"/>
      <c r="J1308" s="67"/>
      <c r="K1308" s="67"/>
      <c r="L1308" s="67"/>
      <c r="M1308" s="67"/>
      <c r="N1308" s="67"/>
      <c r="O1308" s="67"/>
      <c r="P1308" s="67"/>
      <c r="Q1308" s="67"/>
      <c r="R1308" s="67"/>
      <c r="S1308" s="67"/>
      <c r="T1308" s="67"/>
      <c r="U1308" s="67"/>
      <c r="V1308" s="67"/>
      <c r="W1308" s="67"/>
      <c r="X1308" s="67"/>
      <c r="Y1308" s="67"/>
      <c r="Z1308" s="67"/>
    </row>
    <row r="1309" spans="1:26" ht="12.5">
      <c r="A1309" s="68" t="s">
        <v>3046</v>
      </c>
      <c r="B1309" s="68" t="s">
        <v>3139</v>
      </c>
      <c r="C1309" s="68" t="s">
        <v>3149</v>
      </c>
      <c r="D1309" s="68" t="s">
        <v>28</v>
      </c>
      <c r="E1309" s="69">
        <v>2020</v>
      </c>
      <c r="F1309" s="69">
        <v>3</v>
      </c>
      <c r="G1309" s="69">
        <v>199.3</v>
      </c>
      <c r="H1309" s="69">
        <v>8698</v>
      </c>
      <c r="I1309" s="67"/>
      <c r="J1309" s="67"/>
      <c r="K1309" s="67"/>
      <c r="L1309" s="67"/>
      <c r="M1309" s="67"/>
      <c r="N1309" s="67"/>
      <c r="O1309" s="67"/>
      <c r="P1309" s="67"/>
      <c r="Q1309" s="67"/>
      <c r="R1309" s="67"/>
      <c r="S1309" s="67"/>
      <c r="T1309" s="67"/>
      <c r="U1309" s="67"/>
      <c r="V1309" s="67"/>
      <c r="W1309" s="67"/>
      <c r="X1309" s="67"/>
      <c r="Y1309" s="67"/>
      <c r="Z1309" s="67"/>
    </row>
    <row r="1310" spans="1:26" ht="12.5">
      <c r="A1310" s="68" t="s">
        <v>3046</v>
      </c>
      <c r="B1310" s="68" t="s">
        <v>3139</v>
      </c>
      <c r="C1310" s="68" t="s">
        <v>261</v>
      </c>
      <c r="D1310" s="68" t="s">
        <v>20</v>
      </c>
      <c r="E1310" s="69">
        <v>2020</v>
      </c>
      <c r="F1310" s="69">
        <v>10</v>
      </c>
      <c r="G1310" s="69">
        <v>363.5</v>
      </c>
      <c r="H1310" s="69">
        <v>22866</v>
      </c>
      <c r="I1310" s="67"/>
      <c r="J1310" s="67"/>
      <c r="K1310" s="67"/>
      <c r="L1310" s="67"/>
      <c r="M1310" s="67"/>
      <c r="N1310" s="67"/>
      <c r="O1310" s="67"/>
      <c r="P1310" s="67"/>
      <c r="Q1310" s="67"/>
      <c r="R1310" s="67"/>
      <c r="S1310" s="67"/>
      <c r="T1310" s="67"/>
      <c r="U1310" s="67"/>
      <c r="V1310" s="67"/>
      <c r="W1310" s="67"/>
      <c r="X1310" s="67"/>
      <c r="Y1310" s="67"/>
      <c r="Z1310" s="67"/>
    </row>
    <row r="1311" spans="1:26" ht="12.5">
      <c r="A1311" s="68" t="s">
        <v>3046</v>
      </c>
      <c r="B1311" s="68" t="s">
        <v>3139</v>
      </c>
      <c r="C1311" s="68" t="s">
        <v>3153</v>
      </c>
      <c r="D1311" s="68" t="s">
        <v>20</v>
      </c>
      <c r="E1311" s="69">
        <v>2020</v>
      </c>
      <c r="F1311" s="69">
        <v>17</v>
      </c>
      <c r="G1311" s="69">
        <v>491.4</v>
      </c>
      <c r="H1311" s="69">
        <v>19458</v>
      </c>
      <c r="I1311" s="67"/>
      <c r="J1311" s="67"/>
      <c r="K1311" s="67"/>
      <c r="L1311" s="67"/>
      <c r="M1311" s="67"/>
      <c r="N1311" s="67"/>
      <c r="O1311" s="67"/>
      <c r="P1311" s="67"/>
      <c r="Q1311" s="67"/>
      <c r="R1311" s="67"/>
      <c r="S1311" s="67"/>
      <c r="T1311" s="67"/>
      <c r="U1311" s="67"/>
      <c r="V1311" s="67"/>
      <c r="W1311" s="67"/>
      <c r="X1311" s="67"/>
      <c r="Y1311" s="67"/>
      <c r="Z1311" s="67"/>
    </row>
    <row r="1312" spans="1:26" ht="12.5">
      <c r="A1312" s="68" t="s">
        <v>3046</v>
      </c>
      <c r="B1312" s="68" t="s">
        <v>3139</v>
      </c>
      <c r="C1312" s="68" t="s">
        <v>3155</v>
      </c>
      <c r="D1312" s="68" t="s">
        <v>20</v>
      </c>
      <c r="E1312" s="69">
        <v>2020</v>
      </c>
      <c r="F1312" s="69">
        <v>11</v>
      </c>
      <c r="G1312" s="69">
        <v>246.7</v>
      </c>
      <c r="H1312" s="69">
        <v>26888</v>
      </c>
      <c r="I1312" s="67"/>
      <c r="J1312" s="67"/>
      <c r="K1312" s="67"/>
      <c r="L1312" s="67"/>
      <c r="M1312" s="67"/>
      <c r="N1312" s="67"/>
      <c r="O1312" s="67"/>
      <c r="P1312" s="67"/>
      <c r="Q1312" s="67"/>
      <c r="R1312" s="67"/>
      <c r="S1312" s="67"/>
      <c r="T1312" s="67"/>
      <c r="U1312" s="67"/>
      <c r="V1312" s="67"/>
      <c r="W1312" s="67"/>
      <c r="X1312" s="67"/>
      <c r="Y1312" s="67"/>
      <c r="Z1312" s="67"/>
    </row>
    <row r="1313" spans="1:26" ht="12.5">
      <c r="A1313" s="68" t="s">
        <v>3046</v>
      </c>
      <c r="B1313" s="68" t="s">
        <v>3139</v>
      </c>
      <c r="C1313" s="68" t="s">
        <v>3157</v>
      </c>
      <c r="D1313" s="68" t="s">
        <v>20</v>
      </c>
      <c r="E1313" s="69">
        <v>2020</v>
      </c>
      <c r="F1313" s="69">
        <v>11</v>
      </c>
      <c r="G1313" s="69">
        <v>173.7</v>
      </c>
      <c r="H1313" s="69">
        <v>20733</v>
      </c>
      <c r="I1313" s="67"/>
      <c r="J1313" s="67"/>
      <c r="K1313" s="67"/>
      <c r="L1313" s="67"/>
      <c r="M1313" s="67"/>
      <c r="N1313" s="67"/>
      <c r="O1313" s="67"/>
      <c r="P1313" s="67"/>
      <c r="Q1313" s="67"/>
      <c r="R1313" s="67"/>
      <c r="S1313" s="67"/>
      <c r="T1313" s="67"/>
      <c r="U1313" s="67"/>
      <c r="V1313" s="67"/>
      <c r="W1313" s="67"/>
      <c r="X1313" s="67"/>
      <c r="Y1313" s="67"/>
      <c r="Z1313" s="67"/>
    </row>
    <row r="1314" spans="1:26" ht="12.5">
      <c r="A1314" s="68" t="s">
        <v>3046</v>
      </c>
      <c r="B1314" s="68" t="s">
        <v>3139</v>
      </c>
      <c r="C1314" s="68" t="s">
        <v>3160</v>
      </c>
      <c r="D1314" s="68" t="s">
        <v>28</v>
      </c>
      <c r="E1314" s="69">
        <v>2020</v>
      </c>
      <c r="F1314" s="69">
        <v>5</v>
      </c>
      <c r="G1314" s="69">
        <v>217.3</v>
      </c>
      <c r="H1314" s="69">
        <v>8207</v>
      </c>
      <c r="I1314" s="67"/>
      <c r="J1314" s="67"/>
      <c r="K1314" s="67"/>
      <c r="L1314" s="67"/>
      <c r="M1314" s="67"/>
      <c r="N1314" s="67"/>
      <c r="O1314" s="67"/>
      <c r="P1314" s="67"/>
      <c r="Q1314" s="67"/>
      <c r="R1314" s="67"/>
      <c r="S1314" s="67"/>
      <c r="T1314" s="67"/>
      <c r="U1314" s="67"/>
      <c r="V1314" s="67"/>
      <c r="W1314" s="67"/>
      <c r="X1314" s="67"/>
      <c r="Y1314" s="67"/>
      <c r="Z1314" s="67"/>
    </row>
    <row r="1315" spans="1:26" ht="12.5">
      <c r="A1315" s="68" t="s">
        <v>3046</v>
      </c>
      <c r="B1315" s="68" t="s">
        <v>3139</v>
      </c>
      <c r="C1315" s="68" t="s">
        <v>3162</v>
      </c>
      <c r="D1315" s="68" t="s">
        <v>28</v>
      </c>
      <c r="E1315" s="69">
        <v>2020</v>
      </c>
      <c r="F1315" s="69">
        <v>5</v>
      </c>
      <c r="G1315" s="69">
        <v>279.39999999999998</v>
      </c>
      <c r="H1315" s="69">
        <v>3530</v>
      </c>
      <c r="I1315" s="67"/>
      <c r="J1315" s="67"/>
      <c r="K1315" s="67"/>
      <c r="L1315" s="67"/>
      <c r="M1315" s="67"/>
      <c r="N1315" s="67"/>
      <c r="O1315" s="67"/>
      <c r="P1315" s="67"/>
      <c r="Q1315" s="67"/>
      <c r="R1315" s="67"/>
      <c r="S1315" s="67"/>
      <c r="T1315" s="67"/>
      <c r="U1315" s="67"/>
      <c r="V1315" s="67"/>
      <c r="W1315" s="67"/>
      <c r="X1315" s="67"/>
      <c r="Y1315" s="67"/>
      <c r="Z1315" s="67"/>
    </row>
    <row r="1316" spans="1:26" ht="12.5">
      <c r="A1316" s="68" t="s">
        <v>3046</v>
      </c>
      <c r="B1316" s="68" t="s">
        <v>3139</v>
      </c>
      <c r="C1316" s="68" t="s">
        <v>3164</v>
      </c>
      <c r="D1316" s="68" t="s">
        <v>28</v>
      </c>
      <c r="E1316" s="69">
        <v>2020</v>
      </c>
      <c r="F1316" s="69">
        <v>9</v>
      </c>
      <c r="G1316" s="69">
        <v>208.3</v>
      </c>
      <c r="H1316" s="69">
        <v>3693</v>
      </c>
      <c r="I1316" s="67"/>
      <c r="J1316" s="67"/>
      <c r="K1316" s="67"/>
      <c r="L1316" s="67"/>
      <c r="M1316" s="67"/>
      <c r="N1316" s="67"/>
      <c r="O1316" s="67"/>
      <c r="P1316" s="67"/>
      <c r="Q1316" s="67"/>
      <c r="R1316" s="67"/>
      <c r="S1316" s="67"/>
      <c r="T1316" s="67"/>
      <c r="U1316" s="67"/>
      <c r="V1316" s="67"/>
      <c r="W1316" s="67"/>
      <c r="X1316" s="67"/>
      <c r="Y1316" s="67"/>
      <c r="Z1316" s="67"/>
    </row>
    <row r="1317" spans="1:26" ht="12.5">
      <c r="A1317" s="68" t="s">
        <v>3046</v>
      </c>
      <c r="B1317" s="68" t="s">
        <v>3139</v>
      </c>
      <c r="C1317" s="68" t="s">
        <v>956</v>
      </c>
      <c r="D1317" s="68" t="s">
        <v>28</v>
      </c>
      <c r="E1317" s="69">
        <v>2020</v>
      </c>
      <c r="F1317" s="69">
        <v>13</v>
      </c>
      <c r="G1317" s="69">
        <v>232.6</v>
      </c>
      <c r="H1317" s="69">
        <v>5886</v>
      </c>
      <c r="I1317" s="67"/>
      <c r="J1317" s="67"/>
      <c r="K1317" s="67"/>
      <c r="L1317" s="67"/>
      <c r="M1317" s="67"/>
      <c r="N1317" s="67"/>
      <c r="O1317" s="67"/>
      <c r="P1317" s="67"/>
      <c r="Q1317" s="67"/>
      <c r="R1317" s="67"/>
      <c r="S1317" s="67"/>
      <c r="T1317" s="67"/>
      <c r="U1317" s="67"/>
      <c r="V1317" s="67"/>
      <c r="W1317" s="67"/>
      <c r="X1317" s="67"/>
      <c r="Y1317" s="67"/>
      <c r="Z1317" s="67"/>
    </row>
    <row r="1318" spans="1:26" ht="12.5">
      <c r="A1318" s="68" t="s">
        <v>3046</v>
      </c>
      <c r="B1318" s="68" t="s">
        <v>3139</v>
      </c>
      <c r="C1318" s="68" t="s">
        <v>3167</v>
      </c>
      <c r="D1318" s="68" t="s">
        <v>28</v>
      </c>
      <c r="E1318" s="69">
        <v>2020</v>
      </c>
      <c r="F1318" s="69">
        <v>3</v>
      </c>
      <c r="G1318" s="69">
        <v>201.3</v>
      </c>
      <c r="H1318" s="69">
        <v>5273</v>
      </c>
      <c r="I1318" s="67"/>
      <c r="J1318" s="67"/>
      <c r="K1318" s="67"/>
      <c r="L1318" s="67"/>
      <c r="M1318" s="67"/>
      <c r="N1318" s="67"/>
      <c r="O1318" s="67"/>
      <c r="P1318" s="67"/>
      <c r="Q1318" s="67"/>
      <c r="R1318" s="67"/>
      <c r="S1318" s="67"/>
      <c r="T1318" s="67"/>
      <c r="U1318" s="67"/>
      <c r="V1318" s="67"/>
      <c r="W1318" s="67"/>
      <c r="X1318" s="67"/>
      <c r="Y1318" s="67"/>
      <c r="Z1318" s="67"/>
    </row>
    <row r="1319" spans="1:26" ht="12.5">
      <c r="A1319" s="68" t="s">
        <v>3046</v>
      </c>
      <c r="B1319" s="68" t="s">
        <v>3139</v>
      </c>
      <c r="C1319" s="68" t="s">
        <v>3169</v>
      </c>
      <c r="D1319" s="68" t="s">
        <v>28</v>
      </c>
      <c r="E1319" s="69">
        <v>2020</v>
      </c>
      <c r="F1319" s="69">
        <v>14</v>
      </c>
      <c r="G1319" s="69">
        <v>460.3</v>
      </c>
      <c r="H1319" s="69">
        <v>14702</v>
      </c>
      <c r="I1319" s="67"/>
      <c r="J1319" s="67"/>
      <c r="K1319" s="67"/>
      <c r="L1319" s="67"/>
      <c r="M1319" s="67"/>
      <c r="N1319" s="67"/>
      <c r="O1319" s="67"/>
      <c r="P1319" s="67"/>
      <c r="Q1319" s="67"/>
      <c r="R1319" s="67"/>
      <c r="S1319" s="67"/>
      <c r="T1319" s="67"/>
      <c r="U1319" s="67"/>
      <c r="V1319" s="67"/>
      <c r="W1319" s="67"/>
      <c r="X1319" s="67"/>
      <c r="Y1319" s="67"/>
      <c r="Z1319" s="67"/>
    </row>
    <row r="1320" spans="1:26" ht="12.5">
      <c r="A1320" s="68" t="s">
        <v>3046</v>
      </c>
      <c r="B1320" s="68" t="s">
        <v>3139</v>
      </c>
      <c r="C1320" s="68" t="s">
        <v>3172</v>
      </c>
      <c r="D1320" s="68" t="s">
        <v>28</v>
      </c>
      <c r="E1320" s="69">
        <v>2020</v>
      </c>
      <c r="F1320" s="69">
        <v>13</v>
      </c>
      <c r="G1320" s="69">
        <v>217.8</v>
      </c>
      <c r="H1320" s="69">
        <v>6204</v>
      </c>
      <c r="I1320" s="67"/>
      <c r="J1320" s="67"/>
      <c r="K1320" s="67"/>
      <c r="L1320" s="67"/>
      <c r="M1320" s="67"/>
      <c r="N1320" s="67"/>
      <c r="O1320" s="67"/>
      <c r="P1320" s="67"/>
      <c r="Q1320" s="67"/>
      <c r="R1320" s="67"/>
      <c r="S1320" s="67"/>
      <c r="T1320" s="67"/>
      <c r="U1320" s="67"/>
      <c r="V1320" s="67"/>
      <c r="W1320" s="67"/>
      <c r="X1320" s="67"/>
      <c r="Y1320" s="67"/>
      <c r="Z1320" s="67"/>
    </row>
    <row r="1321" spans="1:26" ht="12.5">
      <c r="A1321" s="68" t="s">
        <v>3046</v>
      </c>
      <c r="B1321" s="68" t="s">
        <v>3139</v>
      </c>
      <c r="C1321" s="68" t="s">
        <v>3174</v>
      </c>
      <c r="D1321" s="68" t="s">
        <v>28</v>
      </c>
      <c r="E1321" s="69">
        <v>2020</v>
      </c>
      <c r="F1321" s="69">
        <v>13</v>
      </c>
      <c r="G1321" s="69">
        <v>310.5</v>
      </c>
      <c r="H1321" s="69">
        <v>9035</v>
      </c>
      <c r="I1321" s="67"/>
      <c r="J1321" s="67"/>
      <c r="K1321" s="67"/>
      <c r="L1321" s="67"/>
      <c r="M1321" s="67"/>
      <c r="N1321" s="67"/>
      <c r="O1321" s="67"/>
      <c r="P1321" s="67"/>
      <c r="Q1321" s="67"/>
      <c r="R1321" s="67"/>
      <c r="S1321" s="67"/>
      <c r="T1321" s="67"/>
      <c r="U1321" s="67"/>
      <c r="V1321" s="67"/>
      <c r="W1321" s="67"/>
      <c r="X1321" s="67"/>
      <c r="Y1321" s="67"/>
      <c r="Z1321" s="67"/>
    </row>
    <row r="1322" spans="1:26" ht="12.5">
      <c r="A1322" s="68" t="s">
        <v>3046</v>
      </c>
      <c r="B1322" s="68" t="s">
        <v>3139</v>
      </c>
      <c r="C1322" s="68" t="s">
        <v>3176</v>
      </c>
      <c r="D1322" s="68" t="s">
        <v>28</v>
      </c>
      <c r="E1322" s="69">
        <v>2020</v>
      </c>
      <c r="F1322" s="69">
        <v>3</v>
      </c>
      <c r="G1322" s="69">
        <v>274</v>
      </c>
      <c r="H1322" s="69">
        <v>13793</v>
      </c>
      <c r="I1322" s="67"/>
      <c r="J1322" s="67"/>
      <c r="K1322" s="67"/>
      <c r="L1322" s="67"/>
      <c r="M1322" s="67"/>
      <c r="N1322" s="67"/>
      <c r="O1322" s="67"/>
      <c r="P1322" s="67"/>
      <c r="Q1322" s="67"/>
      <c r="R1322" s="67"/>
      <c r="S1322" s="67"/>
      <c r="T1322" s="67"/>
      <c r="U1322" s="67"/>
      <c r="V1322" s="67"/>
      <c r="W1322" s="67"/>
      <c r="X1322" s="67"/>
      <c r="Y1322" s="67"/>
      <c r="Z1322" s="67"/>
    </row>
    <row r="1323" spans="1:26" ht="12.5">
      <c r="A1323" s="68" t="s">
        <v>3046</v>
      </c>
      <c r="B1323" s="68" t="s">
        <v>3139</v>
      </c>
      <c r="C1323" s="68" t="s">
        <v>3178</v>
      </c>
      <c r="D1323" s="68" t="s">
        <v>28</v>
      </c>
      <c r="E1323" s="69">
        <v>2020</v>
      </c>
      <c r="F1323" s="69">
        <v>3</v>
      </c>
      <c r="G1323" s="69">
        <v>194.5</v>
      </c>
      <c r="H1323" s="69">
        <v>5126</v>
      </c>
      <c r="I1323" s="67"/>
      <c r="J1323" s="67"/>
      <c r="K1323" s="67"/>
      <c r="L1323" s="67"/>
      <c r="M1323" s="67"/>
      <c r="N1323" s="67"/>
      <c r="O1323" s="67"/>
      <c r="P1323" s="67"/>
      <c r="Q1323" s="67"/>
      <c r="R1323" s="67"/>
      <c r="S1323" s="67"/>
      <c r="T1323" s="67"/>
      <c r="U1323" s="67"/>
      <c r="V1323" s="67"/>
      <c r="W1323" s="67"/>
      <c r="X1323" s="67"/>
      <c r="Y1323" s="67"/>
      <c r="Z1323" s="67"/>
    </row>
    <row r="1324" spans="1:26" ht="12.5">
      <c r="A1324" s="68" t="s">
        <v>3046</v>
      </c>
      <c r="B1324" s="68" t="s">
        <v>3139</v>
      </c>
      <c r="C1324" s="68" t="s">
        <v>3180</v>
      </c>
      <c r="D1324" s="68" t="s">
        <v>20</v>
      </c>
      <c r="E1324" s="69">
        <v>2020</v>
      </c>
      <c r="F1324" s="69">
        <v>2</v>
      </c>
      <c r="G1324" s="69">
        <v>39.1</v>
      </c>
      <c r="H1324" s="69">
        <v>66481</v>
      </c>
      <c r="I1324" s="67"/>
      <c r="J1324" s="67"/>
      <c r="K1324" s="67"/>
      <c r="L1324" s="67"/>
      <c r="M1324" s="67"/>
      <c r="N1324" s="67"/>
      <c r="O1324" s="67"/>
      <c r="P1324" s="67"/>
      <c r="Q1324" s="67"/>
      <c r="R1324" s="67"/>
      <c r="S1324" s="67"/>
      <c r="T1324" s="67"/>
      <c r="U1324" s="67"/>
      <c r="V1324" s="67"/>
      <c r="W1324" s="67"/>
      <c r="X1324" s="67"/>
      <c r="Y1324" s="67"/>
      <c r="Z1324" s="67"/>
    </row>
    <row r="1325" spans="1:26" ht="12.5">
      <c r="A1325" s="68" t="s">
        <v>3046</v>
      </c>
      <c r="B1325" s="68" t="s">
        <v>3139</v>
      </c>
      <c r="C1325" s="68" t="s">
        <v>3183</v>
      </c>
      <c r="D1325" s="68" t="s">
        <v>28</v>
      </c>
      <c r="E1325" s="69">
        <v>2020</v>
      </c>
      <c r="F1325" s="69">
        <v>21</v>
      </c>
      <c r="G1325" s="69">
        <v>367.7</v>
      </c>
      <c r="H1325" s="69">
        <v>6903</v>
      </c>
      <c r="I1325" s="67"/>
      <c r="J1325" s="67"/>
      <c r="K1325" s="67"/>
      <c r="L1325" s="67"/>
      <c r="M1325" s="67"/>
      <c r="N1325" s="67"/>
      <c r="O1325" s="67"/>
      <c r="P1325" s="67"/>
      <c r="Q1325" s="67"/>
      <c r="R1325" s="67"/>
      <c r="S1325" s="67"/>
      <c r="T1325" s="67"/>
      <c r="U1325" s="67"/>
      <c r="V1325" s="67"/>
      <c r="W1325" s="67"/>
      <c r="X1325" s="67"/>
      <c r="Y1325" s="67"/>
      <c r="Z1325" s="67"/>
    </row>
    <row r="1326" spans="1:26" ht="12.5">
      <c r="A1326" s="68" t="s">
        <v>3046</v>
      </c>
      <c r="B1326" s="68" t="s">
        <v>3139</v>
      </c>
      <c r="C1326" s="68" t="s">
        <v>3185</v>
      </c>
      <c r="D1326" s="68" t="s">
        <v>28</v>
      </c>
      <c r="E1326" s="69">
        <v>2020</v>
      </c>
      <c r="F1326" s="69">
        <v>7</v>
      </c>
      <c r="G1326" s="69">
        <v>134.9</v>
      </c>
      <c r="H1326" s="69">
        <v>7187</v>
      </c>
      <c r="I1326" s="67"/>
      <c r="J1326" s="67"/>
      <c r="K1326" s="67"/>
      <c r="L1326" s="67"/>
      <c r="M1326" s="67"/>
      <c r="N1326" s="67"/>
      <c r="O1326" s="67"/>
      <c r="P1326" s="67"/>
      <c r="Q1326" s="67"/>
      <c r="R1326" s="67"/>
      <c r="S1326" s="67"/>
      <c r="T1326" s="67"/>
      <c r="U1326" s="67"/>
      <c r="V1326" s="67"/>
      <c r="W1326" s="67"/>
      <c r="X1326" s="67"/>
      <c r="Y1326" s="67"/>
      <c r="Z1326" s="67"/>
    </row>
    <row r="1327" spans="1:26" ht="12.5">
      <c r="A1327" s="68" t="s">
        <v>3046</v>
      </c>
      <c r="B1327" s="68" t="s">
        <v>3139</v>
      </c>
      <c r="C1327" s="68" t="s">
        <v>422</v>
      </c>
      <c r="D1327" s="68" t="s">
        <v>28</v>
      </c>
      <c r="E1327" s="69">
        <v>2020</v>
      </c>
      <c r="F1327" s="69">
        <v>9</v>
      </c>
      <c r="G1327" s="69">
        <v>155.69999999999999</v>
      </c>
      <c r="H1327" s="69">
        <v>5368</v>
      </c>
      <c r="I1327" s="67"/>
      <c r="J1327" s="67"/>
      <c r="K1327" s="67"/>
      <c r="L1327" s="67"/>
      <c r="M1327" s="67"/>
      <c r="N1327" s="67"/>
      <c r="O1327" s="67"/>
      <c r="P1327" s="67"/>
      <c r="Q1327" s="67"/>
      <c r="R1327" s="67"/>
      <c r="S1327" s="67"/>
      <c r="T1327" s="67"/>
      <c r="U1327" s="67"/>
      <c r="V1327" s="67"/>
      <c r="W1327" s="67"/>
      <c r="X1327" s="67"/>
      <c r="Y1327" s="67"/>
      <c r="Z1327" s="67"/>
    </row>
    <row r="1328" spans="1:26" ht="12.5">
      <c r="A1328" s="68" t="s">
        <v>3046</v>
      </c>
      <c r="B1328" s="68" t="s">
        <v>3139</v>
      </c>
      <c r="C1328" s="68" t="s">
        <v>3188</v>
      </c>
      <c r="D1328" s="68" t="s">
        <v>28</v>
      </c>
      <c r="E1328" s="69">
        <v>2020</v>
      </c>
      <c r="F1328" s="69">
        <v>4</v>
      </c>
      <c r="G1328" s="69">
        <v>176.4</v>
      </c>
      <c r="H1328" s="69">
        <v>14282</v>
      </c>
      <c r="I1328" s="67"/>
      <c r="J1328" s="67"/>
      <c r="K1328" s="67"/>
      <c r="L1328" s="67"/>
      <c r="M1328" s="67"/>
      <c r="N1328" s="67"/>
      <c r="O1328" s="67"/>
      <c r="P1328" s="67"/>
      <c r="Q1328" s="67"/>
      <c r="R1328" s="67"/>
      <c r="S1328" s="67"/>
      <c r="T1328" s="67"/>
      <c r="U1328" s="67"/>
      <c r="V1328" s="67"/>
      <c r="W1328" s="67"/>
      <c r="X1328" s="67"/>
      <c r="Y1328" s="67"/>
      <c r="Z1328" s="67"/>
    </row>
    <row r="1329" spans="1:26" ht="12.5">
      <c r="A1329" s="68" t="s">
        <v>3046</v>
      </c>
      <c r="B1329" s="68" t="s">
        <v>3139</v>
      </c>
      <c r="C1329" s="68" t="s">
        <v>392</v>
      </c>
      <c r="D1329" s="68" t="s">
        <v>20</v>
      </c>
      <c r="E1329" s="69">
        <v>2020</v>
      </c>
      <c r="F1329" s="69">
        <v>2</v>
      </c>
      <c r="G1329" s="69">
        <v>76.8</v>
      </c>
      <c r="H1329" s="69">
        <v>273533</v>
      </c>
      <c r="I1329" s="67"/>
      <c r="J1329" s="67"/>
      <c r="K1329" s="67"/>
      <c r="L1329" s="67"/>
      <c r="M1329" s="67"/>
      <c r="N1329" s="67"/>
      <c r="O1329" s="67"/>
      <c r="P1329" s="67"/>
      <c r="Q1329" s="67"/>
      <c r="R1329" s="67"/>
      <c r="S1329" s="67"/>
      <c r="T1329" s="67"/>
      <c r="U1329" s="67"/>
      <c r="V1329" s="67"/>
      <c r="W1329" s="67"/>
      <c r="X1329" s="67"/>
      <c r="Y1329" s="67"/>
      <c r="Z1329" s="67"/>
    </row>
    <row r="1330" spans="1:26" ht="12.5">
      <c r="A1330" s="68" t="s">
        <v>3046</v>
      </c>
      <c r="B1330" s="68" t="s">
        <v>3139</v>
      </c>
      <c r="C1330" s="68" t="s">
        <v>3192</v>
      </c>
      <c r="D1330" s="68" t="s">
        <v>20</v>
      </c>
      <c r="E1330" s="69">
        <v>2020</v>
      </c>
      <c r="F1330" s="69">
        <v>25</v>
      </c>
      <c r="G1330" s="69">
        <v>901.7</v>
      </c>
      <c r="H1330" s="69">
        <v>19139</v>
      </c>
      <c r="I1330" s="67"/>
      <c r="J1330" s="67"/>
      <c r="K1330" s="67"/>
      <c r="L1330" s="67"/>
      <c r="M1330" s="67"/>
      <c r="N1330" s="67"/>
      <c r="O1330" s="67"/>
      <c r="P1330" s="67"/>
      <c r="Q1330" s="67"/>
      <c r="R1330" s="67"/>
      <c r="S1330" s="67"/>
      <c r="T1330" s="67"/>
      <c r="U1330" s="67"/>
      <c r="V1330" s="67"/>
      <c r="W1330" s="67"/>
      <c r="X1330" s="67"/>
      <c r="Y1330" s="67"/>
      <c r="Z1330" s="67"/>
    </row>
    <row r="1331" spans="1:26" ht="12.5">
      <c r="A1331" s="68" t="s">
        <v>3194</v>
      </c>
      <c r="B1331" s="68" t="s">
        <v>3195</v>
      </c>
      <c r="C1331" s="68" t="s">
        <v>3196</v>
      </c>
      <c r="D1331" s="68" t="s">
        <v>28</v>
      </c>
      <c r="E1331" s="69">
        <v>2020</v>
      </c>
      <c r="F1331" s="69">
        <v>4</v>
      </c>
      <c r="G1331" s="69">
        <v>81.3</v>
      </c>
      <c r="H1331" s="69">
        <v>7358</v>
      </c>
      <c r="I1331" s="67"/>
      <c r="J1331" s="67"/>
      <c r="K1331" s="67"/>
      <c r="L1331" s="67"/>
      <c r="M1331" s="67"/>
      <c r="N1331" s="67"/>
      <c r="O1331" s="67"/>
      <c r="P1331" s="67"/>
      <c r="Q1331" s="67"/>
      <c r="R1331" s="67"/>
      <c r="S1331" s="67"/>
      <c r="T1331" s="67"/>
      <c r="U1331" s="67"/>
      <c r="V1331" s="67"/>
      <c r="W1331" s="67"/>
      <c r="X1331" s="67"/>
      <c r="Y1331" s="67"/>
      <c r="Z1331" s="67"/>
    </row>
    <row r="1332" spans="1:26" ht="12.5">
      <c r="A1332" s="68" t="s">
        <v>3194</v>
      </c>
      <c r="B1332" s="68" t="s">
        <v>3195</v>
      </c>
      <c r="C1332" s="68" t="s">
        <v>3199</v>
      </c>
      <c r="D1332" s="68" t="s">
        <v>32</v>
      </c>
      <c r="E1332" s="69">
        <v>2020</v>
      </c>
      <c r="F1332" s="69">
        <v>13</v>
      </c>
      <c r="G1332" s="69">
        <v>491.9</v>
      </c>
      <c r="H1332" s="69">
        <v>18387</v>
      </c>
      <c r="I1332" s="67"/>
      <c r="J1332" s="67"/>
      <c r="K1332" s="67"/>
      <c r="L1332" s="67"/>
      <c r="M1332" s="67"/>
      <c r="N1332" s="67"/>
      <c r="O1332" s="67"/>
      <c r="P1332" s="67"/>
      <c r="Q1332" s="67"/>
      <c r="R1332" s="67"/>
      <c r="S1332" s="67"/>
      <c r="T1332" s="67"/>
      <c r="U1332" s="67"/>
      <c r="V1332" s="67"/>
      <c r="W1332" s="67"/>
      <c r="X1332" s="67"/>
      <c r="Y1332" s="67"/>
      <c r="Z1332" s="67"/>
    </row>
    <row r="1333" spans="1:26" ht="12.5">
      <c r="A1333" s="68" t="s">
        <v>3194</v>
      </c>
      <c r="B1333" s="68" t="s">
        <v>3195</v>
      </c>
      <c r="C1333" s="68" t="s">
        <v>3202</v>
      </c>
      <c r="D1333" s="68" t="s">
        <v>28</v>
      </c>
      <c r="E1333" s="69">
        <v>2020</v>
      </c>
      <c r="F1333" s="69">
        <v>10</v>
      </c>
      <c r="G1333" s="69">
        <v>98.1</v>
      </c>
      <c r="H1333" s="69">
        <v>9259</v>
      </c>
      <c r="I1333" s="67"/>
      <c r="J1333" s="67"/>
      <c r="K1333" s="67"/>
      <c r="L1333" s="67"/>
      <c r="M1333" s="67"/>
      <c r="N1333" s="67"/>
      <c r="O1333" s="67"/>
      <c r="P1333" s="67"/>
      <c r="Q1333" s="67"/>
      <c r="R1333" s="67"/>
      <c r="S1333" s="67"/>
      <c r="T1333" s="67"/>
      <c r="U1333" s="67"/>
      <c r="V1333" s="67"/>
      <c r="W1333" s="67"/>
      <c r="X1333" s="67"/>
      <c r="Y1333" s="67"/>
      <c r="Z1333" s="67"/>
    </row>
    <row r="1334" spans="1:26" ht="12.5">
      <c r="A1334" s="68" t="s">
        <v>3194</v>
      </c>
      <c r="B1334" s="68" t="s">
        <v>3195</v>
      </c>
      <c r="C1334" s="68" t="s">
        <v>3205</v>
      </c>
      <c r="D1334" s="68" t="s">
        <v>20</v>
      </c>
      <c r="E1334" s="69">
        <v>2020</v>
      </c>
      <c r="F1334" s="69">
        <v>7</v>
      </c>
      <c r="G1334" s="69">
        <v>146.1</v>
      </c>
      <c r="H1334" s="69">
        <v>12315</v>
      </c>
      <c r="I1334" s="67"/>
      <c r="J1334" s="67"/>
      <c r="K1334" s="67"/>
      <c r="L1334" s="67"/>
      <c r="M1334" s="67"/>
      <c r="N1334" s="67"/>
      <c r="O1334" s="67"/>
      <c r="P1334" s="67"/>
      <c r="Q1334" s="67"/>
      <c r="R1334" s="67"/>
      <c r="S1334" s="67"/>
      <c r="T1334" s="67"/>
      <c r="U1334" s="67"/>
      <c r="V1334" s="67"/>
      <c r="W1334" s="67"/>
      <c r="X1334" s="67"/>
      <c r="Y1334" s="67"/>
      <c r="Z1334" s="67"/>
    </row>
    <row r="1335" spans="1:26" ht="12.5">
      <c r="A1335" s="68" t="s">
        <v>3194</v>
      </c>
      <c r="B1335" s="68" t="s">
        <v>3195</v>
      </c>
      <c r="C1335" s="68" t="s">
        <v>3207</v>
      </c>
      <c r="D1335" s="68" t="s">
        <v>20</v>
      </c>
      <c r="E1335" s="69">
        <v>2020</v>
      </c>
      <c r="F1335" s="69">
        <v>10</v>
      </c>
      <c r="G1335" s="69">
        <v>183.5</v>
      </c>
      <c r="H1335" s="69">
        <v>16794</v>
      </c>
      <c r="I1335" s="67"/>
      <c r="J1335" s="67"/>
      <c r="K1335" s="67"/>
      <c r="L1335" s="67"/>
      <c r="M1335" s="67"/>
      <c r="N1335" s="67"/>
      <c r="O1335" s="67"/>
      <c r="P1335" s="67"/>
      <c r="Q1335" s="67"/>
      <c r="R1335" s="67"/>
      <c r="S1335" s="67"/>
      <c r="T1335" s="67"/>
      <c r="U1335" s="67"/>
      <c r="V1335" s="67"/>
      <c r="W1335" s="67"/>
      <c r="X1335" s="67"/>
      <c r="Y1335" s="67"/>
      <c r="Z1335" s="67"/>
    </row>
    <row r="1336" spans="1:26" ht="12.5">
      <c r="A1336" s="68" t="s">
        <v>3194</v>
      </c>
      <c r="B1336" s="68" t="s">
        <v>3195</v>
      </c>
      <c r="C1336" s="68" t="s">
        <v>3209</v>
      </c>
      <c r="D1336" s="68" t="s">
        <v>28</v>
      </c>
      <c r="E1336" s="69">
        <v>2020</v>
      </c>
      <c r="F1336" s="69">
        <v>10</v>
      </c>
      <c r="G1336" s="69">
        <v>122</v>
      </c>
      <c r="H1336" s="69">
        <v>4792</v>
      </c>
      <c r="I1336" s="67"/>
      <c r="J1336" s="67"/>
      <c r="K1336" s="67"/>
      <c r="L1336" s="67"/>
      <c r="M1336" s="67"/>
      <c r="N1336" s="67"/>
      <c r="O1336" s="67"/>
      <c r="P1336" s="67"/>
      <c r="Q1336" s="67"/>
      <c r="R1336" s="67"/>
      <c r="S1336" s="67"/>
      <c r="T1336" s="67"/>
      <c r="U1336" s="67"/>
      <c r="V1336" s="67"/>
      <c r="W1336" s="67"/>
      <c r="X1336" s="67"/>
      <c r="Y1336" s="67"/>
      <c r="Z1336" s="67"/>
    </row>
    <row r="1337" spans="1:26" ht="12.5">
      <c r="A1337" s="68" t="s">
        <v>3194</v>
      </c>
      <c r="B1337" s="68" t="s">
        <v>3195</v>
      </c>
      <c r="C1337" s="68" t="s">
        <v>3211</v>
      </c>
      <c r="D1337" s="68" t="s">
        <v>32</v>
      </c>
      <c r="E1337" s="69">
        <v>2020</v>
      </c>
      <c r="F1337" s="69">
        <v>18</v>
      </c>
      <c r="G1337" s="69">
        <v>231.6</v>
      </c>
      <c r="H1337" s="69">
        <v>11289</v>
      </c>
      <c r="I1337" s="67"/>
      <c r="J1337" s="67"/>
      <c r="K1337" s="67"/>
      <c r="L1337" s="67"/>
      <c r="M1337" s="67"/>
      <c r="N1337" s="67"/>
      <c r="O1337" s="67"/>
      <c r="P1337" s="67"/>
      <c r="Q1337" s="67"/>
      <c r="R1337" s="67"/>
      <c r="S1337" s="67"/>
      <c r="T1337" s="67"/>
      <c r="U1337" s="67"/>
      <c r="V1337" s="67"/>
      <c r="W1337" s="67"/>
      <c r="X1337" s="67"/>
      <c r="Y1337" s="67"/>
      <c r="Z1337" s="67"/>
    </row>
    <row r="1338" spans="1:26" ht="12.5">
      <c r="A1338" s="68" t="s">
        <v>3194</v>
      </c>
      <c r="B1338" s="68" t="s">
        <v>3195</v>
      </c>
      <c r="C1338" s="68" t="s">
        <v>3214</v>
      </c>
      <c r="D1338" s="68" t="s">
        <v>28</v>
      </c>
      <c r="E1338" s="69">
        <v>2020</v>
      </c>
      <c r="F1338" s="69">
        <v>10</v>
      </c>
      <c r="G1338" s="69">
        <v>367.7</v>
      </c>
      <c r="H1338" s="69">
        <v>4709</v>
      </c>
      <c r="I1338" s="67"/>
      <c r="J1338" s="67"/>
      <c r="K1338" s="67"/>
      <c r="L1338" s="67"/>
      <c r="M1338" s="67"/>
      <c r="N1338" s="67"/>
      <c r="O1338" s="67"/>
      <c r="P1338" s="67"/>
      <c r="Q1338" s="67"/>
      <c r="R1338" s="67"/>
      <c r="S1338" s="67"/>
      <c r="T1338" s="67"/>
      <c r="U1338" s="67"/>
      <c r="V1338" s="67"/>
      <c r="W1338" s="67"/>
      <c r="X1338" s="67"/>
      <c r="Y1338" s="67"/>
      <c r="Z1338" s="67"/>
    </row>
    <row r="1339" spans="1:26" ht="12.5">
      <c r="A1339" s="68" t="s">
        <v>3194</v>
      </c>
      <c r="B1339" s="68" t="s">
        <v>3195</v>
      </c>
      <c r="C1339" s="68" t="s">
        <v>3216</v>
      </c>
      <c r="D1339" s="68" t="s">
        <v>28</v>
      </c>
      <c r="E1339" s="69">
        <v>2020</v>
      </c>
      <c r="F1339" s="69">
        <v>13</v>
      </c>
      <c r="G1339" s="69">
        <v>156.6</v>
      </c>
      <c r="H1339" s="69">
        <v>5451</v>
      </c>
      <c r="I1339" s="67"/>
      <c r="J1339" s="67"/>
      <c r="K1339" s="67"/>
      <c r="L1339" s="67"/>
      <c r="M1339" s="67"/>
      <c r="N1339" s="67"/>
      <c r="O1339" s="67"/>
      <c r="P1339" s="67"/>
      <c r="Q1339" s="67"/>
      <c r="R1339" s="67"/>
      <c r="S1339" s="67"/>
      <c r="T1339" s="67"/>
      <c r="U1339" s="67"/>
      <c r="V1339" s="67"/>
      <c r="W1339" s="67"/>
      <c r="X1339" s="67"/>
      <c r="Y1339" s="67"/>
      <c r="Z1339" s="67"/>
    </row>
    <row r="1340" spans="1:26" ht="12.5">
      <c r="A1340" s="68" t="s">
        <v>3194</v>
      </c>
      <c r="B1340" s="68" t="s">
        <v>3218</v>
      </c>
      <c r="C1340" s="68" t="s">
        <v>3219</v>
      </c>
      <c r="D1340" s="68" t="s">
        <v>28</v>
      </c>
      <c r="E1340" s="69">
        <v>2020</v>
      </c>
      <c r="F1340" s="69">
        <v>4</v>
      </c>
      <c r="G1340" s="69">
        <v>58.7</v>
      </c>
      <c r="H1340" s="69">
        <v>4680</v>
      </c>
      <c r="I1340" s="67"/>
      <c r="J1340" s="67"/>
      <c r="K1340" s="67"/>
      <c r="L1340" s="67"/>
      <c r="M1340" s="67"/>
      <c r="N1340" s="67"/>
      <c r="O1340" s="67"/>
      <c r="P1340" s="67"/>
      <c r="Q1340" s="67"/>
      <c r="R1340" s="67"/>
      <c r="S1340" s="67"/>
      <c r="T1340" s="67"/>
      <c r="U1340" s="67"/>
      <c r="V1340" s="67"/>
      <c r="W1340" s="67"/>
      <c r="X1340" s="67"/>
      <c r="Y1340" s="67"/>
      <c r="Z1340" s="67"/>
    </row>
    <row r="1341" spans="1:26" ht="12.5">
      <c r="A1341" s="68" t="s">
        <v>3194</v>
      </c>
      <c r="B1341" s="68" t="s">
        <v>3218</v>
      </c>
      <c r="C1341" s="68" t="s">
        <v>3221</v>
      </c>
      <c r="D1341" s="68" t="s">
        <v>32</v>
      </c>
      <c r="E1341" s="69">
        <v>2020</v>
      </c>
      <c r="F1341" s="69">
        <v>26</v>
      </c>
      <c r="G1341" s="69">
        <v>540.6</v>
      </c>
      <c r="H1341" s="69">
        <v>32058</v>
      </c>
      <c r="I1341" s="67"/>
      <c r="J1341" s="67"/>
      <c r="K1341" s="67"/>
      <c r="L1341" s="67"/>
      <c r="M1341" s="67"/>
      <c r="N1341" s="67"/>
      <c r="O1341" s="67"/>
      <c r="P1341" s="67"/>
      <c r="Q1341" s="67"/>
      <c r="R1341" s="67"/>
      <c r="S1341" s="67"/>
      <c r="T1341" s="67"/>
      <c r="U1341" s="67"/>
      <c r="V1341" s="67"/>
      <c r="W1341" s="67"/>
      <c r="X1341" s="67"/>
      <c r="Y1341" s="67"/>
      <c r="Z1341" s="67"/>
    </row>
    <row r="1342" spans="1:26" ht="12.5">
      <c r="A1342" s="68" t="s">
        <v>3194</v>
      </c>
      <c r="B1342" s="68" t="s">
        <v>3218</v>
      </c>
      <c r="C1342" s="68" t="s">
        <v>3224</v>
      </c>
      <c r="D1342" s="68" t="s">
        <v>28</v>
      </c>
      <c r="E1342" s="69">
        <v>2020</v>
      </c>
      <c r="F1342" s="69">
        <v>12</v>
      </c>
      <c r="G1342" s="69">
        <v>212.4</v>
      </c>
      <c r="H1342" s="69">
        <v>14951</v>
      </c>
      <c r="I1342" s="67"/>
      <c r="J1342" s="67"/>
      <c r="K1342" s="67"/>
      <c r="L1342" s="67"/>
      <c r="M1342" s="67"/>
      <c r="N1342" s="67"/>
      <c r="O1342" s="67"/>
      <c r="P1342" s="67"/>
      <c r="Q1342" s="67"/>
      <c r="R1342" s="67"/>
      <c r="S1342" s="67"/>
      <c r="T1342" s="67"/>
      <c r="U1342" s="67"/>
      <c r="V1342" s="67"/>
      <c r="W1342" s="67"/>
      <c r="X1342" s="67"/>
      <c r="Y1342" s="67"/>
      <c r="Z1342" s="67"/>
    </row>
    <row r="1343" spans="1:26" ht="12.5">
      <c r="A1343" s="68" t="s">
        <v>3194</v>
      </c>
      <c r="B1343" s="68" t="s">
        <v>3218</v>
      </c>
      <c r="C1343" s="68" t="s">
        <v>3226</v>
      </c>
      <c r="D1343" s="68" t="s">
        <v>28</v>
      </c>
      <c r="E1343" s="69">
        <v>2020</v>
      </c>
      <c r="F1343" s="69">
        <v>7</v>
      </c>
      <c r="G1343" s="69">
        <v>129.30000000000001</v>
      </c>
      <c r="H1343" s="69">
        <v>6679</v>
      </c>
      <c r="I1343" s="67"/>
      <c r="J1343" s="67"/>
      <c r="K1343" s="67"/>
      <c r="L1343" s="67"/>
      <c r="M1343" s="67"/>
      <c r="N1343" s="67"/>
      <c r="O1343" s="67"/>
      <c r="P1343" s="67"/>
      <c r="Q1343" s="67"/>
      <c r="R1343" s="67"/>
      <c r="S1343" s="67"/>
      <c r="T1343" s="67"/>
      <c r="U1343" s="67"/>
      <c r="V1343" s="67"/>
      <c r="W1343" s="67"/>
      <c r="X1343" s="67"/>
      <c r="Y1343" s="67"/>
      <c r="Z1343" s="67"/>
    </row>
    <row r="1344" spans="1:26" ht="12.5">
      <c r="A1344" s="68" t="s">
        <v>3194</v>
      </c>
      <c r="B1344" s="68" t="s">
        <v>3218</v>
      </c>
      <c r="C1344" s="68" t="s">
        <v>3229</v>
      </c>
      <c r="D1344" s="68" t="s">
        <v>28</v>
      </c>
      <c r="E1344" s="69">
        <v>2020</v>
      </c>
      <c r="F1344" s="69">
        <v>8</v>
      </c>
      <c r="G1344" s="69">
        <v>144.69999999999999</v>
      </c>
      <c r="H1344" s="69">
        <v>11863</v>
      </c>
      <c r="I1344" s="67"/>
      <c r="J1344" s="67"/>
      <c r="K1344" s="67"/>
      <c r="L1344" s="67"/>
      <c r="M1344" s="67"/>
      <c r="N1344" s="67"/>
      <c r="O1344" s="67"/>
      <c r="P1344" s="67"/>
      <c r="Q1344" s="67"/>
      <c r="R1344" s="67"/>
      <c r="S1344" s="67"/>
      <c r="T1344" s="67"/>
      <c r="U1344" s="67"/>
      <c r="V1344" s="67"/>
      <c r="W1344" s="67"/>
      <c r="X1344" s="67"/>
      <c r="Y1344" s="67"/>
      <c r="Z1344" s="67"/>
    </row>
    <row r="1345" spans="1:26" ht="12.5">
      <c r="A1345" s="68" t="s">
        <v>3194</v>
      </c>
      <c r="B1345" s="68" t="s">
        <v>3218</v>
      </c>
      <c r="C1345" s="68" t="s">
        <v>3231</v>
      </c>
      <c r="D1345" s="68" t="s">
        <v>28</v>
      </c>
      <c r="E1345" s="69">
        <v>2020</v>
      </c>
      <c r="F1345" s="69">
        <v>7</v>
      </c>
      <c r="G1345" s="69">
        <v>129.5</v>
      </c>
      <c r="H1345" s="69">
        <v>12438</v>
      </c>
      <c r="I1345" s="67"/>
      <c r="J1345" s="67"/>
      <c r="K1345" s="67"/>
      <c r="L1345" s="67"/>
      <c r="M1345" s="67"/>
      <c r="N1345" s="67"/>
      <c r="O1345" s="67"/>
      <c r="P1345" s="67"/>
      <c r="Q1345" s="67"/>
      <c r="R1345" s="67"/>
      <c r="S1345" s="67"/>
      <c r="T1345" s="67"/>
      <c r="U1345" s="67"/>
      <c r="V1345" s="67"/>
      <c r="W1345" s="67"/>
      <c r="X1345" s="67"/>
      <c r="Y1345" s="67"/>
      <c r="Z1345" s="67"/>
    </row>
    <row r="1346" spans="1:26" ht="12.5">
      <c r="A1346" s="68" t="s">
        <v>3194</v>
      </c>
      <c r="B1346" s="68" t="s">
        <v>3218</v>
      </c>
      <c r="C1346" s="68" t="s">
        <v>3233</v>
      </c>
      <c r="D1346" s="68" t="s">
        <v>20</v>
      </c>
      <c r="E1346" s="69">
        <v>2020</v>
      </c>
      <c r="F1346" s="69">
        <v>1</v>
      </c>
      <c r="G1346" s="69">
        <v>7.1</v>
      </c>
      <c r="H1346" s="69">
        <v>10590</v>
      </c>
      <c r="I1346" s="67"/>
      <c r="J1346" s="67"/>
      <c r="K1346" s="67"/>
      <c r="L1346" s="67"/>
      <c r="M1346" s="67"/>
      <c r="N1346" s="67"/>
      <c r="O1346" s="67"/>
      <c r="P1346" s="67"/>
      <c r="Q1346" s="67"/>
      <c r="R1346" s="67"/>
      <c r="S1346" s="67"/>
      <c r="T1346" s="67"/>
      <c r="U1346" s="67"/>
      <c r="V1346" s="67"/>
      <c r="W1346" s="67"/>
      <c r="X1346" s="67"/>
      <c r="Y1346" s="67"/>
      <c r="Z1346" s="67"/>
    </row>
    <row r="1347" spans="1:26" ht="12.5">
      <c r="A1347" s="68" t="s">
        <v>3194</v>
      </c>
      <c r="B1347" s="68" t="s">
        <v>3218</v>
      </c>
      <c r="C1347" s="68" t="s">
        <v>3235</v>
      </c>
      <c r="D1347" s="68" t="s">
        <v>28</v>
      </c>
      <c r="E1347" s="69">
        <v>2020</v>
      </c>
      <c r="F1347" s="69">
        <v>6</v>
      </c>
      <c r="G1347" s="69">
        <v>108.7</v>
      </c>
      <c r="H1347" s="69">
        <v>6505</v>
      </c>
      <c r="I1347" s="67"/>
      <c r="J1347" s="67"/>
      <c r="K1347" s="67"/>
      <c r="L1347" s="67"/>
      <c r="M1347" s="67"/>
      <c r="N1347" s="67"/>
      <c r="O1347" s="67"/>
      <c r="P1347" s="67"/>
      <c r="Q1347" s="67"/>
      <c r="R1347" s="67"/>
      <c r="S1347" s="67"/>
      <c r="T1347" s="67"/>
      <c r="U1347" s="67"/>
      <c r="V1347" s="67"/>
      <c r="W1347" s="67"/>
      <c r="X1347" s="67"/>
      <c r="Y1347" s="67"/>
      <c r="Z1347" s="67"/>
    </row>
    <row r="1348" spans="1:26" ht="12.5">
      <c r="A1348" s="68" t="s">
        <v>3194</v>
      </c>
      <c r="B1348" s="68" t="s">
        <v>3218</v>
      </c>
      <c r="C1348" s="68" t="s">
        <v>3237</v>
      </c>
      <c r="D1348" s="68" t="s">
        <v>20</v>
      </c>
      <c r="E1348" s="69">
        <v>2020</v>
      </c>
      <c r="F1348" s="69">
        <v>25</v>
      </c>
      <c r="G1348" s="69">
        <v>606.5</v>
      </c>
      <c r="H1348" s="69">
        <v>36520</v>
      </c>
      <c r="I1348" s="67"/>
      <c r="J1348" s="67"/>
      <c r="K1348" s="67"/>
      <c r="L1348" s="67"/>
      <c r="M1348" s="67"/>
      <c r="N1348" s="67"/>
      <c r="O1348" s="67"/>
      <c r="P1348" s="67"/>
      <c r="Q1348" s="67"/>
      <c r="R1348" s="67"/>
      <c r="S1348" s="67"/>
      <c r="T1348" s="67"/>
      <c r="U1348" s="67"/>
      <c r="V1348" s="67"/>
      <c r="W1348" s="67"/>
      <c r="X1348" s="67"/>
      <c r="Y1348" s="67"/>
      <c r="Z1348" s="67"/>
    </row>
    <row r="1349" spans="1:26" ht="12.5">
      <c r="A1349" s="68" t="s">
        <v>3194</v>
      </c>
      <c r="B1349" s="68" t="s">
        <v>3218</v>
      </c>
      <c r="C1349" s="68" t="s">
        <v>3239</v>
      </c>
      <c r="D1349" s="68" t="s">
        <v>20</v>
      </c>
      <c r="E1349" s="69">
        <v>2020</v>
      </c>
      <c r="F1349" s="69">
        <v>11</v>
      </c>
      <c r="G1349" s="69">
        <v>182.5</v>
      </c>
      <c r="H1349" s="69">
        <v>18156</v>
      </c>
      <c r="I1349" s="67"/>
      <c r="J1349" s="67"/>
      <c r="K1349" s="67"/>
      <c r="L1349" s="67"/>
      <c r="M1349" s="67"/>
      <c r="N1349" s="67"/>
      <c r="O1349" s="67"/>
      <c r="P1349" s="67"/>
      <c r="Q1349" s="67"/>
      <c r="R1349" s="67"/>
      <c r="S1349" s="67"/>
      <c r="T1349" s="67"/>
      <c r="U1349" s="67"/>
      <c r="V1349" s="67"/>
      <c r="W1349" s="67"/>
      <c r="X1349" s="67"/>
      <c r="Y1349" s="67"/>
      <c r="Z1349" s="67"/>
    </row>
    <row r="1350" spans="1:26" ht="12.5">
      <c r="A1350" s="68" t="s">
        <v>3194</v>
      </c>
      <c r="B1350" s="68" t="s">
        <v>3241</v>
      </c>
      <c r="C1350" s="68" t="s">
        <v>3242</v>
      </c>
      <c r="D1350" s="68" t="s">
        <v>28</v>
      </c>
      <c r="E1350" s="69">
        <v>2020</v>
      </c>
      <c r="F1350" s="69">
        <v>4</v>
      </c>
      <c r="G1350" s="69">
        <v>63.9</v>
      </c>
      <c r="H1350" s="69">
        <v>6416</v>
      </c>
      <c r="I1350" s="67"/>
      <c r="J1350" s="67"/>
      <c r="K1350" s="67"/>
      <c r="L1350" s="67"/>
      <c r="M1350" s="67"/>
      <c r="N1350" s="67"/>
      <c r="O1350" s="67"/>
      <c r="P1350" s="67"/>
      <c r="Q1350" s="67"/>
      <c r="R1350" s="67"/>
      <c r="S1350" s="67"/>
      <c r="T1350" s="67"/>
      <c r="U1350" s="67"/>
      <c r="V1350" s="67"/>
      <c r="W1350" s="67"/>
      <c r="X1350" s="67"/>
      <c r="Y1350" s="67"/>
      <c r="Z1350" s="67"/>
    </row>
    <row r="1351" spans="1:26" ht="12.5">
      <c r="A1351" s="68" t="s">
        <v>3194</v>
      </c>
      <c r="B1351" s="68" t="s">
        <v>3241</v>
      </c>
      <c r="C1351" s="68" t="s">
        <v>3245</v>
      </c>
      <c r="D1351" s="68" t="s">
        <v>28</v>
      </c>
      <c r="E1351" s="69">
        <v>2020</v>
      </c>
      <c r="F1351" s="69">
        <v>10</v>
      </c>
      <c r="G1351" s="69">
        <v>170.8</v>
      </c>
      <c r="H1351" s="69">
        <v>14337</v>
      </c>
      <c r="I1351" s="67"/>
      <c r="J1351" s="67"/>
      <c r="K1351" s="67"/>
      <c r="L1351" s="67"/>
      <c r="M1351" s="67"/>
      <c r="N1351" s="67"/>
      <c r="O1351" s="67"/>
      <c r="P1351" s="67"/>
      <c r="Q1351" s="67"/>
      <c r="R1351" s="67"/>
      <c r="S1351" s="67"/>
      <c r="T1351" s="67"/>
      <c r="U1351" s="67"/>
      <c r="V1351" s="67"/>
      <c r="W1351" s="67"/>
      <c r="X1351" s="67"/>
      <c r="Y1351" s="67"/>
      <c r="Z1351" s="67"/>
    </row>
    <row r="1352" spans="1:26" ht="12.5">
      <c r="A1352" s="68" t="s">
        <v>3194</v>
      </c>
      <c r="B1352" s="68" t="s">
        <v>3241</v>
      </c>
      <c r="C1352" s="68" t="s">
        <v>3247</v>
      </c>
      <c r="D1352" s="68" t="s">
        <v>28</v>
      </c>
      <c r="E1352" s="69">
        <v>2020</v>
      </c>
      <c r="F1352" s="69">
        <v>5</v>
      </c>
      <c r="G1352" s="69">
        <v>98.1</v>
      </c>
      <c r="H1352" s="69">
        <v>13914</v>
      </c>
      <c r="I1352" s="67"/>
      <c r="J1352" s="67"/>
      <c r="K1352" s="67"/>
      <c r="L1352" s="67"/>
      <c r="M1352" s="67"/>
      <c r="N1352" s="67"/>
      <c r="O1352" s="67"/>
      <c r="P1352" s="67"/>
      <c r="Q1352" s="67"/>
      <c r="R1352" s="67"/>
      <c r="S1352" s="67"/>
      <c r="T1352" s="67"/>
      <c r="U1352" s="67"/>
      <c r="V1352" s="67"/>
      <c r="W1352" s="67"/>
      <c r="X1352" s="67"/>
      <c r="Y1352" s="67"/>
      <c r="Z1352" s="67"/>
    </row>
    <row r="1353" spans="1:26" ht="12.5">
      <c r="A1353" s="68" t="s">
        <v>3194</v>
      </c>
      <c r="B1353" s="68" t="s">
        <v>3241</v>
      </c>
      <c r="C1353" s="68" t="s">
        <v>3249</v>
      </c>
      <c r="D1353" s="68" t="s">
        <v>28</v>
      </c>
      <c r="E1353" s="69">
        <v>2020</v>
      </c>
      <c r="F1353" s="69">
        <v>7</v>
      </c>
      <c r="G1353" s="69">
        <v>103.6</v>
      </c>
      <c r="H1353" s="69">
        <v>8069</v>
      </c>
      <c r="I1353" s="67"/>
      <c r="J1353" s="67"/>
      <c r="K1353" s="67"/>
      <c r="L1353" s="67"/>
      <c r="M1353" s="67"/>
      <c r="N1353" s="67"/>
      <c r="O1353" s="67"/>
      <c r="P1353" s="67"/>
      <c r="Q1353" s="67"/>
      <c r="R1353" s="67"/>
      <c r="S1353" s="67"/>
      <c r="T1353" s="67"/>
      <c r="U1353" s="67"/>
      <c r="V1353" s="67"/>
      <c r="W1353" s="67"/>
      <c r="X1353" s="67"/>
      <c r="Y1353" s="67"/>
      <c r="Z1353" s="67"/>
    </row>
    <row r="1354" spans="1:26" ht="12.5">
      <c r="A1354" s="68" t="s">
        <v>3194</v>
      </c>
      <c r="B1354" s="68" t="s">
        <v>3241</v>
      </c>
      <c r="C1354" s="68" t="s">
        <v>3252</v>
      </c>
      <c r="D1354" s="68" t="s">
        <v>28</v>
      </c>
      <c r="E1354" s="69">
        <v>2020</v>
      </c>
      <c r="F1354" s="69">
        <v>4</v>
      </c>
      <c r="G1354" s="69">
        <v>60.9</v>
      </c>
      <c r="H1354" s="69">
        <v>6976</v>
      </c>
      <c r="I1354" s="67"/>
      <c r="J1354" s="67"/>
      <c r="K1354" s="67"/>
      <c r="L1354" s="67"/>
      <c r="M1354" s="67"/>
      <c r="N1354" s="67"/>
      <c r="O1354" s="67"/>
      <c r="P1354" s="67"/>
      <c r="Q1354" s="67"/>
      <c r="R1354" s="67"/>
      <c r="S1354" s="67"/>
      <c r="T1354" s="67"/>
      <c r="U1354" s="67"/>
      <c r="V1354" s="67"/>
      <c r="W1354" s="67"/>
      <c r="X1354" s="67"/>
      <c r="Y1354" s="67"/>
      <c r="Z1354" s="67"/>
    </row>
    <row r="1355" spans="1:26" ht="12.5">
      <c r="A1355" s="68" t="s">
        <v>3194</v>
      </c>
      <c r="B1355" s="68" t="s">
        <v>3241</v>
      </c>
      <c r="C1355" s="68" t="s">
        <v>3254</v>
      </c>
      <c r="D1355" s="68" t="s">
        <v>28</v>
      </c>
      <c r="E1355" s="69">
        <v>2020</v>
      </c>
      <c r="F1355" s="69">
        <v>8</v>
      </c>
      <c r="G1355" s="69">
        <v>98.8</v>
      </c>
      <c r="H1355" s="69">
        <v>5865</v>
      </c>
      <c r="I1355" s="67"/>
      <c r="J1355" s="67"/>
      <c r="K1355" s="67"/>
      <c r="L1355" s="67"/>
      <c r="M1355" s="67"/>
      <c r="N1355" s="67"/>
      <c r="O1355" s="67"/>
      <c r="P1355" s="67"/>
      <c r="Q1355" s="67"/>
      <c r="R1355" s="67"/>
      <c r="S1355" s="67"/>
      <c r="T1355" s="67"/>
      <c r="U1355" s="67"/>
      <c r="V1355" s="67"/>
      <c r="W1355" s="67"/>
      <c r="X1355" s="67"/>
      <c r="Y1355" s="67"/>
      <c r="Z1355" s="67"/>
    </row>
    <row r="1356" spans="1:26" ht="12.5">
      <c r="A1356" s="68" t="s">
        <v>3194</v>
      </c>
      <c r="B1356" s="68" t="s">
        <v>3241</v>
      </c>
      <c r="C1356" s="68" t="s">
        <v>3256</v>
      </c>
      <c r="D1356" s="68" t="s">
        <v>20</v>
      </c>
      <c r="E1356" s="69">
        <v>2020</v>
      </c>
      <c r="F1356" s="69">
        <v>12</v>
      </c>
      <c r="G1356" s="69">
        <v>192.1</v>
      </c>
      <c r="H1356" s="69">
        <v>17973</v>
      </c>
      <c r="I1356" s="67"/>
      <c r="J1356" s="67"/>
      <c r="K1356" s="67"/>
      <c r="L1356" s="67"/>
      <c r="M1356" s="67"/>
      <c r="N1356" s="67"/>
      <c r="O1356" s="67"/>
      <c r="P1356" s="67"/>
      <c r="Q1356" s="67"/>
      <c r="R1356" s="67"/>
      <c r="S1356" s="67"/>
      <c r="T1356" s="67"/>
      <c r="U1356" s="67"/>
      <c r="V1356" s="67"/>
      <c r="W1356" s="67"/>
      <c r="X1356" s="67"/>
      <c r="Y1356" s="67"/>
      <c r="Z1356" s="67"/>
    </row>
    <row r="1357" spans="1:26" ht="12.5">
      <c r="A1357" s="68" t="s">
        <v>3194</v>
      </c>
      <c r="B1357" s="68" t="s">
        <v>3241</v>
      </c>
      <c r="C1357" s="68" t="s">
        <v>3258</v>
      </c>
      <c r="D1357" s="68" t="s">
        <v>32</v>
      </c>
      <c r="E1357" s="69">
        <v>2020</v>
      </c>
      <c r="F1357" s="69">
        <v>9</v>
      </c>
      <c r="G1357" s="69">
        <v>140.6</v>
      </c>
      <c r="H1357" s="69">
        <v>19271</v>
      </c>
      <c r="I1357" s="67"/>
      <c r="J1357" s="67"/>
      <c r="K1357" s="67"/>
      <c r="L1357" s="67"/>
      <c r="M1357" s="67"/>
      <c r="N1357" s="67"/>
      <c r="O1357" s="67"/>
      <c r="P1357" s="67"/>
      <c r="Q1357" s="67"/>
      <c r="R1357" s="67"/>
      <c r="S1357" s="67"/>
      <c r="T1357" s="67"/>
      <c r="U1357" s="67"/>
      <c r="V1357" s="67"/>
      <c r="W1357" s="67"/>
      <c r="X1357" s="67"/>
      <c r="Y1357" s="67"/>
      <c r="Z1357" s="67"/>
    </row>
    <row r="1358" spans="1:26" ht="12.5">
      <c r="A1358" s="68" t="s">
        <v>3194</v>
      </c>
      <c r="B1358" s="68" t="s">
        <v>3241</v>
      </c>
      <c r="C1358" s="68" t="s">
        <v>3260</v>
      </c>
      <c r="D1358" s="68" t="s">
        <v>28</v>
      </c>
      <c r="E1358" s="69">
        <v>2020</v>
      </c>
      <c r="F1358" s="69">
        <v>4</v>
      </c>
      <c r="G1358" s="69">
        <v>86.1</v>
      </c>
      <c r="H1358" s="69">
        <v>5784</v>
      </c>
      <c r="I1358" s="67"/>
      <c r="J1358" s="67"/>
      <c r="K1358" s="67"/>
      <c r="L1358" s="67"/>
      <c r="M1358" s="67"/>
      <c r="N1358" s="67"/>
      <c r="O1358" s="67"/>
      <c r="P1358" s="67"/>
      <c r="Q1358" s="67"/>
      <c r="R1358" s="67"/>
      <c r="S1358" s="67"/>
      <c r="T1358" s="67"/>
      <c r="U1358" s="67"/>
      <c r="V1358" s="67"/>
      <c r="W1358" s="67"/>
      <c r="X1358" s="67"/>
      <c r="Y1358" s="67"/>
      <c r="Z1358" s="67"/>
    </row>
    <row r="1359" spans="1:26" ht="12.5">
      <c r="A1359" s="68" t="s">
        <v>3194</v>
      </c>
      <c r="B1359" s="68" t="s">
        <v>3241</v>
      </c>
      <c r="C1359" s="68" t="s">
        <v>3263</v>
      </c>
      <c r="D1359" s="68" t="s">
        <v>20</v>
      </c>
      <c r="E1359" s="69">
        <v>2020</v>
      </c>
      <c r="F1359" s="69">
        <v>3</v>
      </c>
      <c r="G1359" s="69">
        <v>75.8</v>
      </c>
      <c r="H1359" s="69">
        <v>9315</v>
      </c>
      <c r="I1359" s="67"/>
      <c r="J1359" s="67"/>
      <c r="K1359" s="67"/>
      <c r="L1359" s="67"/>
      <c r="M1359" s="67"/>
      <c r="N1359" s="67"/>
      <c r="O1359" s="67"/>
      <c r="P1359" s="67"/>
      <c r="Q1359" s="67"/>
      <c r="R1359" s="67"/>
      <c r="S1359" s="67"/>
      <c r="T1359" s="67"/>
      <c r="U1359" s="67"/>
      <c r="V1359" s="67"/>
      <c r="W1359" s="67"/>
      <c r="X1359" s="67"/>
      <c r="Y1359" s="67"/>
      <c r="Z1359" s="67"/>
    </row>
    <row r="1360" spans="1:26" ht="12.5">
      <c r="A1360" s="68" t="s">
        <v>3194</v>
      </c>
      <c r="B1360" s="68" t="s">
        <v>3241</v>
      </c>
      <c r="C1360" s="68" t="s">
        <v>3265</v>
      </c>
      <c r="D1360" s="68" t="s">
        <v>28</v>
      </c>
      <c r="E1360" s="69">
        <v>2020</v>
      </c>
      <c r="F1360" s="69">
        <v>6</v>
      </c>
      <c r="G1360" s="69">
        <v>94.7</v>
      </c>
      <c r="H1360" s="69">
        <v>7870</v>
      </c>
      <c r="I1360" s="67"/>
      <c r="J1360" s="67"/>
      <c r="K1360" s="67"/>
      <c r="L1360" s="67"/>
      <c r="M1360" s="67"/>
      <c r="N1360" s="67"/>
      <c r="O1360" s="67"/>
      <c r="P1360" s="67"/>
      <c r="Q1360" s="67"/>
      <c r="R1360" s="67"/>
      <c r="S1360" s="67"/>
      <c r="T1360" s="67"/>
      <c r="U1360" s="67"/>
      <c r="V1360" s="67"/>
      <c r="W1360" s="67"/>
      <c r="X1360" s="67"/>
      <c r="Y1360" s="67"/>
      <c r="Z1360" s="67"/>
    </row>
    <row r="1361" spans="1:26" ht="12.5">
      <c r="A1361" s="68" t="s">
        <v>3194</v>
      </c>
      <c r="B1361" s="68" t="s">
        <v>3241</v>
      </c>
      <c r="C1361" s="68" t="s">
        <v>3267</v>
      </c>
      <c r="D1361" s="68" t="s">
        <v>28</v>
      </c>
      <c r="E1361" s="69">
        <v>2020</v>
      </c>
      <c r="F1361" s="69">
        <v>4</v>
      </c>
      <c r="G1361" s="69">
        <v>102.4</v>
      </c>
      <c r="H1361" s="69">
        <v>10101</v>
      </c>
      <c r="I1361" s="67"/>
      <c r="J1361" s="67"/>
      <c r="K1361" s="67"/>
      <c r="L1361" s="67"/>
      <c r="M1361" s="67"/>
      <c r="N1361" s="67"/>
      <c r="O1361" s="67"/>
      <c r="P1361" s="67"/>
      <c r="Q1361" s="67"/>
      <c r="R1361" s="67"/>
      <c r="S1361" s="67"/>
      <c r="T1361" s="67"/>
      <c r="U1361" s="67"/>
      <c r="V1361" s="67"/>
      <c r="W1361" s="67"/>
      <c r="X1361" s="67"/>
      <c r="Y1361" s="67"/>
      <c r="Z1361" s="67"/>
    </row>
    <row r="1362" spans="1:26" ht="12.5">
      <c r="A1362" s="68" t="s">
        <v>3194</v>
      </c>
      <c r="B1362" s="68" t="s">
        <v>3241</v>
      </c>
      <c r="C1362" s="68" t="s">
        <v>338</v>
      </c>
      <c r="D1362" s="68" t="s">
        <v>28</v>
      </c>
      <c r="E1362" s="69">
        <v>2020</v>
      </c>
      <c r="F1362" s="69">
        <v>7</v>
      </c>
      <c r="G1362" s="69">
        <v>120.6</v>
      </c>
      <c r="H1362" s="69">
        <v>11100</v>
      </c>
      <c r="I1362" s="67"/>
      <c r="J1362" s="67"/>
      <c r="K1362" s="67"/>
      <c r="L1362" s="67"/>
      <c r="M1362" s="67"/>
      <c r="N1362" s="67"/>
      <c r="O1362" s="67"/>
      <c r="P1362" s="67"/>
      <c r="Q1362" s="67"/>
      <c r="R1362" s="67"/>
      <c r="S1362" s="67"/>
      <c r="T1362" s="67"/>
      <c r="U1362" s="67"/>
      <c r="V1362" s="67"/>
      <c r="W1362" s="67"/>
      <c r="X1362" s="67"/>
      <c r="Y1362" s="67"/>
      <c r="Z1362" s="67"/>
    </row>
    <row r="1363" spans="1:26" ht="12.5">
      <c r="A1363" s="68" t="s">
        <v>3194</v>
      </c>
      <c r="B1363" s="68" t="s">
        <v>3241</v>
      </c>
      <c r="C1363" s="68" t="s">
        <v>3272</v>
      </c>
      <c r="D1363" s="68" t="s">
        <v>28</v>
      </c>
      <c r="E1363" s="69">
        <v>2020</v>
      </c>
      <c r="F1363" s="69">
        <v>2</v>
      </c>
      <c r="G1363" s="69">
        <v>45.7</v>
      </c>
      <c r="H1363" s="69">
        <v>4439</v>
      </c>
      <c r="I1363" s="67"/>
      <c r="J1363" s="67"/>
      <c r="K1363" s="67"/>
      <c r="L1363" s="67"/>
      <c r="M1363" s="67"/>
      <c r="N1363" s="67"/>
      <c r="O1363" s="67"/>
      <c r="P1363" s="67"/>
      <c r="Q1363" s="67"/>
      <c r="R1363" s="67"/>
      <c r="S1363" s="67"/>
      <c r="T1363" s="67"/>
      <c r="U1363" s="67"/>
      <c r="V1363" s="67"/>
      <c r="W1363" s="67"/>
      <c r="X1363" s="67"/>
      <c r="Y1363" s="67"/>
      <c r="Z1363" s="67"/>
    </row>
    <row r="1364" spans="1:26" ht="12.5">
      <c r="A1364" s="68" t="s">
        <v>3194</v>
      </c>
      <c r="B1364" s="68" t="s">
        <v>3241</v>
      </c>
      <c r="C1364" s="68" t="s">
        <v>3274</v>
      </c>
      <c r="D1364" s="68" t="s">
        <v>32</v>
      </c>
      <c r="E1364" s="69">
        <v>2020</v>
      </c>
      <c r="F1364" s="69">
        <v>5</v>
      </c>
      <c r="G1364" s="69">
        <v>37.299999999999997</v>
      </c>
      <c r="H1364" s="69">
        <v>4281</v>
      </c>
      <c r="I1364" s="67"/>
      <c r="J1364" s="67"/>
      <c r="K1364" s="67"/>
      <c r="L1364" s="67"/>
      <c r="M1364" s="67"/>
      <c r="N1364" s="67"/>
      <c r="O1364" s="67"/>
      <c r="P1364" s="67"/>
      <c r="Q1364" s="67"/>
      <c r="R1364" s="67"/>
      <c r="S1364" s="67"/>
      <c r="T1364" s="67"/>
      <c r="U1364" s="67"/>
      <c r="V1364" s="67"/>
      <c r="W1364" s="67"/>
      <c r="X1364" s="67"/>
      <c r="Y1364" s="67"/>
      <c r="Z1364" s="67"/>
    </row>
    <row r="1365" spans="1:26" ht="12.5">
      <c r="A1365" s="68" t="s">
        <v>3194</v>
      </c>
      <c r="B1365" s="68" t="s">
        <v>3241</v>
      </c>
      <c r="C1365" s="68" t="s">
        <v>3276</v>
      </c>
      <c r="D1365" s="68" t="s">
        <v>32</v>
      </c>
      <c r="E1365" s="69">
        <v>2020</v>
      </c>
      <c r="F1365" s="69">
        <v>2</v>
      </c>
      <c r="G1365" s="69">
        <v>191.4</v>
      </c>
      <c r="H1365" s="69">
        <v>11221</v>
      </c>
      <c r="I1365" s="67"/>
      <c r="J1365" s="67"/>
      <c r="K1365" s="67"/>
      <c r="L1365" s="67"/>
      <c r="M1365" s="67"/>
      <c r="N1365" s="67"/>
      <c r="O1365" s="67"/>
      <c r="P1365" s="67"/>
      <c r="Q1365" s="67"/>
      <c r="R1365" s="67"/>
      <c r="S1365" s="67"/>
      <c r="T1365" s="67"/>
      <c r="U1365" s="67"/>
      <c r="V1365" s="67"/>
      <c r="W1365" s="67"/>
      <c r="X1365" s="67"/>
      <c r="Y1365" s="67"/>
      <c r="Z1365" s="67"/>
    </row>
    <row r="1366" spans="1:26" ht="12.5">
      <c r="A1366" s="68" t="s">
        <v>3194</v>
      </c>
      <c r="B1366" s="68" t="s">
        <v>3241</v>
      </c>
      <c r="C1366" s="68" t="s">
        <v>3278</v>
      </c>
      <c r="D1366" s="68" t="s">
        <v>20</v>
      </c>
      <c r="E1366" s="69">
        <v>2020</v>
      </c>
      <c r="F1366" s="69">
        <v>11</v>
      </c>
      <c r="G1366" s="69">
        <v>180.1</v>
      </c>
      <c r="H1366" s="69">
        <v>20729</v>
      </c>
      <c r="I1366" s="67"/>
      <c r="J1366" s="67"/>
      <c r="K1366" s="67"/>
      <c r="L1366" s="67"/>
      <c r="M1366" s="67"/>
      <c r="N1366" s="67"/>
      <c r="O1366" s="67"/>
      <c r="P1366" s="67"/>
      <c r="Q1366" s="67"/>
      <c r="R1366" s="67"/>
      <c r="S1366" s="67"/>
      <c r="T1366" s="67"/>
      <c r="U1366" s="67"/>
      <c r="V1366" s="67"/>
      <c r="W1366" s="67"/>
      <c r="X1366" s="67"/>
      <c r="Y1366" s="67"/>
      <c r="Z1366" s="67"/>
    </row>
    <row r="1367" spans="1:26" ht="12.5">
      <c r="A1367" s="68" t="s">
        <v>3194</v>
      </c>
      <c r="B1367" s="68" t="s">
        <v>3241</v>
      </c>
      <c r="C1367" s="68" t="s">
        <v>3280</v>
      </c>
      <c r="D1367" s="68" t="s">
        <v>28</v>
      </c>
      <c r="E1367" s="69">
        <v>2020</v>
      </c>
      <c r="F1367" s="69">
        <v>5</v>
      </c>
      <c r="G1367" s="69">
        <v>84.1</v>
      </c>
      <c r="H1367" s="69">
        <v>9499</v>
      </c>
      <c r="I1367" s="67"/>
      <c r="J1367" s="67"/>
      <c r="K1367" s="67"/>
      <c r="L1367" s="67"/>
      <c r="M1367" s="67"/>
      <c r="N1367" s="67"/>
      <c r="O1367" s="67"/>
      <c r="P1367" s="67"/>
      <c r="Q1367" s="67"/>
      <c r="R1367" s="67"/>
      <c r="S1367" s="67"/>
      <c r="T1367" s="67"/>
      <c r="U1367" s="67"/>
      <c r="V1367" s="67"/>
      <c r="W1367" s="67"/>
      <c r="X1367" s="67"/>
      <c r="Y1367" s="67"/>
      <c r="Z1367" s="67"/>
    </row>
    <row r="1368" spans="1:26" ht="12.5">
      <c r="A1368" s="68" t="s">
        <v>3194</v>
      </c>
      <c r="B1368" s="68" t="s">
        <v>3241</v>
      </c>
      <c r="C1368" s="68" t="s">
        <v>3282</v>
      </c>
      <c r="D1368" s="68" t="s">
        <v>28</v>
      </c>
      <c r="E1368" s="69">
        <v>2020</v>
      </c>
      <c r="F1368" s="69">
        <v>12</v>
      </c>
      <c r="G1368" s="69">
        <v>155.5</v>
      </c>
      <c r="H1368" s="69">
        <v>19929</v>
      </c>
      <c r="I1368" s="67"/>
      <c r="J1368" s="67"/>
      <c r="K1368" s="67"/>
      <c r="L1368" s="67"/>
      <c r="M1368" s="67"/>
      <c r="N1368" s="67"/>
      <c r="O1368" s="67"/>
      <c r="P1368" s="67"/>
      <c r="Q1368" s="67"/>
      <c r="R1368" s="67"/>
      <c r="S1368" s="67"/>
      <c r="T1368" s="67"/>
      <c r="U1368" s="67"/>
      <c r="V1368" s="67"/>
      <c r="W1368" s="67"/>
      <c r="X1368" s="67"/>
      <c r="Y1368" s="67"/>
      <c r="Z1368" s="67"/>
    </row>
    <row r="1369" spans="1:26" ht="12.5">
      <c r="A1369" s="68" t="s">
        <v>3194</v>
      </c>
      <c r="B1369" s="68" t="s">
        <v>3241</v>
      </c>
      <c r="C1369" s="68" t="s">
        <v>3284</v>
      </c>
      <c r="D1369" s="68" t="s">
        <v>32</v>
      </c>
      <c r="E1369" s="69">
        <v>2020</v>
      </c>
      <c r="F1369" s="69">
        <v>6</v>
      </c>
      <c r="G1369" s="69">
        <v>57.9</v>
      </c>
      <c r="H1369" s="69">
        <v>7446</v>
      </c>
      <c r="I1369" s="67"/>
      <c r="J1369" s="67"/>
      <c r="K1369" s="67"/>
      <c r="L1369" s="67"/>
      <c r="M1369" s="67"/>
      <c r="N1369" s="67"/>
      <c r="O1369" s="67"/>
      <c r="P1369" s="67"/>
      <c r="Q1369" s="67"/>
      <c r="R1369" s="67"/>
      <c r="S1369" s="67"/>
      <c r="T1369" s="67"/>
      <c r="U1369" s="67"/>
      <c r="V1369" s="67"/>
      <c r="W1369" s="67"/>
      <c r="X1369" s="67"/>
      <c r="Y1369" s="67"/>
      <c r="Z1369" s="67"/>
    </row>
    <row r="1370" spans="1:26" ht="12.5">
      <c r="A1370" s="68" t="s">
        <v>3194</v>
      </c>
      <c r="B1370" s="68" t="s">
        <v>3241</v>
      </c>
      <c r="C1370" s="68" t="s">
        <v>3286</v>
      </c>
      <c r="D1370" s="68" t="s">
        <v>20</v>
      </c>
      <c r="E1370" s="69">
        <v>2020</v>
      </c>
      <c r="F1370" s="69">
        <v>14</v>
      </c>
      <c r="G1370" s="69">
        <v>220.7</v>
      </c>
      <c r="H1370" s="69">
        <v>28201</v>
      </c>
      <c r="I1370" s="67"/>
      <c r="J1370" s="67"/>
      <c r="K1370" s="67"/>
      <c r="L1370" s="67"/>
      <c r="M1370" s="67"/>
      <c r="N1370" s="67"/>
      <c r="O1370" s="67"/>
      <c r="P1370" s="67"/>
      <c r="Q1370" s="67"/>
      <c r="R1370" s="67"/>
      <c r="S1370" s="67"/>
      <c r="T1370" s="67"/>
      <c r="U1370" s="67"/>
      <c r="V1370" s="67"/>
      <c r="W1370" s="67"/>
      <c r="X1370" s="67"/>
      <c r="Y1370" s="67"/>
      <c r="Z1370" s="67"/>
    </row>
    <row r="1371" spans="1:26" ht="12.5">
      <c r="A1371" s="68" t="s">
        <v>3194</v>
      </c>
      <c r="B1371" s="68" t="s">
        <v>3241</v>
      </c>
      <c r="C1371" s="68" t="s">
        <v>3288</v>
      </c>
      <c r="D1371" s="68" t="s">
        <v>28</v>
      </c>
      <c r="E1371" s="69">
        <v>2020</v>
      </c>
      <c r="F1371" s="69">
        <v>10</v>
      </c>
      <c r="G1371" s="69">
        <v>99.1</v>
      </c>
      <c r="H1371" s="69">
        <v>13453</v>
      </c>
      <c r="I1371" s="67"/>
      <c r="J1371" s="67"/>
      <c r="K1371" s="67"/>
      <c r="L1371" s="67"/>
      <c r="M1371" s="67"/>
      <c r="N1371" s="67"/>
      <c r="O1371" s="67"/>
      <c r="P1371" s="67"/>
      <c r="Q1371" s="67"/>
      <c r="R1371" s="67"/>
      <c r="S1371" s="67"/>
      <c r="T1371" s="67"/>
      <c r="U1371" s="67"/>
      <c r="V1371" s="67"/>
      <c r="W1371" s="67"/>
      <c r="X1371" s="67"/>
      <c r="Y1371" s="67"/>
      <c r="Z1371" s="67"/>
    </row>
    <row r="1372" spans="1:26" ht="12.5">
      <c r="A1372" s="68" t="s">
        <v>3194</v>
      </c>
      <c r="B1372" s="68" t="s">
        <v>3241</v>
      </c>
      <c r="C1372" s="68" t="s">
        <v>3290</v>
      </c>
      <c r="D1372" s="68" t="s">
        <v>28</v>
      </c>
      <c r="E1372" s="69">
        <v>2020</v>
      </c>
      <c r="F1372" s="69">
        <v>3</v>
      </c>
      <c r="G1372" s="69">
        <v>81.599999999999994</v>
      </c>
      <c r="H1372" s="69">
        <v>8134</v>
      </c>
      <c r="I1372" s="67"/>
      <c r="J1372" s="67"/>
      <c r="K1372" s="67"/>
      <c r="L1372" s="67"/>
      <c r="M1372" s="67"/>
      <c r="N1372" s="67"/>
      <c r="O1372" s="67"/>
      <c r="P1372" s="67"/>
      <c r="Q1372" s="67"/>
      <c r="R1372" s="67"/>
      <c r="S1372" s="67"/>
      <c r="T1372" s="67"/>
      <c r="U1372" s="67"/>
      <c r="V1372" s="67"/>
      <c r="W1372" s="67"/>
      <c r="X1372" s="67"/>
      <c r="Y1372" s="67"/>
      <c r="Z1372" s="67"/>
    </row>
    <row r="1373" spans="1:26" ht="12.5">
      <c r="A1373" s="68" t="s">
        <v>3194</v>
      </c>
      <c r="B1373" s="68" t="s">
        <v>3241</v>
      </c>
      <c r="C1373" s="68" t="s">
        <v>3293</v>
      </c>
      <c r="D1373" s="68" t="s">
        <v>28</v>
      </c>
      <c r="E1373" s="69">
        <v>2020</v>
      </c>
      <c r="F1373" s="69">
        <v>5</v>
      </c>
      <c r="G1373" s="69">
        <v>75.400000000000006</v>
      </c>
      <c r="H1373" s="69">
        <v>6250</v>
      </c>
      <c r="I1373" s="67"/>
      <c r="J1373" s="67"/>
      <c r="K1373" s="67"/>
      <c r="L1373" s="67"/>
      <c r="M1373" s="67"/>
      <c r="N1373" s="67"/>
      <c r="O1373" s="67"/>
      <c r="P1373" s="67"/>
      <c r="Q1373" s="67"/>
      <c r="R1373" s="67"/>
      <c r="S1373" s="67"/>
      <c r="T1373" s="67"/>
      <c r="U1373" s="67"/>
      <c r="V1373" s="67"/>
      <c r="W1373" s="67"/>
      <c r="X1373" s="67"/>
      <c r="Y1373" s="67"/>
      <c r="Z1373" s="67"/>
    </row>
    <row r="1374" spans="1:26" ht="12.5">
      <c r="A1374" s="68" t="s">
        <v>3194</v>
      </c>
      <c r="B1374" s="68" t="s">
        <v>3241</v>
      </c>
      <c r="C1374" s="68" t="s">
        <v>3295</v>
      </c>
      <c r="D1374" s="68" t="s">
        <v>20</v>
      </c>
      <c r="E1374" s="69">
        <v>2020</v>
      </c>
      <c r="F1374" s="69">
        <v>17</v>
      </c>
      <c r="G1374" s="69">
        <v>520.4</v>
      </c>
      <c r="H1374" s="69">
        <v>42154</v>
      </c>
      <c r="I1374" s="67"/>
      <c r="J1374" s="67"/>
      <c r="K1374" s="67"/>
      <c r="L1374" s="67"/>
      <c r="M1374" s="67"/>
      <c r="N1374" s="67"/>
      <c r="O1374" s="67"/>
      <c r="P1374" s="67"/>
      <c r="Q1374" s="67"/>
      <c r="R1374" s="67"/>
      <c r="S1374" s="67"/>
      <c r="T1374" s="67"/>
      <c r="U1374" s="67"/>
      <c r="V1374" s="67"/>
      <c r="W1374" s="67"/>
      <c r="X1374" s="67"/>
      <c r="Y1374" s="67"/>
      <c r="Z1374" s="67"/>
    </row>
    <row r="1375" spans="1:26" ht="12.5">
      <c r="A1375" s="68" t="s">
        <v>3194</v>
      </c>
      <c r="B1375" s="68" t="s">
        <v>3241</v>
      </c>
      <c r="C1375" s="68" t="s">
        <v>3297</v>
      </c>
      <c r="D1375" s="68" t="s">
        <v>28</v>
      </c>
      <c r="E1375" s="69">
        <v>2020</v>
      </c>
      <c r="F1375" s="69">
        <v>6</v>
      </c>
      <c r="G1375" s="69">
        <v>106.9</v>
      </c>
      <c r="H1375" s="69">
        <v>7905</v>
      </c>
      <c r="I1375" s="67"/>
      <c r="J1375" s="67"/>
      <c r="K1375" s="67"/>
      <c r="L1375" s="67"/>
      <c r="M1375" s="67"/>
      <c r="N1375" s="67"/>
      <c r="O1375" s="67"/>
      <c r="P1375" s="67"/>
      <c r="Q1375" s="67"/>
      <c r="R1375" s="67"/>
      <c r="S1375" s="67"/>
      <c r="T1375" s="67"/>
      <c r="U1375" s="67"/>
      <c r="V1375" s="67"/>
      <c r="W1375" s="67"/>
      <c r="X1375" s="67"/>
      <c r="Y1375" s="67"/>
      <c r="Z1375" s="67"/>
    </row>
    <row r="1376" spans="1:26" ht="12.5">
      <c r="A1376" s="68" t="s">
        <v>3194</v>
      </c>
      <c r="B1376" s="68" t="s">
        <v>3241</v>
      </c>
      <c r="C1376" s="68" t="s">
        <v>3299</v>
      </c>
      <c r="D1376" s="68" t="s">
        <v>28</v>
      </c>
      <c r="E1376" s="69">
        <v>2020</v>
      </c>
      <c r="F1376" s="69">
        <v>5</v>
      </c>
      <c r="G1376" s="69">
        <v>91.6</v>
      </c>
      <c r="H1376" s="69">
        <v>7593</v>
      </c>
      <c r="I1376" s="67"/>
      <c r="J1376" s="67"/>
      <c r="K1376" s="67"/>
      <c r="L1376" s="67"/>
      <c r="M1376" s="67"/>
      <c r="N1376" s="67"/>
      <c r="O1376" s="67"/>
      <c r="P1376" s="67"/>
      <c r="Q1376" s="67"/>
      <c r="R1376" s="67"/>
      <c r="S1376" s="67"/>
      <c r="T1376" s="67"/>
      <c r="U1376" s="67"/>
      <c r="V1376" s="67"/>
      <c r="W1376" s="67"/>
      <c r="X1376" s="67"/>
      <c r="Y1376" s="67"/>
      <c r="Z1376" s="67"/>
    </row>
    <row r="1377" spans="1:26" ht="12.5">
      <c r="A1377" s="68" t="s">
        <v>3194</v>
      </c>
      <c r="B1377" s="68" t="s">
        <v>3241</v>
      </c>
      <c r="C1377" s="68" t="s">
        <v>3302</v>
      </c>
      <c r="D1377" s="68" t="s">
        <v>28</v>
      </c>
      <c r="E1377" s="69">
        <v>2020</v>
      </c>
      <c r="F1377" s="69">
        <v>5</v>
      </c>
      <c r="G1377" s="69">
        <v>74.7</v>
      </c>
      <c r="H1377" s="69">
        <v>6311</v>
      </c>
      <c r="I1377" s="67"/>
      <c r="J1377" s="67"/>
      <c r="K1377" s="67"/>
      <c r="L1377" s="67"/>
      <c r="M1377" s="67"/>
      <c r="N1377" s="67"/>
      <c r="O1377" s="67"/>
      <c r="P1377" s="67"/>
      <c r="Q1377" s="67"/>
      <c r="R1377" s="67"/>
      <c r="S1377" s="67"/>
      <c r="T1377" s="67"/>
      <c r="U1377" s="67"/>
      <c r="V1377" s="67"/>
      <c r="W1377" s="67"/>
      <c r="X1377" s="67"/>
      <c r="Y1377" s="67"/>
      <c r="Z1377" s="67"/>
    </row>
    <row r="1378" spans="1:26" ht="12.5">
      <c r="A1378" s="68" t="s">
        <v>3194</v>
      </c>
      <c r="B1378" s="68" t="s">
        <v>3241</v>
      </c>
      <c r="C1378" s="68" t="s">
        <v>3304</v>
      </c>
      <c r="D1378" s="68" t="s">
        <v>28</v>
      </c>
      <c r="E1378" s="69">
        <v>2020</v>
      </c>
      <c r="F1378" s="69">
        <v>4</v>
      </c>
      <c r="G1378" s="69">
        <v>123.9</v>
      </c>
      <c r="H1378" s="69">
        <v>11606</v>
      </c>
      <c r="I1378" s="67"/>
      <c r="J1378" s="67"/>
      <c r="K1378" s="67"/>
      <c r="L1378" s="67"/>
      <c r="M1378" s="67"/>
      <c r="N1378" s="67"/>
      <c r="O1378" s="67"/>
      <c r="P1378" s="67"/>
      <c r="Q1378" s="67"/>
      <c r="R1378" s="67"/>
      <c r="S1378" s="67"/>
      <c r="T1378" s="67"/>
      <c r="U1378" s="67"/>
      <c r="V1378" s="67"/>
      <c r="W1378" s="67"/>
      <c r="X1378" s="67"/>
      <c r="Y1378" s="67"/>
      <c r="Z1378" s="67"/>
    </row>
    <row r="1379" spans="1:26" ht="12.5">
      <c r="A1379" s="68" t="s">
        <v>3194</v>
      </c>
      <c r="B1379" s="68" t="s">
        <v>3241</v>
      </c>
      <c r="C1379" s="68" t="s">
        <v>3307</v>
      </c>
      <c r="D1379" s="68" t="s">
        <v>28</v>
      </c>
      <c r="E1379" s="69">
        <v>2020</v>
      </c>
      <c r="F1379" s="69">
        <v>4</v>
      </c>
      <c r="G1379" s="69">
        <v>50.2</v>
      </c>
      <c r="H1379" s="69">
        <v>10159</v>
      </c>
      <c r="I1379" s="67"/>
      <c r="J1379" s="67"/>
      <c r="K1379" s="67"/>
      <c r="L1379" s="67"/>
      <c r="M1379" s="67"/>
      <c r="N1379" s="67"/>
      <c r="O1379" s="67"/>
      <c r="P1379" s="67"/>
      <c r="Q1379" s="67"/>
      <c r="R1379" s="67"/>
      <c r="S1379" s="67"/>
      <c r="T1379" s="67"/>
      <c r="U1379" s="67"/>
      <c r="V1379" s="67"/>
      <c r="W1379" s="67"/>
      <c r="X1379" s="67"/>
      <c r="Y1379" s="67"/>
      <c r="Z1379" s="67"/>
    </row>
    <row r="1380" spans="1:26" ht="12.5">
      <c r="A1380" s="68" t="s">
        <v>3194</v>
      </c>
      <c r="B1380" s="68" t="s">
        <v>3241</v>
      </c>
      <c r="C1380" s="68" t="s">
        <v>124</v>
      </c>
      <c r="D1380" s="68" t="s">
        <v>20</v>
      </c>
      <c r="E1380" s="69">
        <v>2020</v>
      </c>
      <c r="F1380" s="69">
        <v>3</v>
      </c>
      <c r="G1380" s="69">
        <v>180.4</v>
      </c>
      <c r="H1380" s="69">
        <v>270578</v>
      </c>
      <c r="I1380" s="67"/>
      <c r="J1380" s="67"/>
      <c r="K1380" s="67"/>
      <c r="L1380" s="67"/>
      <c r="M1380" s="67"/>
      <c r="N1380" s="67"/>
      <c r="O1380" s="67"/>
      <c r="P1380" s="67"/>
      <c r="Q1380" s="67"/>
      <c r="R1380" s="67"/>
      <c r="S1380" s="67"/>
      <c r="T1380" s="67"/>
      <c r="U1380" s="67"/>
      <c r="V1380" s="67"/>
      <c r="W1380" s="67"/>
      <c r="X1380" s="67"/>
      <c r="Y1380" s="67"/>
      <c r="Z1380" s="67"/>
    </row>
    <row r="1381" spans="1:26" ht="12.5">
      <c r="A1381" s="68" t="s">
        <v>3194</v>
      </c>
      <c r="B1381" s="68" t="s">
        <v>3241</v>
      </c>
      <c r="C1381" s="68" t="s">
        <v>3311</v>
      </c>
      <c r="D1381" s="68" t="s">
        <v>28</v>
      </c>
      <c r="E1381" s="69">
        <v>2020</v>
      </c>
      <c r="F1381" s="69">
        <v>5</v>
      </c>
      <c r="G1381" s="69">
        <v>147.6</v>
      </c>
      <c r="H1381" s="69">
        <v>14420</v>
      </c>
      <c r="I1381" s="67"/>
      <c r="J1381" s="67"/>
      <c r="K1381" s="67"/>
      <c r="L1381" s="67"/>
      <c r="M1381" s="67"/>
      <c r="N1381" s="67"/>
      <c r="O1381" s="67"/>
      <c r="P1381" s="67"/>
      <c r="Q1381" s="67"/>
      <c r="R1381" s="67"/>
      <c r="S1381" s="67"/>
      <c r="T1381" s="67"/>
      <c r="U1381" s="67"/>
      <c r="V1381" s="67"/>
      <c r="W1381" s="67"/>
      <c r="X1381" s="67"/>
      <c r="Y1381" s="67"/>
      <c r="Z1381" s="67"/>
    </row>
    <row r="1382" spans="1:26" ht="12.5">
      <c r="A1382" s="68" t="s">
        <v>3194</v>
      </c>
      <c r="B1382" s="68" t="s">
        <v>3241</v>
      </c>
      <c r="C1382" s="68" t="s">
        <v>3313</v>
      </c>
      <c r="D1382" s="68" t="s">
        <v>28</v>
      </c>
      <c r="E1382" s="69">
        <v>2020</v>
      </c>
      <c r="F1382" s="69">
        <v>8</v>
      </c>
      <c r="G1382" s="69">
        <v>165.3</v>
      </c>
      <c r="H1382" s="69">
        <v>10473</v>
      </c>
      <c r="I1382" s="67"/>
      <c r="J1382" s="67"/>
      <c r="K1382" s="67"/>
      <c r="L1382" s="67"/>
      <c r="M1382" s="67"/>
      <c r="N1382" s="67"/>
      <c r="O1382" s="67"/>
      <c r="P1382" s="67"/>
      <c r="Q1382" s="67"/>
      <c r="R1382" s="67"/>
      <c r="S1382" s="67"/>
      <c r="T1382" s="67"/>
      <c r="U1382" s="67"/>
      <c r="V1382" s="67"/>
      <c r="W1382" s="67"/>
      <c r="X1382" s="67"/>
      <c r="Y1382" s="67"/>
      <c r="Z1382" s="67"/>
    </row>
    <row r="1383" spans="1:26" ht="12.5">
      <c r="A1383" s="68" t="s">
        <v>3315</v>
      </c>
      <c r="B1383" s="68" t="s">
        <v>3316</v>
      </c>
      <c r="C1383" s="68" t="s">
        <v>3317</v>
      </c>
      <c r="D1383" s="68" t="s">
        <v>20</v>
      </c>
      <c r="E1383" s="69">
        <v>2020</v>
      </c>
      <c r="F1383" s="69">
        <v>66</v>
      </c>
      <c r="G1383" s="69">
        <v>1172.5999999999999</v>
      </c>
      <c r="H1383" s="69">
        <v>20915</v>
      </c>
      <c r="I1383" s="67"/>
      <c r="J1383" s="67"/>
      <c r="K1383" s="67"/>
      <c r="L1383" s="67"/>
      <c r="M1383" s="67"/>
      <c r="N1383" s="67"/>
      <c r="O1383" s="67"/>
      <c r="P1383" s="67"/>
      <c r="Q1383" s="67"/>
      <c r="R1383" s="67"/>
      <c r="S1383" s="67"/>
      <c r="T1383" s="67"/>
      <c r="U1383" s="67"/>
      <c r="V1383" s="67"/>
      <c r="W1383" s="67"/>
      <c r="X1383" s="67"/>
      <c r="Y1383" s="67"/>
      <c r="Z1383" s="67"/>
    </row>
    <row r="1384" spans="1:26" ht="12.5">
      <c r="A1384" s="68" t="s">
        <v>3315</v>
      </c>
      <c r="B1384" s="68" t="s">
        <v>3316</v>
      </c>
      <c r="C1384" s="68" t="s">
        <v>3319</v>
      </c>
      <c r="D1384" s="68" t="s">
        <v>20</v>
      </c>
      <c r="E1384" s="69">
        <v>2020</v>
      </c>
      <c r="F1384" s="69">
        <v>39</v>
      </c>
      <c r="G1384" s="69">
        <v>1026.0999999999999</v>
      </c>
      <c r="H1384" s="69">
        <v>25581</v>
      </c>
      <c r="I1384" s="67"/>
      <c r="J1384" s="67"/>
      <c r="K1384" s="67"/>
      <c r="L1384" s="67"/>
      <c r="M1384" s="67"/>
      <c r="N1384" s="67"/>
      <c r="O1384" s="67"/>
      <c r="P1384" s="67"/>
      <c r="Q1384" s="67"/>
      <c r="R1384" s="67"/>
      <c r="S1384" s="67"/>
      <c r="T1384" s="67"/>
      <c r="U1384" s="67"/>
      <c r="V1384" s="67"/>
      <c r="W1384" s="67"/>
      <c r="X1384" s="67"/>
      <c r="Y1384" s="67"/>
      <c r="Z1384" s="67"/>
    </row>
    <row r="1385" spans="1:26" ht="12.5">
      <c r="A1385" s="68" t="s">
        <v>3315</v>
      </c>
      <c r="B1385" s="68" t="s">
        <v>3316</v>
      </c>
      <c r="C1385" s="68" t="s">
        <v>3321</v>
      </c>
      <c r="D1385" s="68" t="s">
        <v>20</v>
      </c>
      <c r="E1385" s="69">
        <v>2020</v>
      </c>
      <c r="F1385" s="69">
        <v>57</v>
      </c>
      <c r="G1385" s="69">
        <v>1283.0999999999999</v>
      </c>
      <c r="H1385" s="69">
        <v>22026</v>
      </c>
      <c r="I1385" s="67"/>
      <c r="J1385" s="67"/>
      <c r="K1385" s="67"/>
      <c r="L1385" s="67"/>
      <c r="M1385" s="67"/>
      <c r="N1385" s="67"/>
      <c r="O1385" s="67"/>
      <c r="P1385" s="67"/>
      <c r="Q1385" s="67"/>
      <c r="R1385" s="67"/>
      <c r="S1385" s="67"/>
      <c r="T1385" s="67"/>
      <c r="U1385" s="67"/>
      <c r="V1385" s="67"/>
      <c r="W1385" s="67"/>
      <c r="X1385" s="67"/>
      <c r="Y1385" s="67"/>
      <c r="Z1385" s="67"/>
    </row>
    <row r="1386" spans="1:26" ht="12.5">
      <c r="A1386" s="68" t="s">
        <v>3315</v>
      </c>
      <c r="B1386" s="68" t="s">
        <v>3316</v>
      </c>
      <c r="C1386" s="68" t="s">
        <v>3323</v>
      </c>
      <c r="D1386" s="68" t="s">
        <v>32</v>
      </c>
      <c r="E1386" s="69">
        <v>2020</v>
      </c>
      <c r="F1386" s="69">
        <v>41</v>
      </c>
      <c r="G1386" s="69">
        <v>798.8</v>
      </c>
      <c r="H1386" s="69">
        <v>15212</v>
      </c>
      <c r="I1386" s="67"/>
      <c r="J1386" s="67"/>
      <c r="K1386" s="67"/>
      <c r="L1386" s="67"/>
      <c r="M1386" s="67"/>
      <c r="N1386" s="67"/>
      <c r="O1386" s="67"/>
      <c r="P1386" s="67"/>
      <c r="Q1386" s="67"/>
      <c r="R1386" s="67"/>
      <c r="S1386" s="67"/>
      <c r="T1386" s="67"/>
      <c r="U1386" s="67"/>
      <c r="V1386" s="67"/>
      <c r="W1386" s="67"/>
      <c r="X1386" s="67"/>
      <c r="Y1386" s="67"/>
      <c r="Z1386" s="67"/>
    </row>
    <row r="1387" spans="1:26" ht="12.5">
      <c r="A1387" s="68" t="s">
        <v>3315</v>
      </c>
      <c r="B1387" s="68" t="s">
        <v>3316</v>
      </c>
      <c r="C1387" s="68" t="s">
        <v>3325</v>
      </c>
      <c r="D1387" s="68" t="s">
        <v>32</v>
      </c>
      <c r="E1387" s="69">
        <v>2020</v>
      </c>
      <c r="F1387" s="69">
        <v>15</v>
      </c>
      <c r="G1387" s="69">
        <v>320.3</v>
      </c>
      <c r="H1387" s="69">
        <v>4595</v>
      </c>
      <c r="I1387" s="67"/>
      <c r="J1387" s="67"/>
      <c r="K1387" s="67"/>
      <c r="L1387" s="67"/>
      <c r="M1387" s="67"/>
      <c r="N1387" s="67"/>
      <c r="O1387" s="67"/>
      <c r="P1387" s="67"/>
      <c r="Q1387" s="67"/>
      <c r="R1387" s="67"/>
      <c r="S1387" s="67"/>
      <c r="T1387" s="67"/>
      <c r="U1387" s="67"/>
      <c r="V1387" s="67"/>
      <c r="W1387" s="67"/>
      <c r="X1387" s="67"/>
      <c r="Y1387" s="67"/>
      <c r="Z1387" s="67"/>
    </row>
    <row r="1388" spans="1:26" ht="12.5">
      <c r="A1388" s="68" t="s">
        <v>3315</v>
      </c>
      <c r="B1388" s="68" t="s">
        <v>3327</v>
      </c>
      <c r="C1388" s="68" t="s">
        <v>3328</v>
      </c>
      <c r="D1388" s="68" t="s">
        <v>32</v>
      </c>
      <c r="E1388" s="69">
        <v>2020</v>
      </c>
      <c r="F1388" s="69">
        <v>50</v>
      </c>
      <c r="G1388" s="69">
        <v>910.1</v>
      </c>
      <c r="H1388" s="69">
        <v>15506</v>
      </c>
      <c r="I1388" s="67"/>
      <c r="J1388" s="67"/>
      <c r="K1388" s="67"/>
      <c r="L1388" s="67"/>
      <c r="M1388" s="67"/>
      <c r="N1388" s="67"/>
      <c r="O1388" s="67"/>
      <c r="P1388" s="67"/>
      <c r="Q1388" s="67"/>
      <c r="R1388" s="67"/>
      <c r="S1388" s="67"/>
      <c r="T1388" s="67"/>
      <c r="U1388" s="67"/>
      <c r="V1388" s="67"/>
      <c r="W1388" s="67"/>
      <c r="X1388" s="67"/>
      <c r="Y1388" s="67"/>
      <c r="Z1388" s="67"/>
    </row>
    <row r="1389" spans="1:26" ht="12.5">
      <c r="A1389" s="68" t="s">
        <v>3315</v>
      </c>
      <c r="B1389" s="68" t="s">
        <v>3327</v>
      </c>
      <c r="C1389" s="68" t="s">
        <v>3330</v>
      </c>
      <c r="D1389" s="68" t="s">
        <v>20</v>
      </c>
      <c r="E1389" s="69">
        <v>2020</v>
      </c>
      <c r="F1389" s="69">
        <v>85</v>
      </c>
      <c r="G1389" s="69">
        <v>1803.5</v>
      </c>
      <c r="H1389" s="69">
        <v>24668</v>
      </c>
      <c r="I1389" s="67"/>
      <c r="J1389" s="67"/>
      <c r="K1389" s="67"/>
      <c r="L1389" s="67"/>
      <c r="M1389" s="67"/>
      <c r="N1389" s="67"/>
      <c r="O1389" s="67"/>
      <c r="P1389" s="67"/>
      <c r="Q1389" s="67"/>
      <c r="R1389" s="67"/>
      <c r="S1389" s="67"/>
      <c r="T1389" s="67"/>
      <c r="U1389" s="67"/>
      <c r="V1389" s="67"/>
      <c r="W1389" s="67"/>
      <c r="X1389" s="67"/>
      <c r="Y1389" s="67"/>
      <c r="Z1389" s="67"/>
    </row>
    <row r="1390" spans="1:26" ht="12.5">
      <c r="A1390" s="68" t="s">
        <v>3315</v>
      </c>
      <c r="B1390" s="68" t="s">
        <v>3327</v>
      </c>
      <c r="C1390" s="68" t="s">
        <v>3333</v>
      </c>
      <c r="D1390" s="68" t="s">
        <v>32</v>
      </c>
      <c r="E1390" s="69">
        <v>2020</v>
      </c>
      <c r="F1390" s="69">
        <v>17</v>
      </c>
      <c r="G1390" s="69">
        <v>517.79999999999995</v>
      </c>
      <c r="H1390" s="69">
        <v>7523</v>
      </c>
      <c r="I1390" s="67"/>
      <c r="J1390" s="67"/>
      <c r="K1390" s="67"/>
      <c r="L1390" s="67"/>
      <c r="M1390" s="67"/>
      <c r="N1390" s="67"/>
      <c r="O1390" s="67"/>
      <c r="P1390" s="67"/>
      <c r="Q1390" s="67"/>
      <c r="R1390" s="67"/>
      <c r="S1390" s="67"/>
      <c r="T1390" s="67"/>
      <c r="U1390" s="67"/>
      <c r="V1390" s="67"/>
      <c r="W1390" s="67"/>
      <c r="X1390" s="67"/>
      <c r="Y1390" s="67"/>
      <c r="Z1390" s="67"/>
    </row>
    <row r="1391" spans="1:26" ht="12.5">
      <c r="A1391" s="68" t="s">
        <v>3315</v>
      </c>
      <c r="B1391" s="68" t="s">
        <v>3327</v>
      </c>
      <c r="C1391" s="68" t="s">
        <v>601</v>
      </c>
      <c r="D1391" s="68" t="s">
        <v>20</v>
      </c>
      <c r="E1391" s="69">
        <v>2020</v>
      </c>
      <c r="F1391" s="69">
        <v>70</v>
      </c>
      <c r="G1391" s="69">
        <v>1399</v>
      </c>
      <c r="H1391" s="69">
        <v>15973</v>
      </c>
      <c r="I1391" s="67"/>
      <c r="J1391" s="67"/>
      <c r="K1391" s="67"/>
      <c r="L1391" s="67"/>
      <c r="M1391" s="67"/>
      <c r="N1391" s="67"/>
      <c r="O1391" s="67"/>
      <c r="P1391" s="67"/>
      <c r="Q1391" s="67"/>
      <c r="R1391" s="67"/>
      <c r="S1391" s="67"/>
      <c r="T1391" s="67"/>
      <c r="U1391" s="67"/>
      <c r="V1391" s="67"/>
      <c r="W1391" s="67"/>
      <c r="X1391" s="67"/>
      <c r="Y1391" s="67"/>
      <c r="Z1391" s="67"/>
    </row>
    <row r="1392" spans="1:26" ht="12.5">
      <c r="A1392" s="68" t="s">
        <v>3315</v>
      </c>
      <c r="B1392" s="68" t="s">
        <v>3336</v>
      </c>
      <c r="C1392" s="68" t="s">
        <v>3337</v>
      </c>
      <c r="D1392" s="68" t="s">
        <v>20</v>
      </c>
      <c r="E1392" s="69">
        <v>2020</v>
      </c>
      <c r="F1392" s="69">
        <v>27</v>
      </c>
      <c r="G1392" s="69">
        <v>437.5</v>
      </c>
      <c r="H1392" s="69">
        <v>7136</v>
      </c>
      <c r="I1392" s="67"/>
      <c r="J1392" s="67"/>
      <c r="K1392" s="67"/>
      <c r="L1392" s="67"/>
      <c r="M1392" s="67"/>
      <c r="N1392" s="67"/>
      <c r="O1392" s="67"/>
      <c r="P1392" s="67"/>
      <c r="Q1392" s="67"/>
      <c r="R1392" s="67"/>
      <c r="S1392" s="67"/>
      <c r="T1392" s="67"/>
      <c r="U1392" s="67"/>
      <c r="V1392" s="67"/>
      <c r="W1392" s="67"/>
      <c r="X1392" s="67"/>
      <c r="Y1392" s="67"/>
      <c r="Z1392" s="67"/>
    </row>
    <row r="1393" spans="1:26" ht="12.5">
      <c r="A1393" s="68" t="s">
        <v>3315</v>
      </c>
      <c r="B1393" s="68" t="s">
        <v>3336</v>
      </c>
      <c r="C1393" s="68" t="s">
        <v>3339</v>
      </c>
      <c r="D1393" s="68" t="s">
        <v>20</v>
      </c>
      <c r="E1393" s="69">
        <v>2020</v>
      </c>
      <c r="F1393" s="69">
        <v>39</v>
      </c>
      <c r="G1393" s="69">
        <v>720.9</v>
      </c>
      <c r="H1393" s="69">
        <v>29419</v>
      </c>
      <c r="I1393" s="67"/>
      <c r="J1393" s="67"/>
      <c r="K1393" s="67"/>
      <c r="L1393" s="67"/>
      <c r="M1393" s="67"/>
      <c r="N1393" s="67"/>
      <c r="O1393" s="67"/>
      <c r="P1393" s="67"/>
      <c r="Q1393" s="67"/>
      <c r="R1393" s="67"/>
      <c r="S1393" s="67"/>
      <c r="T1393" s="67"/>
      <c r="U1393" s="67"/>
      <c r="V1393" s="67"/>
      <c r="W1393" s="67"/>
      <c r="X1393" s="67"/>
      <c r="Y1393" s="67"/>
      <c r="Z1393" s="67"/>
    </row>
    <row r="1394" spans="1:26" ht="12.5">
      <c r="A1394" s="68" t="s">
        <v>3315</v>
      </c>
      <c r="B1394" s="68" t="s">
        <v>3336</v>
      </c>
      <c r="C1394" s="68" t="s">
        <v>3342</v>
      </c>
      <c r="D1394" s="68" t="s">
        <v>20</v>
      </c>
      <c r="E1394" s="69">
        <v>2020</v>
      </c>
      <c r="F1394" s="69">
        <v>41</v>
      </c>
      <c r="G1394" s="69">
        <v>1055.5</v>
      </c>
      <c r="H1394" s="69">
        <v>24750</v>
      </c>
      <c r="I1394" s="67"/>
      <c r="J1394" s="67"/>
      <c r="K1394" s="67"/>
      <c r="L1394" s="67"/>
      <c r="M1394" s="67"/>
      <c r="N1394" s="67"/>
      <c r="O1394" s="67"/>
      <c r="P1394" s="67"/>
      <c r="Q1394" s="67"/>
      <c r="R1394" s="67"/>
      <c r="S1394" s="67"/>
      <c r="T1394" s="67"/>
      <c r="U1394" s="67"/>
      <c r="V1394" s="67"/>
      <c r="W1394" s="67"/>
      <c r="X1394" s="67"/>
      <c r="Y1394" s="67"/>
      <c r="Z1394" s="67"/>
    </row>
    <row r="1395" spans="1:26" ht="12.5">
      <c r="A1395" s="68" t="s">
        <v>3315</v>
      </c>
      <c r="B1395" s="68" t="s">
        <v>3336</v>
      </c>
      <c r="C1395" s="68" t="s">
        <v>3344</v>
      </c>
      <c r="D1395" s="68" t="s">
        <v>20</v>
      </c>
      <c r="E1395" s="69">
        <v>2020</v>
      </c>
      <c r="F1395" s="69">
        <v>22</v>
      </c>
      <c r="G1395" s="69">
        <v>538.1</v>
      </c>
      <c r="H1395" s="69">
        <v>15673</v>
      </c>
      <c r="I1395" s="67"/>
      <c r="J1395" s="67"/>
      <c r="K1395" s="67"/>
      <c r="L1395" s="67"/>
      <c r="M1395" s="67"/>
      <c r="N1395" s="67"/>
      <c r="O1395" s="67"/>
      <c r="P1395" s="67"/>
      <c r="Q1395" s="67"/>
      <c r="R1395" s="67"/>
      <c r="S1395" s="67"/>
      <c r="T1395" s="67"/>
      <c r="U1395" s="67"/>
      <c r="V1395" s="67"/>
      <c r="W1395" s="67"/>
      <c r="X1395" s="67"/>
      <c r="Y1395" s="67"/>
      <c r="Z1395" s="67"/>
    </row>
    <row r="1396" spans="1:26" ht="12.5">
      <c r="A1396" s="68" t="s">
        <v>3315</v>
      </c>
      <c r="B1396" s="68" t="s">
        <v>3336</v>
      </c>
      <c r="C1396" s="68" t="s">
        <v>3346</v>
      </c>
      <c r="D1396" s="68" t="s">
        <v>28</v>
      </c>
      <c r="E1396" s="69">
        <v>2020</v>
      </c>
      <c r="F1396" s="69">
        <v>24</v>
      </c>
      <c r="G1396" s="69">
        <v>678.4</v>
      </c>
      <c r="H1396" s="69">
        <v>8020</v>
      </c>
      <c r="I1396" s="67"/>
      <c r="J1396" s="67"/>
      <c r="K1396" s="67"/>
      <c r="L1396" s="67"/>
      <c r="M1396" s="67"/>
      <c r="N1396" s="67"/>
      <c r="O1396" s="67"/>
      <c r="P1396" s="67"/>
      <c r="Q1396" s="67"/>
      <c r="R1396" s="67"/>
      <c r="S1396" s="67"/>
      <c r="T1396" s="67"/>
      <c r="U1396" s="67"/>
      <c r="V1396" s="67"/>
      <c r="W1396" s="67"/>
      <c r="X1396" s="67"/>
      <c r="Y1396" s="67"/>
      <c r="Z1396" s="67"/>
    </row>
    <row r="1397" spans="1:26" ht="12.5">
      <c r="A1397" s="68" t="s">
        <v>3315</v>
      </c>
      <c r="B1397" s="68" t="s">
        <v>3336</v>
      </c>
      <c r="C1397" s="68" t="s">
        <v>2736</v>
      </c>
      <c r="D1397" s="68" t="s">
        <v>28</v>
      </c>
      <c r="E1397" s="69">
        <v>2020</v>
      </c>
      <c r="F1397" s="69">
        <v>15</v>
      </c>
      <c r="G1397" s="69">
        <v>267.39999999999998</v>
      </c>
      <c r="H1397" s="69">
        <v>4281</v>
      </c>
      <c r="I1397" s="67"/>
      <c r="J1397" s="67"/>
      <c r="K1397" s="67"/>
      <c r="L1397" s="67"/>
      <c r="M1397" s="67"/>
      <c r="N1397" s="67"/>
      <c r="O1397" s="67"/>
      <c r="P1397" s="67"/>
      <c r="Q1397" s="67"/>
      <c r="R1397" s="67"/>
      <c r="S1397" s="67"/>
      <c r="T1397" s="67"/>
      <c r="U1397" s="67"/>
      <c r="V1397" s="67"/>
      <c r="W1397" s="67"/>
      <c r="X1397" s="67"/>
      <c r="Y1397" s="67"/>
      <c r="Z1397" s="67"/>
    </row>
    <row r="1398" spans="1:26" ht="12.5">
      <c r="A1398" s="68" t="s">
        <v>3315</v>
      </c>
      <c r="B1398" s="68" t="s">
        <v>3336</v>
      </c>
      <c r="C1398" s="68" t="s">
        <v>1291</v>
      </c>
      <c r="D1398" s="68" t="s">
        <v>32</v>
      </c>
      <c r="E1398" s="69">
        <v>2020</v>
      </c>
      <c r="F1398" s="69">
        <v>15</v>
      </c>
      <c r="G1398" s="69">
        <v>327.10000000000002</v>
      </c>
      <c r="H1398" s="69">
        <v>5067</v>
      </c>
      <c r="I1398" s="67"/>
      <c r="J1398" s="67"/>
      <c r="K1398" s="67"/>
      <c r="L1398" s="67"/>
      <c r="M1398" s="67"/>
      <c r="N1398" s="67"/>
      <c r="O1398" s="67"/>
      <c r="P1398" s="67"/>
      <c r="Q1398" s="67"/>
      <c r="R1398" s="67"/>
      <c r="S1398" s="67"/>
      <c r="T1398" s="67"/>
      <c r="U1398" s="67"/>
      <c r="V1398" s="67"/>
      <c r="W1398" s="67"/>
      <c r="X1398" s="67"/>
      <c r="Y1398" s="67"/>
      <c r="Z1398" s="67"/>
    </row>
    <row r="1399" spans="1:26" ht="12.5">
      <c r="A1399" s="68" t="s">
        <v>3315</v>
      </c>
      <c r="B1399" s="68" t="s">
        <v>3336</v>
      </c>
      <c r="C1399" s="68" t="s">
        <v>3350</v>
      </c>
      <c r="D1399" s="68" t="s">
        <v>28</v>
      </c>
      <c r="E1399" s="69">
        <v>2020</v>
      </c>
      <c r="F1399" s="69">
        <v>15</v>
      </c>
      <c r="G1399" s="69">
        <v>425</v>
      </c>
      <c r="H1399" s="69">
        <v>4539</v>
      </c>
      <c r="I1399" s="67"/>
      <c r="J1399" s="67"/>
      <c r="K1399" s="67"/>
      <c r="L1399" s="67"/>
      <c r="M1399" s="67"/>
      <c r="N1399" s="67"/>
      <c r="O1399" s="67"/>
      <c r="P1399" s="67"/>
      <c r="Q1399" s="67"/>
      <c r="R1399" s="67"/>
      <c r="S1399" s="67"/>
      <c r="T1399" s="67"/>
      <c r="U1399" s="67"/>
      <c r="V1399" s="67"/>
      <c r="W1399" s="67"/>
      <c r="X1399" s="67"/>
      <c r="Y1399" s="67"/>
      <c r="Z1399" s="67"/>
    </row>
    <row r="1400" spans="1:26" ht="12.5">
      <c r="A1400" s="68" t="s">
        <v>3315</v>
      </c>
      <c r="B1400" s="68" t="s">
        <v>3336</v>
      </c>
      <c r="C1400" s="68" t="s">
        <v>3352</v>
      </c>
      <c r="D1400" s="68" t="s">
        <v>28</v>
      </c>
      <c r="E1400" s="69">
        <v>2020</v>
      </c>
      <c r="F1400" s="69">
        <v>14</v>
      </c>
      <c r="G1400" s="69">
        <v>285.39999999999998</v>
      </c>
      <c r="H1400" s="69">
        <v>3560</v>
      </c>
      <c r="I1400" s="67"/>
      <c r="J1400" s="67"/>
      <c r="K1400" s="67"/>
      <c r="L1400" s="67"/>
      <c r="M1400" s="67"/>
      <c r="N1400" s="67"/>
      <c r="O1400" s="67"/>
      <c r="P1400" s="67"/>
      <c r="Q1400" s="67"/>
      <c r="R1400" s="67"/>
      <c r="S1400" s="67"/>
      <c r="T1400" s="67"/>
      <c r="U1400" s="67"/>
      <c r="V1400" s="67"/>
      <c r="W1400" s="67"/>
      <c r="X1400" s="67"/>
      <c r="Y1400" s="67"/>
      <c r="Z1400" s="67"/>
    </row>
    <row r="1401" spans="1:26" ht="12.5">
      <c r="A1401" s="68" t="s">
        <v>3315</v>
      </c>
      <c r="B1401" s="68" t="s">
        <v>3336</v>
      </c>
      <c r="C1401" s="68" t="s">
        <v>3355</v>
      </c>
      <c r="D1401" s="68" t="s">
        <v>32</v>
      </c>
      <c r="E1401" s="69">
        <v>2020</v>
      </c>
      <c r="F1401" s="69">
        <v>21</v>
      </c>
      <c r="G1401" s="69">
        <v>355.8</v>
      </c>
      <c r="H1401" s="69">
        <v>9712</v>
      </c>
      <c r="I1401" s="67"/>
      <c r="J1401" s="67"/>
      <c r="K1401" s="67"/>
      <c r="L1401" s="67"/>
      <c r="M1401" s="67"/>
      <c r="N1401" s="67"/>
      <c r="O1401" s="67"/>
      <c r="P1401" s="67"/>
      <c r="Q1401" s="67"/>
      <c r="R1401" s="67"/>
      <c r="S1401" s="67"/>
      <c r="T1401" s="67"/>
      <c r="U1401" s="67"/>
      <c r="V1401" s="67"/>
      <c r="W1401" s="67"/>
      <c r="X1401" s="67"/>
      <c r="Y1401" s="67"/>
      <c r="Z1401" s="67"/>
    </row>
    <row r="1402" spans="1:26" ht="12.5">
      <c r="A1402" s="68" t="s">
        <v>3315</v>
      </c>
      <c r="B1402" s="68" t="s">
        <v>3336</v>
      </c>
      <c r="C1402" s="68" t="s">
        <v>3357</v>
      </c>
      <c r="D1402" s="68" t="s">
        <v>28</v>
      </c>
      <c r="E1402" s="69">
        <v>2020</v>
      </c>
      <c r="F1402" s="69">
        <v>19</v>
      </c>
      <c r="G1402" s="69">
        <v>248.1</v>
      </c>
      <c r="H1402" s="69">
        <v>3545</v>
      </c>
      <c r="I1402" s="67"/>
      <c r="J1402" s="67"/>
      <c r="K1402" s="67"/>
      <c r="L1402" s="67"/>
      <c r="M1402" s="67"/>
      <c r="N1402" s="67"/>
      <c r="O1402" s="67"/>
      <c r="P1402" s="67"/>
      <c r="Q1402" s="67"/>
      <c r="R1402" s="67"/>
      <c r="S1402" s="67"/>
      <c r="T1402" s="67"/>
      <c r="U1402" s="67"/>
      <c r="V1402" s="67"/>
      <c r="W1402" s="67"/>
      <c r="X1402" s="67"/>
      <c r="Y1402" s="67"/>
      <c r="Z1402" s="67"/>
    </row>
    <row r="1403" spans="1:26" ht="12.5">
      <c r="A1403" s="68" t="s">
        <v>3315</v>
      </c>
      <c r="B1403" s="68" t="s">
        <v>3336</v>
      </c>
      <c r="C1403" s="68" t="s">
        <v>3359</v>
      </c>
      <c r="D1403" s="68" t="s">
        <v>28</v>
      </c>
      <c r="E1403" s="69">
        <v>2020</v>
      </c>
      <c r="F1403" s="69">
        <v>7</v>
      </c>
      <c r="G1403" s="69">
        <v>332</v>
      </c>
      <c r="H1403" s="69">
        <v>4062</v>
      </c>
      <c r="I1403" s="67"/>
      <c r="J1403" s="67"/>
      <c r="K1403" s="67"/>
      <c r="L1403" s="67"/>
      <c r="M1403" s="67"/>
      <c r="N1403" s="67"/>
      <c r="O1403" s="67"/>
      <c r="P1403" s="67"/>
      <c r="Q1403" s="67"/>
      <c r="R1403" s="67"/>
      <c r="S1403" s="67"/>
      <c r="T1403" s="67"/>
      <c r="U1403" s="67"/>
      <c r="V1403" s="67"/>
      <c r="W1403" s="67"/>
      <c r="X1403" s="67"/>
      <c r="Y1403" s="67"/>
      <c r="Z1403" s="67"/>
    </row>
    <row r="1404" spans="1:26" ht="12.5">
      <c r="A1404" s="68" t="s">
        <v>3315</v>
      </c>
      <c r="B1404" s="68" t="s">
        <v>3336</v>
      </c>
      <c r="C1404" s="68" t="s">
        <v>3361</v>
      </c>
      <c r="D1404" s="68" t="s">
        <v>28</v>
      </c>
      <c r="E1404" s="69">
        <v>2020</v>
      </c>
      <c r="F1404" s="69">
        <v>13</v>
      </c>
      <c r="G1404" s="69">
        <v>362.2</v>
      </c>
      <c r="H1404" s="69">
        <v>6132</v>
      </c>
      <c r="I1404" s="67"/>
      <c r="J1404" s="67"/>
      <c r="K1404" s="67"/>
      <c r="L1404" s="67"/>
      <c r="M1404" s="67"/>
      <c r="N1404" s="67"/>
      <c r="O1404" s="67"/>
      <c r="P1404" s="67"/>
      <c r="Q1404" s="67"/>
      <c r="R1404" s="67"/>
      <c r="S1404" s="67"/>
      <c r="T1404" s="67"/>
      <c r="U1404" s="67"/>
      <c r="V1404" s="67"/>
      <c r="W1404" s="67"/>
      <c r="X1404" s="67"/>
      <c r="Y1404" s="67"/>
      <c r="Z1404" s="67"/>
    </row>
    <row r="1405" spans="1:26" ht="12.5">
      <c r="A1405" s="68" t="s">
        <v>3315</v>
      </c>
      <c r="B1405" s="68" t="s">
        <v>3336</v>
      </c>
      <c r="C1405" s="68" t="s">
        <v>3363</v>
      </c>
      <c r="D1405" s="68" t="s">
        <v>20</v>
      </c>
      <c r="E1405" s="69">
        <v>2020</v>
      </c>
      <c r="F1405" s="69">
        <v>21</v>
      </c>
      <c r="G1405" s="69">
        <v>569.79999999999995</v>
      </c>
      <c r="H1405" s="69">
        <v>19575</v>
      </c>
      <c r="I1405" s="67"/>
      <c r="J1405" s="67"/>
      <c r="K1405" s="67"/>
      <c r="L1405" s="67"/>
      <c r="M1405" s="67"/>
      <c r="N1405" s="67"/>
      <c r="O1405" s="67"/>
      <c r="P1405" s="67"/>
      <c r="Q1405" s="67"/>
      <c r="R1405" s="67"/>
      <c r="S1405" s="67"/>
      <c r="T1405" s="67"/>
      <c r="U1405" s="67"/>
      <c r="V1405" s="67"/>
      <c r="W1405" s="67"/>
      <c r="X1405" s="67"/>
      <c r="Y1405" s="67"/>
      <c r="Z1405" s="67"/>
    </row>
    <row r="1406" spans="1:26" ht="12.5">
      <c r="A1406" s="68" t="s">
        <v>3315</v>
      </c>
      <c r="B1406" s="68" t="s">
        <v>3336</v>
      </c>
      <c r="C1406" s="68" t="s">
        <v>3365</v>
      </c>
      <c r="D1406" s="68" t="s">
        <v>20</v>
      </c>
      <c r="E1406" s="69">
        <v>2020</v>
      </c>
      <c r="F1406" s="69">
        <v>5</v>
      </c>
      <c r="G1406" s="69">
        <v>130.30000000000001</v>
      </c>
      <c r="H1406" s="69">
        <v>67806</v>
      </c>
      <c r="I1406" s="67"/>
      <c r="J1406" s="67"/>
      <c r="K1406" s="67"/>
      <c r="L1406" s="67"/>
      <c r="M1406" s="67"/>
      <c r="N1406" s="67"/>
      <c r="O1406" s="67"/>
      <c r="P1406" s="67"/>
      <c r="Q1406" s="67"/>
      <c r="R1406" s="67"/>
      <c r="S1406" s="67"/>
      <c r="T1406" s="67"/>
      <c r="U1406" s="67"/>
      <c r="V1406" s="67"/>
      <c r="W1406" s="67"/>
      <c r="X1406" s="67"/>
      <c r="Y1406" s="67"/>
      <c r="Z1406" s="67"/>
    </row>
    <row r="1407" spans="1:26" ht="12.5">
      <c r="A1407" s="68" t="s">
        <v>3315</v>
      </c>
      <c r="B1407" s="68" t="s">
        <v>3336</v>
      </c>
      <c r="C1407" s="68" t="s">
        <v>3368</v>
      </c>
      <c r="D1407" s="68" t="s">
        <v>28</v>
      </c>
      <c r="E1407" s="69">
        <v>2020</v>
      </c>
      <c r="F1407" s="69">
        <v>5</v>
      </c>
      <c r="G1407" s="69">
        <v>235.9</v>
      </c>
      <c r="H1407" s="69">
        <v>2652</v>
      </c>
      <c r="I1407" s="67"/>
      <c r="J1407" s="67"/>
      <c r="K1407" s="67"/>
      <c r="L1407" s="67"/>
      <c r="M1407" s="67"/>
      <c r="N1407" s="67"/>
      <c r="O1407" s="67"/>
      <c r="P1407" s="67"/>
      <c r="Q1407" s="67"/>
      <c r="R1407" s="67"/>
      <c r="S1407" s="67"/>
      <c r="T1407" s="67"/>
      <c r="U1407" s="67"/>
      <c r="V1407" s="67"/>
      <c r="W1407" s="67"/>
      <c r="X1407" s="67"/>
      <c r="Y1407" s="67"/>
      <c r="Z1407" s="67"/>
    </row>
    <row r="1408" spans="1:26" ht="12.5">
      <c r="A1408" s="68" t="s">
        <v>3315</v>
      </c>
      <c r="B1408" s="68" t="s">
        <v>3336</v>
      </c>
      <c r="C1408" s="68" t="s">
        <v>3370</v>
      </c>
      <c r="D1408" s="68" t="s">
        <v>28</v>
      </c>
      <c r="E1408" s="69">
        <v>2020</v>
      </c>
      <c r="F1408" s="69">
        <v>15</v>
      </c>
      <c r="G1408" s="69">
        <v>249.6</v>
      </c>
      <c r="H1408" s="69">
        <v>4711</v>
      </c>
      <c r="I1408" s="67"/>
      <c r="J1408" s="67"/>
      <c r="K1408" s="67"/>
      <c r="L1408" s="67"/>
      <c r="M1408" s="67"/>
      <c r="N1408" s="67"/>
      <c r="O1408" s="67"/>
      <c r="P1408" s="67"/>
      <c r="Q1408" s="67"/>
      <c r="R1408" s="67"/>
      <c r="S1408" s="67"/>
      <c r="T1408" s="67"/>
      <c r="U1408" s="67"/>
      <c r="V1408" s="67"/>
      <c r="W1408" s="67"/>
      <c r="X1408" s="67"/>
      <c r="Y1408" s="67"/>
      <c r="Z1408" s="67"/>
    </row>
    <row r="1409" spans="1:26" ht="12.5">
      <c r="A1409" s="68" t="s">
        <v>3315</v>
      </c>
      <c r="B1409" s="68" t="s">
        <v>3372</v>
      </c>
      <c r="C1409" s="68" t="s">
        <v>3373</v>
      </c>
      <c r="D1409" s="68" t="s">
        <v>20</v>
      </c>
      <c r="E1409" s="69">
        <v>2020</v>
      </c>
      <c r="F1409" s="69">
        <v>54</v>
      </c>
      <c r="G1409" s="69">
        <v>1205.9000000000001</v>
      </c>
      <c r="H1409" s="69">
        <v>22558</v>
      </c>
      <c r="I1409" s="67"/>
      <c r="J1409" s="67"/>
      <c r="K1409" s="67"/>
      <c r="L1409" s="67"/>
      <c r="M1409" s="67"/>
      <c r="N1409" s="67"/>
      <c r="O1409" s="67"/>
      <c r="P1409" s="67"/>
      <c r="Q1409" s="67"/>
      <c r="R1409" s="67"/>
      <c r="S1409" s="67"/>
      <c r="T1409" s="67"/>
      <c r="U1409" s="67"/>
      <c r="V1409" s="67"/>
      <c r="W1409" s="67"/>
      <c r="X1409" s="67"/>
      <c r="Y1409" s="67"/>
      <c r="Z1409" s="67"/>
    </row>
    <row r="1410" spans="1:26" ht="12.5">
      <c r="A1410" s="68" t="s">
        <v>3315</v>
      </c>
      <c r="B1410" s="68" t="s">
        <v>3372</v>
      </c>
      <c r="C1410" s="68" t="s">
        <v>3375</v>
      </c>
      <c r="D1410" s="68" t="s">
        <v>32</v>
      </c>
      <c r="E1410" s="69">
        <v>2020</v>
      </c>
      <c r="F1410" s="69">
        <v>30</v>
      </c>
      <c r="G1410" s="69">
        <v>588.29999999999995</v>
      </c>
      <c r="H1410" s="69">
        <v>14908</v>
      </c>
      <c r="I1410" s="67"/>
      <c r="J1410" s="67"/>
      <c r="K1410" s="67"/>
      <c r="L1410" s="67"/>
      <c r="M1410" s="67"/>
      <c r="N1410" s="67"/>
      <c r="O1410" s="67"/>
      <c r="P1410" s="67"/>
      <c r="Q1410" s="67"/>
      <c r="R1410" s="67"/>
      <c r="S1410" s="67"/>
      <c r="T1410" s="67"/>
      <c r="U1410" s="67"/>
      <c r="V1410" s="67"/>
      <c r="W1410" s="67"/>
      <c r="X1410" s="67"/>
      <c r="Y1410" s="67"/>
      <c r="Z1410" s="67"/>
    </row>
    <row r="1411" spans="1:26" ht="12.5">
      <c r="A1411" s="68" t="s">
        <v>3315</v>
      </c>
      <c r="B1411" s="68" t="s">
        <v>3372</v>
      </c>
      <c r="C1411" s="68" t="s">
        <v>3377</v>
      </c>
      <c r="D1411" s="68" t="s">
        <v>32</v>
      </c>
      <c r="E1411" s="69">
        <v>2020</v>
      </c>
      <c r="F1411" s="69">
        <v>7</v>
      </c>
      <c r="G1411" s="69">
        <v>179.2</v>
      </c>
      <c r="H1411" s="69">
        <v>8585</v>
      </c>
      <c r="I1411" s="67"/>
      <c r="J1411" s="67"/>
      <c r="K1411" s="67"/>
      <c r="L1411" s="67"/>
      <c r="M1411" s="67"/>
      <c r="N1411" s="67"/>
      <c r="O1411" s="67"/>
      <c r="P1411" s="67"/>
      <c r="Q1411" s="67"/>
      <c r="R1411" s="67"/>
      <c r="S1411" s="67"/>
      <c r="T1411" s="67"/>
      <c r="U1411" s="67"/>
      <c r="V1411" s="67"/>
      <c r="W1411" s="67"/>
      <c r="X1411" s="67"/>
      <c r="Y1411" s="67"/>
      <c r="Z1411" s="67"/>
    </row>
    <row r="1412" spans="1:26" ht="12.5">
      <c r="A1412" s="68" t="s">
        <v>3315</v>
      </c>
      <c r="B1412" s="68" t="s">
        <v>3372</v>
      </c>
      <c r="C1412" s="68" t="s">
        <v>3380</v>
      </c>
      <c r="D1412" s="68" t="s">
        <v>32</v>
      </c>
      <c r="E1412" s="69">
        <v>2020</v>
      </c>
      <c r="F1412" s="69">
        <v>16</v>
      </c>
      <c r="G1412" s="69">
        <v>205.9</v>
      </c>
      <c r="H1412" s="69">
        <v>4685</v>
      </c>
      <c r="I1412" s="67"/>
      <c r="J1412" s="67"/>
      <c r="K1412" s="67"/>
      <c r="L1412" s="67"/>
      <c r="M1412" s="67"/>
      <c r="N1412" s="67"/>
      <c r="O1412" s="67"/>
      <c r="P1412" s="67"/>
      <c r="Q1412" s="67"/>
      <c r="R1412" s="67"/>
      <c r="S1412" s="67"/>
      <c r="T1412" s="67"/>
      <c r="U1412" s="67"/>
      <c r="V1412" s="67"/>
      <c r="W1412" s="67"/>
      <c r="X1412" s="67"/>
      <c r="Y1412" s="67"/>
      <c r="Z1412" s="67"/>
    </row>
    <row r="1413" spans="1:26" ht="12.5">
      <c r="A1413" s="68" t="s">
        <v>3315</v>
      </c>
      <c r="B1413" s="68" t="s">
        <v>3372</v>
      </c>
      <c r="C1413" s="68" t="s">
        <v>3382</v>
      </c>
      <c r="D1413" s="68" t="s">
        <v>32</v>
      </c>
      <c r="E1413" s="69">
        <v>2020</v>
      </c>
      <c r="F1413" s="69">
        <v>13</v>
      </c>
      <c r="G1413" s="69">
        <v>238.9</v>
      </c>
      <c r="H1413" s="69">
        <v>4468</v>
      </c>
      <c r="I1413" s="67"/>
      <c r="J1413" s="67"/>
      <c r="K1413" s="67"/>
      <c r="L1413" s="67"/>
      <c r="M1413" s="67"/>
      <c r="N1413" s="67"/>
      <c r="O1413" s="67"/>
      <c r="P1413" s="67"/>
      <c r="Q1413" s="67"/>
      <c r="R1413" s="67"/>
      <c r="S1413" s="67"/>
      <c r="T1413" s="67"/>
      <c r="U1413" s="67"/>
      <c r="V1413" s="67"/>
      <c r="W1413" s="67"/>
      <c r="X1413" s="67"/>
      <c r="Y1413" s="67"/>
      <c r="Z1413" s="67"/>
    </row>
    <row r="1414" spans="1:26" ht="12.5">
      <c r="A1414" s="68" t="s">
        <v>3315</v>
      </c>
      <c r="B1414" s="68" t="s">
        <v>3372</v>
      </c>
      <c r="C1414" s="68" t="s">
        <v>3384</v>
      </c>
      <c r="D1414" s="68" t="s">
        <v>32</v>
      </c>
      <c r="E1414" s="69">
        <v>2020</v>
      </c>
      <c r="F1414" s="69">
        <v>22</v>
      </c>
      <c r="G1414" s="69">
        <v>369.1</v>
      </c>
      <c r="H1414" s="69">
        <v>6595</v>
      </c>
      <c r="I1414" s="67"/>
      <c r="J1414" s="67"/>
      <c r="K1414" s="67"/>
      <c r="L1414" s="67"/>
      <c r="M1414" s="67"/>
      <c r="N1414" s="67"/>
      <c r="O1414" s="67"/>
      <c r="P1414" s="67"/>
      <c r="Q1414" s="67"/>
      <c r="R1414" s="67"/>
      <c r="S1414" s="67"/>
      <c r="T1414" s="67"/>
      <c r="U1414" s="67"/>
      <c r="V1414" s="67"/>
      <c r="W1414" s="67"/>
      <c r="X1414" s="67"/>
      <c r="Y1414" s="67"/>
      <c r="Z1414" s="67"/>
    </row>
    <row r="1415" spans="1:26" ht="12.5">
      <c r="A1415" s="68" t="s">
        <v>3315</v>
      </c>
      <c r="B1415" s="68" t="s">
        <v>3372</v>
      </c>
      <c r="C1415" s="68" t="s">
        <v>3386</v>
      </c>
      <c r="D1415" s="68" t="s">
        <v>20</v>
      </c>
      <c r="E1415" s="69">
        <v>2020</v>
      </c>
      <c r="F1415" s="69">
        <v>1</v>
      </c>
      <c r="G1415" s="69">
        <v>42.3</v>
      </c>
      <c r="H1415" s="69">
        <v>52553</v>
      </c>
      <c r="I1415" s="67"/>
      <c r="J1415" s="67"/>
      <c r="K1415" s="67"/>
      <c r="L1415" s="67"/>
      <c r="M1415" s="67"/>
      <c r="N1415" s="67"/>
      <c r="O1415" s="67"/>
      <c r="P1415" s="67"/>
      <c r="Q1415" s="67"/>
      <c r="R1415" s="67"/>
      <c r="S1415" s="67"/>
      <c r="T1415" s="67"/>
      <c r="U1415" s="67"/>
      <c r="V1415" s="67"/>
      <c r="W1415" s="67"/>
      <c r="X1415" s="67"/>
      <c r="Y1415" s="67"/>
      <c r="Z1415" s="67"/>
    </row>
    <row r="1416" spans="1:26" ht="12.5">
      <c r="A1416" s="68" t="s">
        <v>3315</v>
      </c>
      <c r="B1416" s="68" t="s">
        <v>3372</v>
      </c>
      <c r="C1416" s="68" t="s">
        <v>3389</v>
      </c>
      <c r="D1416" s="68" t="s">
        <v>32</v>
      </c>
      <c r="E1416" s="69">
        <v>2020</v>
      </c>
      <c r="F1416" s="69">
        <v>29</v>
      </c>
      <c r="G1416" s="69">
        <v>578</v>
      </c>
      <c r="H1416" s="69">
        <v>10519</v>
      </c>
      <c r="I1416" s="67"/>
      <c r="J1416" s="67"/>
      <c r="K1416" s="67"/>
      <c r="L1416" s="67"/>
      <c r="M1416" s="67"/>
      <c r="N1416" s="67"/>
      <c r="O1416" s="67"/>
      <c r="P1416" s="67"/>
      <c r="Q1416" s="67"/>
      <c r="R1416" s="67"/>
      <c r="S1416" s="67"/>
      <c r="T1416" s="67"/>
      <c r="U1416" s="67"/>
      <c r="V1416" s="67"/>
      <c r="W1416" s="67"/>
      <c r="X1416" s="67"/>
      <c r="Y1416" s="67"/>
      <c r="Z1416" s="67"/>
    </row>
    <row r="1417" spans="1:26" ht="12.5">
      <c r="A1417" s="68" t="s">
        <v>3315</v>
      </c>
      <c r="B1417" s="68" t="s">
        <v>3372</v>
      </c>
      <c r="C1417" s="68" t="s">
        <v>3391</v>
      </c>
      <c r="D1417" s="68" t="s">
        <v>28</v>
      </c>
      <c r="E1417" s="69">
        <v>2020</v>
      </c>
      <c r="F1417" s="69">
        <v>54</v>
      </c>
      <c r="G1417" s="69">
        <v>887.8</v>
      </c>
      <c r="H1417" s="69">
        <v>12598</v>
      </c>
      <c r="I1417" s="67"/>
      <c r="J1417" s="67"/>
      <c r="K1417" s="67"/>
      <c r="L1417" s="67"/>
      <c r="M1417" s="67"/>
      <c r="N1417" s="67"/>
      <c r="O1417" s="67"/>
      <c r="P1417" s="67"/>
      <c r="Q1417" s="67"/>
      <c r="R1417" s="67"/>
      <c r="S1417" s="67"/>
      <c r="T1417" s="67"/>
      <c r="U1417" s="67"/>
      <c r="V1417" s="67"/>
      <c r="W1417" s="67"/>
      <c r="X1417" s="67"/>
      <c r="Y1417" s="67"/>
      <c r="Z1417" s="67"/>
    </row>
    <row r="1418" spans="1:26" ht="12.5">
      <c r="A1418" s="68" t="s">
        <v>3315</v>
      </c>
      <c r="B1418" s="68" t="s">
        <v>3372</v>
      </c>
      <c r="C1418" s="68" t="s">
        <v>3370</v>
      </c>
      <c r="D1418" s="68" t="s">
        <v>32</v>
      </c>
      <c r="E1418" s="69">
        <v>2020</v>
      </c>
      <c r="F1418" s="69">
        <v>45</v>
      </c>
      <c r="G1418" s="69">
        <v>632.5</v>
      </c>
      <c r="H1418" s="69">
        <v>11777</v>
      </c>
      <c r="I1418" s="67"/>
      <c r="J1418" s="67"/>
      <c r="K1418" s="67"/>
      <c r="L1418" s="67"/>
      <c r="M1418" s="67"/>
      <c r="N1418" s="67"/>
      <c r="O1418" s="67"/>
      <c r="P1418" s="67"/>
      <c r="Q1418" s="67"/>
      <c r="R1418" s="67"/>
      <c r="S1418" s="67"/>
      <c r="T1418" s="67"/>
      <c r="U1418" s="67"/>
      <c r="V1418" s="67"/>
      <c r="W1418" s="67"/>
      <c r="X1418" s="67"/>
      <c r="Y1418" s="67"/>
      <c r="Z1418" s="67"/>
    </row>
    <row r="1419" spans="1:26" ht="12.5">
      <c r="A1419" s="68" t="s">
        <v>3315</v>
      </c>
      <c r="B1419" s="68" t="s">
        <v>3372</v>
      </c>
      <c r="C1419" s="68" t="s">
        <v>1197</v>
      </c>
      <c r="D1419" s="68" t="s">
        <v>28</v>
      </c>
      <c r="E1419" s="69">
        <v>2020</v>
      </c>
      <c r="F1419" s="69">
        <v>9</v>
      </c>
      <c r="G1419" s="69">
        <v>282.89999999999998</v>
      </c>
      <c r="H1419" s="69">
        <v>3386</v>
      </c>
      <c r="I1419" s="67"/>
      <c r="J1419" s="67"/>
      <c r="K1419" s="67"/>
      <c r="L1419" s="67"/>
      <c r="M1419" s="67"/>
      <c r="N1419" s="67"/>
      <c r="O1419" s="67"/>
      <c r="P1419" s="67"/>
      <c r="Q1419" s="67"/>
      <c r="R1419" s="67"/>
      <c r="S1419" s="67"/>
      <c r="T1419" s="67"/>
      <c r="U1419" s="67"/>
      <c r="V1419" s="67"/>
      <c r="W1419" s="67"/>
      <c r="X1419" s="67"/>
      <c r="Y1419" s="67"/>
      <c r="Z1419" s="67"/>
    </row>
    <row r="1420" spans="1:26" ht="12.5">
      <c r="A1420" s="68" t="s">
        <v>3315</v>
      </c>
      <c r="B1420" s="68" t="s">
        <v>3395</v>
      </c>
      <c r="C1420" s="68" t="s">
        <v>152</v>
      </c>
      <c r="D1420" s="68" t="s">
        <v>28</v>
      </c>
      <c r="E1420" s="69">
        <v>2020</v>
      </c>
      <c r="F1420" s="69">
        <v>17</v>
      </c>
      <c r="G1420" s="69">
        <v>418</v>
      </c>
      <c r="H1420" s="69">
        <v>7399</v>
      </c>
      <c r="I1420" s="67"/>
      <c r="J1420" s="67"/>
      <c r="K1420" s="67"/>
      <c r="L1420" s="67"/>
      <c r="M1420" s="67"/>
      <c r="N1420" s="67"/>
      <c r="O1420" s="67"/>
      <c r="P1420" s="67"/>
      <c r="Q1420" s="67"/>
      <c r="R1420" s="67"/>
      <c r="S1420" s="67"/>
      <c r="T1420" s="67"/>
      <c r="U1420" s="67"/>
      <c r="V1420" s="67"/>
      <c r="W1420" s="67"/>
      <c r="X1420" s="67"/>
      <c r="Y1420" s="67"/>
      <c r="Z1420" s="67"/>
    </row>
    <row r="1421" spans="1:26" ht="12.5">
      <c r="A1421" s="68" t="s">
        <v>3315</v>
      </c>
      <c r="B1421" s="68" t="s">
        <v>3395</v>
      </c>
      <c r="C1421" s="68" t="s">
        <v>3397</v>
      </c>
      <c r="D1421" s="68" t="s">
        <v>32</v>
      </c>
      <c r="E1421" s="69">
        <v>2020</v>
      </c>
      <c r="F1421" s="69">
        <v>17</v>
      </c>
      <c r="G1421" s="69">
        <v>352.5</v>
      </c>
      <c r="H1421" s="69">
        <v>7505</v>
      </c>
      <c r="I1421" s="67"/>
      <c r="J1421" s="67"/>
      <c r="K1421" s="67"/>
      <c r="L1421" s="67"/>
      <c r="M1421" s="67"/>
      <c r="N1421" s="67"/>
      <c r="O1421" s="67"/>
      <c r="P1421" s="67"/>
      <c r="Q1421" s="67"/>
      <c r="R1421" s="67"/>
      <c r="S1421" s="67"/>
      <c r="T1421" s="67"/>
      <c r="U1421" s="67"/>
      <c r="V1421" s="67"/>
      <c r="W1421" s="67"/>
      <c r="X1421" s="67"/>
      <c r="Y1421" s="67"/>
      <c r="Z1421" s="67"/>
    </row>
    <row r="1422" spans="1:26" ht="12.5">
      <c r="A1422" s="68" t="s">
        <v>3315</v>
      </c>
      <c r="B1422" s="68" t="s">
        <v>3395</v>
      </c>
      <c r="C1422" s="68" t="s">
        <v>3400</v>
      </c>
      <c r="D1422" s="68" t="s">
        <v>32</v>
      </c>
      <c r="E1422" s="69">
        <v>2020</v>
      </c>
      <c r="F1422" s="69">
        <v>17</v>
      </c>
      <c r="G1422" s="69">
        <v>634.70000000000005</v>
      </c>
      <c r="H1422" s="69">
        <v>6190</v>
      </c>
      <c r="I1422" s="67"/>
      <c r="J1422" s="67"/>
      <c r="K1422" s="67"/>
      <c r="L1422" s="67"/>
      <c r="M1422" s="67"/>
      <c r="N1422" s="67"/>
      <c r="O1422" s="67"/>
      <c r="P1422" s="67"/>
      <c r="Q1422" s="67"/>
      <c r="R1422" s="67"/>
      <c r="S1422" s="67"/>
      <c r="T1422" s="67"/>
      <c r="U1422" s="67"/>
      <c r="V1422" s="67"/>
      <c r="W1422" s="67"/>
      <c r="X1422" s="67"/>
      <c r="Y1422" s="67"/>
      <c r="Z1422" s="67"/>
    </row>
    <row r="1423" spans="1:26" ht="12.5">
      <c r="A1423" s="68" t="s">
        <v>3315</v>
      </c>
      <c r="B1423" s="68" t="s">
        <v>3395</v>
      </c>
      <c r="C1423" s="68" t="s">
        <v>3402</v>
      </c>
      <c r="D1423" s="68" t="s">
        <v>20</v>
      </c>
      <c r="E1423" s="69">
        <v>2020</v>
      </c>
      <c r="F1423" s="69">
        <v>61</v>
      </c>
      <c r="G1423" s="69">
        <v>1186.9000000000001</v>
      </c>
      <c r="H1423" s="69">
        <v>21388</v>
      </c>
      <c r="I1423" s="67"/>
      <c r="J1423" s="67"/>
      <c r="K1423" s="67"/>
      <c r="L1423" s="67"/>
      <c r="M1423" s="67"/>
      <c r="N1423" s="67"/>
      <c r="O1423" s="67"/>
      <c r="P1423" s="67"/>
      <c r="Q1423" s="67"/>
      <c r="R1423" s="67"/>
      <c r="S1423" s="67"/>
      <c r="T1423" s="67"/>
      <c r="U1423" s="67"/>
      <c r="V1423" s="67"/>
      <c r="W1423" s="67"/>
      <c r="X1423" s="67"/>
      <c r="Y1423" s="67"/>
      <c r="Z1423" s="67"/>
    </row>
    <row r="1424" spans="1:26" ht="12.5">
      <c r="A1424" s="68" t="s">
        <v>3315</v>
      </c>
      <c r="B1424" s="68" t="s">
        <v>3395</v>
      </c>
      <c r="C1424" s="68" t="s">
        <v>3404</v>
      </c>
      <c r="D1424" s="68" t="s">
        <v>32</v>
      </c>
      <c r="E1424" s="69">
        <v>2020</v>
      </c>
      <c r="F1424" s="69">
        <v>13</v>
      </c>
      <c r="G1424" s="69">
        <v>710</v>
      </c>
      <c r="H1424" s="69">
        <v>10171</v>
      </c>
      <c r="I1424" s="67"/>
      <c r="J1424" s="67"/>
      <c r="K1424" s="67"/>
      <c r="L1424" s="67"/>
      <c r="M1424" s="67"/>
      <c r="N1424" s="67"/>
      <c r="O1424" s="67"/>
      <c r="P1424" s="67"/>
      <c r="Q1424" s="67"/>
      <c r="R1424" s="67"/>
      <c r="S1424" s="67"/>
      <c r="T1424" s="67"/>
      <c r="U1424" s="67"/>
      <c r="V1424" s="67"/>
      <c r="W1424" s="67"/>
      <c r="X1424" s="67"/>
      <c r="Y1424" s="67"/>
      <c r="Z1424" s="67"/>
    </row>
    <row r="1425" spans="1:26" ht="12.5">
      <c r="A1425" s="68" t="s">
        <v>3315</v>
      </c>
      <c r="B1425" s="68" t="s">
        <v>3395</v>
      </c>
      <c r="C1425" s="68" t="s">
        <v>3406</v>
      </c>
      <c r="D1425" s="68" t="s">
        <v>32</v>
      </c>
      <c r="E1425" s="69">
        <v>2020</v>
      </c>
      <c r="F1425" s="69">
        <v>21</v>
      </c>
      <c r="G1425" s="69">
        <v>460.5</v>
      </c>
      <c r="H1425" s="69">
        <v>4983</v>
      </c>
      <c r="I1425" s="67"/>
      <c r="J1425" s="67"/>
      <c r="K1425" s="67"/>
      <c r="L1425" s="67"/>
      <c r="M1425" s="67"/>
      <c r="N1425" s="67"/>
      <c r="O1425" s="67"/>
      <c r="P1425" s="67"/>
      <c r="Q1425" s="67"/>
      <c r="R1425" s="67"/>
      <c r="S1425" s="67"/>
      <c r="T1425" s="67"/>
      <c r="U1425" s="67"/>
      <c r="V1425" s="67"/>
      <c r="W1425" s="67"/>
      <c r="X1425" s="67"/>
      <c r="Y1425" s="67"/>
      <c r="Z1425" s="67"/>
    </row>
    <row r="1426" spans="1:26" ht="12.5">
      <c r="A1426" s="68" t="s">
        <v>3315</v>
      </c>
      <c r="B1426" s="68" t="s">
        <v>3395</v>
      </c>
      <c r="C1426" s="68" t="s">
        <v>3408</v>
      </c>
      <c r="D1426" s="68" t="s">
        <v>28</v>
      </c>
      <c r="E1426" s="69">
        <v>2020</v>
      </c>
      <c r="F1426" s="69">
        <v>15</v>
      </c>
      <c r="G1426" s="69">
        <v>269.89999999999998</v>
      </c>
      <c r="H1426" s="69">
        <v>5499</v>
      </c>
      <c r="I1426" s="67"/>
      <c r="J1426" s="67"/>
      <c r="K1426" s="67"/>
      <c r="L1426" s="67"/>
      <c r="M1426" s="67"/>
      <c r="N1426" s="67"/>
      <c r="O1426" s="67"/>
      <c r="P1426" s="67"/>
      <c r="Q1426" s="67"/>
      <c r="R1426" s="67"/>
      <c r="S1426" s="67"/>
      <c r="T1426" s="67"/>
      <c r="U1426" s="67"/>
      <c r="V1426" s="67"/>
      <c r="W1426" s="67"/>
      <c r="X1426" s="67"/>
      <c r="Y1426" s="67"/>
      <c r="Z1426" s="67"/>
    </row>
    <row r="1427" spans="1:26" ht="12.5">
      <c r="A1427" s="68" t="s">
        <v>3315</v>
      </c>
      <c r="B1427" s="68" t="s">
        <v>3395</v>
      </c>
      <c r="C1427" s="68" t="s">
        <v>3410</v>
      </c>
      <c r="D1427" s="68" t="s">
        <v>28</v>
      </c>
      <c r="E1427" s="69">
        <v>2020</v>
      </c>
      <c r="F1427" s="69">
        <v>6</v>
      </c>
      <c r="G1427" s="69">
        <v>108.2</v>
      </c>
      <c r="H1427" s="69">
        <v>4684</v>
      </c>
      <c r="I1427" s="67"/>
      <c r="J1427" s="67"/>
      <c r="K1427" s="67"/>
      <c r="L1427" s="67"/>
      <c r="M1427" s="67"/>
      <c r="N1427" s="67"/>
      <c r="O1427" s="67"/>
      <c r="P1427" s="67"/>
      <c r="Q1427" s="67"/>
      <c r="R1427" s="67"/>
      <c r="S1427" s="67"/>
      <c r="T1427" s="67"/>
      <c r="U1427" s="67"/>
      <c r="V1427" s="67"/>
      <c r="W1427" s="67"/>
      <c r="X1427" s="67"/>
      <c r="Y1427" s="67"/>
      <c r="Z1427" s="67"/>
    </row>
    <row r="1428" spans="1:26" ht="12.5">
      <c r="A1428" s="68" t="s">
        <v>3315</v>
      </c>
      <c r="B1428" s="68" t="s">
        <v>3395</v>
      </c>
      <c r="C1428" s="68" t="s">
        <v>3412</v>
      </c>
      <c r="D1428" s="68" t="s">
        <v>32</v>
      </c>
      <c r="E1428" s="69">
        <v>2020</v>
      </c>
      <c r="F1428" s="69">
        <v>54</v>
      </c>
      <c r="G1428" s="69">
        <v>697</v>
      </c>
      <c r="H1428" s="69">
        <v>16148</v>
      </c>
      <c r="I1428" s="67"/>
      <c r="J1428" s="67"/>
      <c r="K1428" s="67"/>
      <c r="L1428" s="67"/>
      <c r="M1428" s="67"/>
      <c r="N1428" s="67"/>
      <c r="O1428" s="67"/>
      <c r="P1428" s="67"/>
      <c r="Q1428" s="67"/>
      <c r="R1428" s="67"/>
      <c r="S1428" s="67"/>
      <c r="T1428" s="67"/>
      <c r="U1428" s="67"/>
      <c r="V1428" s="67"/>
      <c r="W1428" s="67"/>
      <c r="X1428" s="67"/>
      <c r="Y1428" s="67"/>
      <c r="Z1428" s="67"/>
    </row>
    <row r="1429" spans="1:26" ht="12.5">
      <c r="A1429" s="68" t="s">
        <v>3315</v>
      </c>
      <c r="B1429" s="68" t="s">
        <v>3395</v>
      </c>
      <c r="C1429" s="68" t="s">
        <v>1658</v>
      </c>
      <c r="D1429" s="68" t="s">
        <v>32</v>
      </c>
      <c r="E1429" s="69">
        <v>2020</v>
      </c>
      <c r="F1429" s="69">
        <v>23</v>
      </c>
      <c r="G1429" s="69">
        <v>861.8</v>
      </c>
      <c r="H1429" s="69">
        <v>14539</v>
      </c>
      <c r="I1429" s="67"/>
      <c r="J1429" s="67"/>
      <c r="K1429" s="67"/>
      <c r="L1429" s="67"/>
      <c r="M1429" s="67"/>
      <c r="N1429" s="67"/>
      <c r="O1429" s="67"/>
      <c r="P1429" s="67"/>
      <c r="Q1429" s="67"/>
      <c r="R1429" s="67"/>
      <c r="S1429" s="67"/>
      <c r="T1429" s="67"/>
      <c r="U1429" s="67"/>
      <c r="V1429" s="67"/>
      <c r="W1429" s="67"/>
      <c r="X1429" s="67"/>
      <c r="Y1429" s="67"/>
      <c r="Z1429" s="67"/>
    </row>
    <row r="1430" spans="1:26" ht="12.5">
      <c r="A1430" s="68" t="s">
        <v>3315</v>
      </c>
      <c r="B1430" s="68" t="s">
        <v>3395</v>
      </c>
      <c r="C1430" s="68" t="s">
        <v>3415</v>
      </c>
      <c r="D1430" s="68" t="s">
        <v>28</v>
      </c>
      <c r="E1430" s="69">
        <v>2020</v>
      </c>
      <c r="F1430" s="69">
        <v>19</v>
      </c>
      <c r="G1430" s="69">
        <v>537.6</v>
      </c>
      <c r="H1430" s="69">
        <v>5578</v>
      </c>
      <c r="I1430" s="67"/>
      <c r="J1430" s="67"/>
      <c r="K1430" s="67"/>
      <c r="L1430" s="67"/>
      <c r="M1430" s="67"/>
      <c r="N1430" s="67"/>
      <c r="O1430" s="67"/>
      <c r="P1430" s="67"/>
      <c r="Q1430" s="67"/>
      <c r="R1430" s="67"/>
      <c r="S1430" s="67"/>
      <c r="T1430" s="67"/>
      <c r="U1430" s="67"/>
      <c r="V1430" s="67"/>
      <c r="W1430" s="67"/>
      <c r="X1430" s="67"/>
      <c r="Y1430" s="67"/>
      <c r="Z1430" s="67"/>
    </row>
    <row r="1431" spans="1:26" ht="12.5">
      <c r="A1431" s="68" t="s">
        <v>3315</v>
      </c>
      <c r="B1431" s="68" t="s">
        <v>3395</v>
      </c>
      <c r="C1431" s="68" t="s">
        <v>3417</v>
      </c>
      <c r="D1431" s="68" t="s">
        <v>32</v>
      </c>
      <c r="E1431" s="69">
        <v>2020</v>
      </c>
      <c r="F1431" s="69">
        <v>48</v>
      </c>
      <c r="G1431" s="69">
        <v>595.29999999999995</v>
      </c>
      <c r="H1431" s="69">
        <v>5473</v>
      </c>
      <c r="I1431" s="67"/>
      <c r="J1431" s="67"/>
      <c r="K1431" s="67"/>
      <c r="L1431" s="67"/>
      <c r="M1431" s="67"/>
      <c r="N1431" s="67"/>
      <c r="O1431" s="67"/>
      <c r="P1431" s="67"/>
      <c r="Q1431" s="67"/>
      <c r="R1431" s="67"/>
      <c r="S1431" s="67"/>
      <c r="T1431" s="67"/>
      <c r="U1431" s="67"/>
      <c r="V1431" s="67"/>
      <c r="W1431" s="67"/>
      <c r="X1431" s="67"/>
      <c r="Y1431" s="67"/>
      <c r="Z1431" s="67"/>
    </row>
    <row r="1432" spans="1:26" ht="12.5">
      <c r="A1432" s="68" t="s">
        <v>3315</v>
      </c>
      <c r="B1432" s="68" t="s">
        <v>3395</v>
      </c>
      <c r="C1432" s="68" t="s">
        <v>3419</v>
      </c>
      <c r="D1432" s="68" t="s">
        <v>32</v>
      </c>
      <c r="E1432" s="69">
        <v>2020</v>
      </c>
      <c r="F1432" s="69">
        <v>42</v>
      </c>
      <c r="G1432" s="69">
        <v>781</v>
      </c>
      <c r="H1432" s="69">
        <v>12487</v>
      </c>
      <c r="I1432" s="67"/>
      <c r="J1432" s="67"/>
      <c r="K1432" s="67"/>
      <c r="L1432" s="67"/>
      <c r="M1432" s="67"/>
      <c r="N1432" s="67"/>
      <c r="O1432" s="67"/>
      <c r="P1432" s="67"/>
      <c r="Q1432" s="67"/>
      <c r="R1432" s="67"/>
      <c r="S1432" s="67"/>
      <c r="T1432" s="67"/>
      <c r="U1432" s="67"/>
      <c r="V1432" s="67"/>
      <c r="W1432" s="67"/>
      <c r="X1432" s="67"/>
      <c r="Y1432" s="67"/>
      <c r="Z1432" s="67"/>
    </row>
    <row r="1433" spans="1:26" ht="12.5">
      <c r="A1433" s="68" t="s">
        <v>3315</v>
      </c>
      <c r="B1433" s="68" t="s">
        <v>3395</v>
      </c>
      <c r="C1433" s="68" t="s">
        <v>3421</v>
      </c>
      <c r="D1433" s="68" t="s">
        <v>28</v>
      </c>
      <c r="E1433" s="69">
        <v>2020</v>
      </c>
      <c r="F1433" s="69">
        <v>22</v>
      </c>
      <c r="G1433" s="69">
        <v>377.5</v>
      </c>
      <c r="H1433" s="69">
        <v>9929</v>
      </c>
      <c r="I1433" s="67"/>
      <c r="J1433" s="67"/>
      <c r="K1433" s="67"/>
      <c r="L1433" s="67"/>
      <c r="M1433" s="67"/>
      <c r="N1433" s="67"/>
      <c r="O1433" s="67"/>
      <c r="P1433" s="67"/>
      <c r="Q1433" s="67"/>
      <c r="R1433" s="67"/>
      <c r="S1433" s="67"/>
      <c r="T1433" s="67"/>
      <c r="U1433" s="67"/>
      <c r="V1433" s="67"/>
      <c r="W1433" s="67"/>
      <c r="X1433" s="67"/>
      <c r="Y1433" s="67"/>
      <c r="Z1433" s="67"/>
    </row>
    <row r="1434" spans="1:26" ht="12.5">
      <c r="A1434" s="68" t="s">
        <v>3315</v>
      </c>
      <c r="B1434" s="68" t="s">
        <v>3395</v>
      </c>
      <c r="C1434" s="68" t="s">
        <v>3423</v>
      </c>
      <c r="D1434" s="68" t="s">
        <v>32</v>
      </c>
      <c r="E1434" s="69">
        <v>2020</v>
      </c>
      <c r="F1434" s="69">
        <v>6</v>
      </c>
      <c r="G1434" s="69">
        <v>224.7</v>
      </c>
      <c r="H1434" s="69">
        <v>3262</v>
      </c>
      <c r="I1434" s="67"/>
      <c r="J1434" s="67"/>
      <c r="K1434" s="67"/>
      <c r="L1434" s="67"/>
      <c r="M1434" s="67"/>
      <c r="N1434" s="67"/>
      <c r="O1434" s="67"/>
      <c r="P1434" s="67"/>
      <c r="Q1434" s="67"/>
      <c r="R1434" s="67"/>
      <c r="S1434" s="67"/>
      <c r="T1434" s="67"/>
      <c r="U1434" s="67"/>
      <c r="V1434" s="67"/>
      <c r="W1434" s="67"/>
      <c r="X1434" s="67"/>
      <c r="Y1434" s="67"/>
      <c r="Z1434" s="67"/>
    </row>
    <row r="1435" spans="1:26" ht="12.5">
      <c r="A1435" s="68" t="s">
        <v>3315</v>
      </c>
      <c r="B1435" s="68" t="s">
        <v>3395</v>
      </c>
      <c r="C1435" s="68" t="s">
        <v>3425</v>
      </c>
      <c r="D1435" s="68" t="s">
        <v>20</v>
      </c>
      <c r="E1435" s="69">
        <v>2020</v>
      </c>
      <c r="F1435" s="69">
        <v>22</v>
      </c>
      <c r="G1435" s="69">
        <v>402.4</v>
      </c>
      <c r="H1435" s="69">
        <v>9017</v>
      </c>
      <c r="I1435" s="67"/>
      <c r="J1435" s="67"/>
      <c r="K1435" s="67"/>
      <c r="L1435" s="67"/>
      <c r="M1435" s="67"/>
      <c r="N1435" s="67"/>
      <c r="O1435" s="67"/>
      <c r="P1435" s="67"/>
      <c r="Q1435" s="67"/>
      <c r="R1435" s="67"/>
      <c r="S1435" s="67"/>
      <c r="T1435" s="67"/>
      <c r="U1435" s="67"/>
      <c r="V1435" s="67"/>
      <c r="W1435" s="67"/>
      <c r="X1435" s="67"/>
      <c r="Y1435" s="67"/>
      <c r="Z1435" s="67"/>
    </row>
    <row r="1436" spans="1:26" ht="12.5">
      <c r="A1436" s="68" t="s">
        <v>3315</v>
      </c>
      <c r="B1436" s="68" t="s">
        <v>3395</v>
      </c>
      <c r="C1436" s="68" t="s">
        <v>3427</v>
      </c>
      <c r="D1436" s="68" t="s">
        <v>32</v>
      </c>
      <c r="E1436" s="69">
        <v>2020</v>
      </c>
      <c r="F1436" s="69">
        <v>49</v>
      </c>
      <c r="G1436" s="69">
        <v>1013.3</v>
      </c>
      <c r="H1436" s="69">
        <v>14578</v>
      </c>
      <c r="I1436" s="67"/>
      <c r="J1436" s="67"/>
      <c r="K1436" s="67"/>
      <c r="L1436" s="67"/>
      <c r="M1436" s="67"/>
      <c r="N1436" s="67"/>
      <c r="O1436" s="67"/>
      <c r="P1436" s="67"/>
      <c r="Q1436" s="67"/>
      <c r="R1436" s="67"/>
      <c r="S1436" s="67"/>
      <c r="T1436" s="67"/>
      <c r="U1436" s="67"/>
      <c r="V1436" s="67"/>
      <c r="W1436" s="67"/>
      <c r="X1436" s="67"/>
      <c r="Y1436" s="67"/>
      <c r="Z1436" s="67"/>
    </row>
    <row r="1437" spans="1:26" ht="12.5">
      <c r="A1437" s="68" t="s">
        <v>3315</v>
      </c>
      <c r="B1437" s="68" t="s">
        <v>3395</v>
      </c>
      <c r="C1437" s="68" t="s">
        <v>3430</v>
      </c>
      <c r="D1437" s="68" t="s">
        <v>32</v>
      </c>
      <c r="E1437" s="69">
        <v>2020</v>
      </c>
      <c r="F1437" s="69">
        <v>8</v>
      </c>
      <c r="G1437" s="69">
        <v>213</v>
      </c>
      <c r="H1437" s="69">
        <v>3345</v>
      </c>
      <c r="I1437" s="67"/>
      <c r="J1437" s="67"/>
      <c r="K1437" s="67"/>
      <c r="L1437" s="67"/>
      <c r="M1437" s="67"/>
      <c r="N1437" s="67"/>
      <c r="O1437" s="67"/>
      <c r="P1437" s="67"/>
      <c r="Q1437" s="67"/>
      <c r="R1437" s="67"/>
      <c r="S1437" s="67"/>
      <c r="T1437" s="67"/>
      <c r="U1437" s="67"/>
      <c r="V1437" s="67"/>
      <c r="W1437" s="67"/>
      <c r="X1437" s="67"/>
      <c r="Y1437" s="67"/>
      <c r="Z1437" s="67"/>
    </row>
    <row r="1438" spans="1:26" ht="12.5">
      <c r="A1438" s="68" t="s">
        <v>3315</v>
      </c>
      <c r="B1438" s="68" t="s">
        <v>3395</v>
      </c>
      <c r="C1438" s="68" t="s">
        <v>3433</v>
      </c>
      <c r="D1438" s="68" t="s">
        <v>28</v>
      </c>
      <c r="E1438" s="69">
        <v>2020</v>
      </c>
      <c r="F1438" s="69">
        <v>11</v>
      </c>
      <c r="G1438" s="69">
        <v>281</v>
      </c>
      <c r="H1438" s="69">
        <v>4021</v>
      </c>
      <c r="I1438" s="67"/>
      <c r="J1438" s="67"/>
      <c r="K1438" s="67"/>
      <c r="L1438" s="67"/>
      <c r="M1438" s="67"/>
      <c r="N1438" s="67"/>
      <c r="O1438" s="67"/>
      <c r="P1438" s="67"/>
      <c r="Q1438" s="67"/>
      <c r="R1438" s="67"/>
      <c r="S1438" s="67"/>
      <c r="T1438" s="67"/>
      <c r="U1438" s="67"/>
      <c r="V1438" s="67"/>
      <c r="W1438" s="67"/>
      <c r="X1438" s="67"/>
      <c r="Y1438" s="67"/>
      <c r="Z1438" s="67"/>
    </row>
    <row r="1439" spans="1:26" ht="12.5">
      <c r="A1439" s="68" t="s">
        <v>3315</v>
      </c>
      <c r="B1439" s="68" t="s">
        <v>3395</v>
      </c>
      <c r="C1439" s="68" t="s">
        <v>933</v>
      </c>
      <c r="D1439" s="68" t="s">
        <v>20</v>
      </c>
      <c r="E1439" s="69">
        <v>2020</v>
      </c>
      <c r="F1439" s="69">
        <v>1</v>
      </c>
      <c r="G1439" s="69">
        <v>78.599999999999994</v>
      </c>
      <c r="H1439" s="69">
        <v>285234</v>
      </c>
      <c r="I1439" s="67"/>
      <c r="J1439" s="67"/>
      <c r="K1439" s="67"/>
      <c r="L1439" s="67"/>
      <c r="M1439" s="67"/>
      <c r="N1439" s="67"/>
      <c r="O1439" s="67"/>
      <c r="P1439" s="67"/>
      <c r="Q1439" s="67"/>
      <c r="R1439" s="67"/>
      <c r="S1439" s="67"/>
      <c r="T1439" s="67"/>
      <c r="U1439" s="67"/>
      <c r="V1439" s="67"/>
      <c r="W1439" s="67"/>
      <c r="X1439" s="67"/>
      <c r="Y1439" s="67"/>
      <c r="Z1439" s="67"/>
    </row>
    <row r="1440" spans="1:26" ht="12.5">
      <c r="A1440" s="29"/>
      <c r="B1440" s="29"/>
      <c r="C1440" s="29"/>
      <c r="D1440" s="29"/>
      <c r="E1440" s="70"/>
      <c r="F1440" s="70"/>
      <c r="G1440" s="70"/>
      <c r="H1440" s="70"/>
      <c r="I1440" s="67"/>
      <c r="J1440" s="67"/>
      <c r="K1440" s="67"/>
      <c r="L1440" s="67"/>
      <c r="M1440" s="67"/>
      <c r="N1440" s="67"/>
      <c r="O1440" s="67"/>
      <c r="P1440" s="67"/>
      <c r="Q1440" s="67"/>
      <c r="R1440" s="67"/>
      <c r="S1440" s="67"/>
      <c r="T1440" s="67"/>
      <c r="U1440" s="67"/>
      <c r="V1440" s="67"/>
      <c r="W1440" s="67"/>
      <c r="X1440" s="67"/>
      <c r="Y1440" s="67"/>
      <c r="Z1440" s="67"/>
    </row>
    <row r="1441" spans="1:26" ht="12.5">
      <c r="A1441" s="29"/>
      <c r="B1441" s="29"/>
      <c r="C1441" s="29"/>
      <c r="D1441" s="29"/>
      <c r="E1441" s="70"/>
      <c r="F1441" s="70"/>
      <c r="G1441" s="70"/>
      <c r="H1441" s="70"/>
      <c r="I1441" s="67"/>
      <c r="J1441" s="67"/>
      <c r="K1441" s="67"/>
      <c r="L1441" s="67"/>
      <c r="M1441" s="67"/>
      <c r="N1441" s="67"/>
      <c r="O1441" s="67"/>
      <c r="P1441" s="67"/>
      <c r="Q1441" s="67"/>
      <c r="R1441" s="67"/>
      <c r="S1441" s="67"/>
      <c r="T1441" s="67"/>
      <c r="U1441" s="67"/>
      <c r="V1441" s="67"/>
      <c r="W1441" s="67"/>
      <c r="X1441" s="67"/>
      <c r="Y1441" s="67"/>
      <c r="Z1441" s="67"/>
    </row>
    <row r="1442" spans="1:26" ht="12.5">
      <c r="A1442" s="29"/>
      <c r="B1442" s="29"/>
      <c r="C1442" s="29"/>
      <c r="D1442" s="29"/>
      <c r="E1442" s="70"/>
      <c r="F1442" s="70"/>
      <c r="G1442" s="70"/>
      <c r="H1442" s="70"/>
      <c r="I1442" s="67"/>
      <c r="J1442" s="67"/>
      <c r="K1442" s="67"/>
      <c r="L1442" s="67"/>
      <c r="M1442" s="67"/>
      <c r="N1442" s="67"/>
      <c r="O1442" s="67"/>
      <c r="P1442" s="67"/>
      <c r="Q1442" s="67"/>
      <c r="R1442" s="67"/>
      <c r="S1442" s="67"/>
      <c r="T1442" s="67"/>
      <c r="U1442" s="67"/>
      <c r="V1442" s="67"/>
      <c r="W1442" s="67"/>
      <c r="X1442" s="67"/>
      <c r="Y1442" s="67"/>
      <c r="Z1442" s="67"/>
    </row>
    <row r="1443" spans="1:26" ht="12.5">
      <c r="A1443" s="29"/>
      <c r="B1443" s="29"/>
      <c r="C1443" s="29"/>
      <c r="D1443" s="29"/>
      <c r="E1443" s="70"/>
      <c r="F1443" s="70"/>
      <c r="G1443" s="70"/>
      <c r="H1443" s="70"/>
      <c r="I1443" s="67"/>
      <c r="J1443" s="67"/>
      <c r="K1443" s="67"/>
      <c r="L1443" s="67"/>
      <c r="M1443" s="67"/>
      <c r="N1443" s="67"/>
      <c r="O1443" s="67"/>
      <c r="P1443" s="67"/>
      <c r="Q1443" s="67"/>
      <c r="R1443" s="67"/>
      <c r="S1443" s="67"/>
      <c r="T1443" s="67"/>
      <c r="U1443" s="67"/>
      <c r="V1443" s="67"/>
      <c r="W1443" s="67"/>
      <c r="X1443" s="67"/>
      <c r="Y1443" s="67"/>
      <c r="Z1443" s="67"/>
    </row>
    <row r="1444" spans="1:26" ht="12.5">
      <c r="A1444" s="29"/>
      <c r="B1444" s="29"/>
      <c r="C1444" s="29"/>
      <c r="D1444" s="29"/>
      <c r="E1444" s="70"/>
      <c r="F1444" s="70"/>
      <c r="G1444" s="70"/>
      <c r="H1444" s="70"/>
      <c r="I1444" s="67"/>
      <c r="J1444" s="67"/>
      <c r="K1444" s="67"/>
      <c r="L1444" s="67"/>
      <c r="M1444" s="67"/>
      <c r="N1444" s="67"/>
      <c r="O1444" s="67"/>
      <c r="P1444" s="67"/>
      <c r="Q1444" s="67"/>
      <c r="R1444" s="67"/>
      <c r="S1444" s="67"/>
      <c r="T1444" s="67"/>
      <c r="U1444" s="67"/>
      <c r="V1444" s="67"/>
      <c r="W1444" s="67"/>
      <c r="X1444" s="67"/>
      <c r="Y1444" s="67"/>
      <c r="Z1444" s="67"/>
    </row>
    <row r="1445" spans="1:26" ht="12.5">
      <c r="A1445" s="29"/>
      <c r="B1445" s="29"/>
      <c r="C1445" s="29"/>
      <c r="D1445" s="29"/>
      <c r="E1445" s="70"/>
      <c r="F1445" s="70"/>
      <c r="G1445" s="70"/>
      <c r="H1445" s="70"/>
      <c r="I1445" s="67"/>
      <c r="J1445" s="67"/>
      <c r="K1445" s="67"/>
      <c r="L1445" s="67"/>
      <c r="M1445" s="67"/>
      <c r="N1445" s="67"/>
      <c r="O1445" s="67"/>
      <c r="P1445" s="67"/>
      <c r="Q1445" s="67"/>
      <c r="R1445" s="67"/>
      <c r="S1445" s="67"/>
      <c r="T1445" s="67"/>
      <c r="U1445" s="67"/>
      <c r="V1445" s="67"/>
      <c r="W1445" s="67"/>
      <c r="X1445" s="67"/>
      <c r="Y1445" s="67"/>
      <c r="Z1445" s="67"/>
    </row>
    <row r="1446" spans="1:26" ht="12.5">
      <c r="A1446" s="29"/>
      <c r="B1446" s="29"/>
      <c r="C1446" s="29"/>
      <c r="D1446" s="29"/>
      <c r="E1446" s="70"/>
      <c r="F1446" s="70"/>
      <c r="G1446" s="70"/>
      <c r="H1446" s="70"/>
      <c r="I1446" s="67"/>
      <c r="J1446" s="67"/>
      <c r="K1446" s="67"/>
      <c r="L1446" s="67"/>
      <c r="M1446" s="67"/>
      <c r="N1446" s="67"/>
      <c r="O1446" s="67"/>
      <c r="P1446" s="67"/>
      <c r="Q1446" s="67"/>
      <c r="R1446" s="67"/>
      <c r="S1446" s="67"/>
      <c r="T1446" s="67"/>
      <c r="U1446" s="67"/>
      <c r="V1446" s="67"/>
      <c r="W1446" s="67"/>
      <c r="X1446" s="67"/>
      <c r="Y1446" s="67"/>
      <c r="Z1446" s="67"/>
    </row>
    <row r="1447" spans="1:26" ht="12.5">
      <c r="A1447" s="29"/>
      <c r="B1447" s="29"/>
      <c r="C1447" s="29"/>
      <c r="D1447" s="29"/>
      <c r="E1447" s="70"/>
      <c r="F1447" s="70"/>
      <c r="G1447" s="70"/>
      <c r="H1447" s="70"/>
      <c r="I1447" s="67"/>
      <c r="J1447" s="67"/>
      <c r="K1447" s="67"/>
      <c r="L1447" s="67"/>
      <c r="M1447" s="67"/>
      <c r="N1447" s="67"/>
      <c r="O1447" s="67"/>
      <c r="P1447" s="67"/>
      <c r="Q1447" s="67"/>
      <c r="R1447" s="67"/>
      <c r="S1447" s="67"/>
      <c r="T1447" s="67"/>
      <c r="U1447" s="67"/>
      <c r="V1447" s="67"/>
      <c r="W1447" s="67"/>
      <c r="X1447" s="67"/>
      <c r="Y1447" s="67"/>
      <c r="Z1447" s="67"/>
    </row>
    <row r="1448" spans="1:26" ht="12.5">
      <c r="A1448" s="29"/>
      <c r="B1448" s="29"/>
      <c r="C1448" s="29"/>
      <c r="D1448" s="29"/>
      <c r="E1448" s="70"/>
      <c r="F1448" s="70"/>
      <c r="G1448" s="70"/>
      <c r="H1448" s="70"/>
      <c r="I1448" s="67"/>
      <c r="J1448" s="67"/>
      <c r="K1448" s="67"/>
      <c r="L1448" s="67"/>
      <c r="M1448" s="67"/>
      <c r="N1448" s="67"/>
      <c r="O1448" s="67"/>
      <c r="P1448" s="67"/>
      <c r="Q1448" s="67"/>
      <c r="R1448" s="67"/>
      <c r="S1448" s="67"/>
      <c r="T1448" s="67"/>
      <c r="U1448" s="67"/>
      <c r="V1448" s="67"/>
      <c r="W1448" s="67"/>
      <c r="X1448" s="67"/>
      <c r="Y1448" s="67"/>
      <c r="Z1448" s="67"/>
    </row>
    <row r="1449" spans="1:26" ht="12.5">
      <c r="A1449" s="29"/>
      <c r="B1449" s="29"/>
      <c r="C1449" s="29"/>
      <c r="D1449" s="29"/>
      <c r="E1449" s="70"/>
      <c r="F1449" s="70"/>
      <c r="G1449" s="70"/>
      <c r="H1449" s="70"/>
      <c r="I1449" s="67"/>
      <c r="J1449" s="67"/>
      <c r="K1449" s="67"/>
      <c r="L1449" s="67"/>
      <c r="M1449" s="67"/>
      <c r="N1449" s="67"/>
      <c r="O1449" s="67"/>
      <c r="P1449" s="67"/>
      <c r="Q1449" s="67"/>
      <c r="R1449" s="67"/>
      <c r="S1449" s="67"/>
      <c r="T1449" s="67"/>
      <c r="U1449" s="67"/>
      <c r="V1449" s="67"/>
      <c r="W1449" s="67"/>
      <c r="X1449" s="67"/>
      <c r="Y1449" s="67"/>
      <c r="Z1449" s="67"/>
    </row>
    <row r="1450" spans="1:26" ht="12.5">
      <c r="A1450" s="29"/>
      <c r="B1450" s="29"/>
      <c r="C1450" s="29"/>
      <c r="D1450" s="29"/>
      <c r="E1450" s="70"/>
      <c r="F1450" s="70"/>
      <c r="G1450" s="70"/>
      <c r="H1450" s="70"/>
      <c r="I1450" s="67"/>
      <c r="J1450" s="67"/>
      <c r="K1450" s="67"/>
      <c r="L1450" s="67"/>
      <c r="M1450" s="67"/>
      <c r="N1450" s="67"/>
      <c r="O1450" s="67"/>
      <c r="P1450" s="67"/>
      <c r="Q1450" s="67"/>
      <c r="R1450" s="67"/>
      <c r="S1450" s="67"/>
      <c r="T1450" s="67"/>
      <c r="U1450" s="67"/>
      <c r="V1450" s="67"/>
      <c r="W1450" s="67"/>
      <c r="X1450" s="67"/>
      <c r="Y1450" s="67"/>
      <c r="Z1450" s="67"/>
    </row>
    <row r="1451" spans="1:26" ht="12.5">
      <c r="A1451" s="29"/>
      <c r="B1451" s="29"/>
      <c r="C1451" s="29"/>
      <c r="D1451" s="29"/>
      <c r="E1451" s="70"/>
      <c r="F1451" s="70"/>
      <c r="G1451" s="70"/>
      <c r="H1451" s="70"/>
      <c r="I1451" s="67"/>
      <c r="J1451" s="67"/>
      <c r="K1451" s="67"/>
      <c r="L1451" s="67"/>
      <c r="M1451" s="67"/>
      <c r="N1451" s="67"/>
      <c r="O1451" s="67"/>
      <c r="P1451" s="67"/>
      <c r="Q1451" s="67"/>
      <c r="R1451" s="67"/>
      <c r="S1451" s="67"/>
      <c r="T1451" s="67"/>
      <c r="U1451" s="67"/>
      <c r="V1451" s="67"/>
      <c r="W1451" s="67"/>
      <c r="X1451" s="67"/>
      <c r="Y1451" s="67"/>
      <c r="Z1451" s="67"/>
    </row>
    <row r="1452" spans="1:26" ht="12.5">
      <c r="A1452" s="29"/>
      <c r="B1452" s="29"/>
      <c r="C1452" s="29"/>
      <c r="D1452" s="29"/>
      <c r="E1452" s="70"/>
      <c r="F1452" s="70"/>
      <c r="G1452" s="70"/>
      <c r="H1452" s="70"/>
      <c r="I1452" s="67"/>
      <c r="J1452" s="67"/>
      <c r="K1452" s="67"/>
      <c r="L1452" s="67"/>
      <c r="M1452" s="67"/>
      <c r="N1452" s="67"/>
      <c r="O1452" s="67"/>
      <c r="P1452" s="67"/>
      <c r="Q1452" s="67"/>
      <c r="R1452" s="67"/>
      <c r="S1452" s="67"/>
      <c r="T1452" s="67"/>
      <c r="U1452" s="67"/>
      <c r="V1452" s="67"/>
      <c r="W1452" s="67"/>
      <c r="X1452" s="67"/>
      <c r="Y1452" s="67"/>
      <c r="Z1452" s="67"/>
    </row>
    <row r="1453" spans="1:26" ht="12.5">
      <c r="A1453" s="29"/>
      <c r="B1453" s="29"/>
      <c r="C1453" s="29"/>
      <c r="D1453" s="29"/>
      <c r="E1453" s="70"/>
      <c r="F1453" s="70"/>
      <c r="G1453" s="70"/>
      <c r="H1453" s="70"/>
      <c r="I1453" s="67"/>
      <c r="J1453" s="67"/>
      <c r="K1453" s="67"/>
      <c r="L1453" s="67"/>
      <c r="M1453" s="67"/>
      <c r="N1453" s="67"/>
      <c r="O1453" s="67"/>
      <c r="P1453" s="67"/>
      <c r="Q1453" s="67"/>
      <c r="R1453" s="67"/>
      <c r="S1453" s="67"/>
      <c r="T1453" s="67"/>
      <c r="U1453" s="67"/>
      <c r="V1453" s="67"/>
      <c r="W1453" s="67"/>
      <c r="X1453" s="67"/>
      <c r="Y1453" s="67"/>
      <c r="Z1453" s="67"/>
    </row>
    <row r="1454" spans="1:26" ht="12.5">
      <c r="A1454" s="29"/>
      <c r="B1454" s="29"/>
      <c r="C1454" s="29"/>
      <c r="D1454" s="29"/>
      <c r="E1454" s="70"/>
      <c r="F1454" s="70"/>
      <c r="G1454" s="70"/>
      <c r="H1454" s="70"/>
      <c r="I1454" s="67"/>
      <c r="J1454" s="67"/>
      <c r="K1454" s="67"/>
      <c r="L1454" s="67"/>
      <c r="M1454" s="67"/>
      <c r="N1454" s="67"/>
      <c r="O1454" s="67"/>
      <c r="P1454" s="67"/>
      <c r="Q1454" s="67"/>
      <c r="R1454" s="67"/>
      <c r="S1454" s="67"/>
      <c r="T1454" s="67"/>
      <c r="U1454" s="67"/>
      <c r="V1454" s="67"/>
      <c r="W1454" s="67"/>
      <c r="X1454" s="67"/>
      <c r="Y1454" s="67"/>
      <c r="Z1454" s="67"/>
    </row>
    <row r="1455" spans="1:26" ht="12.5">
      <c r="A1455" s="29"/>
      <c r="B1455" s="29"/>
      <c r="C1455" s="29"/>
      <c r="D1455" s="29"/>
      <c r="E1455" s="70"/>
      <c r="F1455" s="70"/>
      <c r="G1455" s="70"/>
      <c r="H1455" s="70"/>
      <c r="I1455" s="67"/>
      <c r="J1455" s="67"/>
      <c r="K1455" s="67"/>
      <c r="L1455" s="67"/>
      <c r="M1455" s="67"/>
      <c r="N1455" s="67"/>
      <c r="O1455" s="67"/>
      <c r="P1455" s="67"/>
      <c r="Q1455" s="67"/>
      <c r="R1455" s="67"/>
      <c r="S1455" s="67"/>
      <c r="T1455" s="67"/>
      <c r="U1455" s="67"/>
      <c r="V1455" s="67"/>
      <c r="W1455" s="67"/>
      <c r="X1455" s="67"/>
      <c r="Y1455" s="67"/>
      <c r="Z1455" s="67"/>
    </row>
    <row r="1456" spans="1:26" ht="12.5">
      <c r="A1456" s="29"/>
      <c r="B1456" s="29"/>
      <c r="C1456" s="29"/>
      <c r="D1456" s="29"/>
      <c r="E1456" s="70"/>
      <c r="F1456" s="70"/>
      <c r="G1456" s="70"/>
      <c r="H1456" s="70"/>
      <c r="I1456" s="67"/>
      <c r="J1456" s="67"/>
      <c r="K1456" s="67"/>
      <c r="L1456" s="67"/>
      <c r="M1456" s="67"/>
      <c r="N1456" s="67"/>
      <c r="O1456" s="67"/>
      <c r="P1456" s="67"/>
      <c r="Q1456" s="67"/>
      <c r="R1456" s="67"/>
      <c r="S1456" s="67"/>
      <c r="T1456" s="67"/>
      <c r="U1456" s="67"/>
      <c r="V1456" s="67"/>
      <c r="W1456" s="67"/>
      <c r="X1456" s="67"/>
      <c r="Y1456" s="67"/>
      <c r="Z1456" s="67"/>
    </row>
    <row r="1457" spans="1:26" ht="12.5">
      <c r="A1457" s="29"/>
      <c r="B1457" s="29"/>
      <c r="C1457" s="29"/>
      <c r="D1457" s="29"/>
      <c r="E1457" s="70"/>
      <c r="F1457" s="70"/>
      <c r="G1457" s="70"/>
      <c r="H1457" s="70"/>
      <c r="I1457" s="67"/>
      <c r="J1457" s="67"/>
      <c r="K1457" s="67"/>
      <c r="L1457" s="67"/>
      <c r="M1457" s="67"/>
      <c r="N1457" s="67"/>
      <c r="O1457" s="67"/>
      <c r="P1457" s="67"/>
      <c r="Q1457" s="67"/>
      <c r="R1457" s="67"/>
      <c r="S1457" s="67"/>
      <c r="T1457" s="67"/>
      <c r="U1457" s="67"/>
      <c r="V1457" s="67"/>
      <c r="W1457" s="67"/>
      <c r="X1457" s="67"/>
      <c r="Y1457" s="67"/>
      <c r="Z1457" s="67"/>
    </row>
    <row r="1458" spans="1:26" ht="12.5">
      <c r="A1458" s="29"/>
      <c r="B1458" s="29"/>
      <c r="C1458" s="29"/>
      <c r="D1458" s="29"/>
      <c r="E1458" s="70"/>
      <c r="F1458" s="70"/>
      <c r="G1458" s="70"/>
      <c r="H1458" s="70"/>
      <c r="I1458" s="67"/>
      <c r="J1458" s="67"/>
      <c r="K1458" s="67"/>
      <c r="L1458" s="67"/>
      <c r="M1458" s="67"/>
      <c r="N1458" s="67"/>
      <c r="O1458" s="67"/>
      <c r="P1458" s="67"/>
      <c r="Q1458" s="67"/>
      <c r="R1458" s="67"/>
      <c r="S1458" s="67"/>
      <c r="T1458" s="67"/>
      <c r="U1458" s="67"/>
      <c r="V1458" s="67"/>
      <c r="W1458" s="67"/>
      <c r="X1458" s="67"/>
      <c r="Y1458" s="67"/>
      <c r="Z1458" s="67"/>
    </row>
    <row r="1459" spans="1:26" ht="12.5">
      <c r="A1459" s="29"/>
      <c r="B1459" s="29"/>
      <c r="C1459" s="29"/>
      <c r="D1459" s="29"/>
      <c r="E1459" s="70"/>
      <c r="F1459" s="70"/>
      <c r="G1459" s="70"/>
      <c r="H1459" s="70"/>
      <c r="I1459" s="67"/>
      <c r="J1459" s="67"/>
      <c r="K1459" s="67"/>
      <c r="L1459" s="67"/>
      <c r="M1459" s="67"/>
      <c r="N1459" s="67"/>
      <c r="O1459" s="67"/>
      <c r="P1459" s="67"/>
      <c r="Q1459" s="67"/>
      <c r="R1459" s="67"/>
      <c r="S1459" s="67"/>
      <c r="T1459" s="67"/>
      <c r="U1459" s="67"/>
      <c r="V1459" s="67"/>
      <c r="W1459" s="67"/>
      <c r="X1459" s="67"/>
      <c r="Y1459" s="67"/>
      <c r="Z1459" s="67"/>
    </row>
    <row r="1460" spans="1:26" ht="12.5">
      <c r="A1460" s="29"/>
      <c r="B1460" s="29"/>
      <c r="C1460" s="29"/>
      <c r="D1460" s="29"/>
      <c r="E1460" s="70"/>
      <c r="F1460" s="70"/>
      <c r="G1460" s="70"/>
      <c r="H1460" s="70"/>
      <c r="I1460" s="67"/>
      <c r="J1460" s="67"/>
      <c r="K1460" s="67"/>
      <c r="L1460" s="67"/>
      <c r="M1460" s="67"/>
      <c r="N1460" s="67"/>
      <c r="O1460" s="67"/>
      <c r="P1460" s="67"/>
      <c r="Q1460" s="67"/>
      <c r="R1460" s="67"/>
      <c r="S1460" s="67"/>
      <c r="T1460" s="67"/>
      <c r="U1460" s="67"/>
      <c r="V1460" s="67"/>
      <c r="W1460" s="67"/>
      <c r="X1460" s="67"/>
      <c r="Y1460" s="67"/>
      <c r="Z1460" s="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Аркуші</vt:lpstr>
      </vt:variant>
      <vt:variant>
        <vt:i4>7</vt:i4>
      </vt:variant>
    </vt:vector>
  </HeadingPairs>
  <TitlesOfParts>
    <vt:vector size="7" baseType="lpstr">
      <vt:lpstr>hromadas</vt:lpstr>
      <vt:lpstr>Youth_councils</vt:lpstr>
      <vt:lpstr>Youth_centers</vt:lpstr>
      <vt:lpstr>Entrepreneurs_support</vt:lpstr>
      <vt:lpstr>райони (телеграми)</vt:lpstr>
      <vt:lpstr>draft</vt:lpstr>
      <vt:lpstr>parsed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Игор</cp:lastModifiedBy>
  <dcterms:modified xsi:type="dcterms:W3CDTF">2022-12-07T09:16:59Z</dcterms:modified>
</cp:coreProperties>
</file>