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denkoLP\Desktop\ЗПІ\"/>
    </mc:Choice>
  </mc:AlternateContent>
  <xr:revisionPtr revIDLastSave="0" documentId="13_ncr:1_{6B48031A-F018-44C2-9715-E7BEA967EBE9}" xr6:coauthVersionLast="47" xr6:coauthVersionMax="47" xr10:uidLastSave="{00000000-0000-0000-0000-000000000000}"/>
  <bookViews>
    <workbookView xWindow="-120" yWindow="-120" windowWidth="29040" windowHeight="15840" xr2:uid="{1F59427C-870B-4AA3-A015-2AFC0878FAA9}"/>
  </bookViews>
  <sheets>
    <sheet name="2016" sheetId="1" r:id="rId1"/>
  </sheets>
  <definedNames>
    <definedName name="_xlnm._FilterDatabase" localSheetId="0" hidden="1">'2016'!$A$11:$M$924</definedName>
    <definedName name="_xlnm.Print_Titles" localSheetId="0">'2016'!$7:$11</definedName>
    <definedName name="_xlnm.Print_Area" localSheetId="0">'2016'!$B$1:$M$924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923" i="1" l="1"/>
  <c r="I923" i="1"/>
  <c r="H923" i="1"/>
  <c r="G923" i="1"/>
  <c r="F923" i="1"/>
  <c r="E923" i="1"/>
  <c r="G922" i="1"/>
  <c r="G921" i="1" s="1"/>
  <c r="J921" i="1"/>
  <c r="I921" i="1"/>
  <c r="H921" i="1"/>
  <c r="F921" i="1"/>
  <c r="E921" i="1"/>
  <c r="G910" i="1"/>
  <c r="E910" i="1"/>
  <c r="G908" i="1"/>
  <c r="E908" i="1"/>
  <c r="G906" i="1"/>
  <c r="E906" i="1"/>
  <c r="G904" i="1"/>
  <c r="E904" i="1"/>
  <c r="G901" i="1"/>
  <c r="E901" i="1"/>
  <c r="G900" i="1"/>
  <c r="E900" i="1"/>
  <c r="G899" i="1"/>
  <c r="E899" i="1"/>
  <c r="G898" i="1"/>
  <c r="E898" i="1"/>
  <c r="G897" i="1"/>
  <c r="E897" i="1"/>
  <c r="G896" i="1"/>
  <c r="E896" i="1"/>
  <c r="G893" i="1"/>
  <c r="E893" i="1"/>
  <c r="G892" i="1"/>
  <c r="E892" i="1"/>
  <c r="G891" i="1"/>
  <c r="E891" i="1"/>
  <c r="G890" i="1"/>
  <c r="E890" i="1"/>
  <c r="G889" i="1"/>
  <c r="E889" i="1"/>
  <c r="G887" i="1"/>
  <c r="E887" i="1"/>
  <c r="G885" i="1"/>
  <c r="E885" i="1"/>
  <c r="G882" i="1"/>
  <c r="E882" i="1"/>
  <c r="G881" i="1"/>
  <c r="E881" i="1"/>
  <c r="G880" i="1"/>
  <c r="E880" i="1"/>
  <c r="G879" i="1"/>
  <c r="E879" i="1"/>
  <c r="G878" i="1"/>
  <c r="E878" i="1"/>
  <c r="G877" i="1"/>
  <c r="E877" i="1"/>
  <c r="G876" i="1"/>
  <c r="E876" i="1"/>
  <c r="G875" i="1"/>
  <c r="E875" i="1"/>
  <c r="G869" i="1"/>
  <c r="E869" i="1"/>
  <c r="G868" i="1"/>
  <c r="E868" i="1"/>
  <c r="G867" i="1"/>
  <c r="E867" i="1"/>
  <c r="G865" i="1"/>
  <c r="E865" i="1"/>
  <c r="G863" i="1"/>
  <c r="E863" i="1"/>
  <c r="G862" i="1"/>
  <c r="E862" i="1"/>
  <c r="G861" i="1"/>
  <c r="E861" i="1"/>
  <c r="G860" i="1"/>
  <c r="E860" i="1"/>
  <c r="G859" i="1"/>
  <c r="E859" i="1"/>
  <c r="G858" i="1"/>
  <c r="E858" i="1"/>
  <c r="G854" i="1"/>
  <c r="E854" i="1"/>
  <c r="G851" i="1"/>
  <c r="E851" i="1"/>
  <c r="G850" i="1"/>
  <c r="E850" i="1"/>
  <c r="G849" i="1"/>
  <c r="E849" i="1"/>
  <c r="G847" i="1"/>
  <c r="E847" i="1"/>
  <c r="G846" i="1"/>
  <c r="E846" i="1"/>
  <c r="B846" i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I845" i="1"/>
  <c r="I844" i="1" s="1"/>
  <c r="H845" i="1"/>
  <c r="H844" i="1" s="1"/>
  <c r="G845" i="1"/>
  <c r="E845" i="1"/>
  <c r="J844" i="1"/>
  <c r="F844" i="1"/>
  <c r="J842" i="1"/>
  <c r="I842" i="1"/>
  <c r="F842" i="1"/>
  <c r="G840" i="1"/>
  <c r="E840" i="1"/>
  <c r="G835" i="1"/>
  <c r="E835" i="1"/>
  <c r="G833" i="1"/>
  <c r="E833" i="1"/>
  <c r="G831" i="1"/>
  <c r="E831" i="1"/>
  <c r="G827" i="1"/>
  <c r="E827" i="1"/>
  <c r="B827" i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H826" i="1"/>
  <c r="H825" i="1" s="1"/>
  <c r="G826" i="1"/>
  <c r="E826" i="1"/>
  <c r="J825" i="1"/>
  <c r="I825" i="1"/>
  <c r="F825" i="1"/>
  <c r="J823" i="1"/>
  <c r="I823" i="1"/>
  <c r="F823" i="1"/>
  <c r="E819" i="1"/>
  <c r="E818" i="1"/>
  <c r="E811" i="1"/>
  <c r="B802" i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J800" i="1"/>
  <c r="I800" i="1"/>
  <c r="H800" i="1"/>
  <c r="G800" i="1"/>
  <c r="F800" i="1"/>
  <c r="J798" i="1"/>
  <c r="I798" i="1"/>
  <c r="H798" i="1"/>
  <c r="G798" i="1"/>
  <c r="F798" i="1"/>
  <c r="H785" i="1"/>
  <c r="H753" i="1" s="1"/>
  <c r="E778" i="1"/>
  <c r="I775" i="1"/>
  <c r="I755" i="1" s="1"/>
  <c r="H775" i="1"/>
  <c r="E771" i="1"/>
  <c r="E767" i="1"/>
  <c r="E766" i="1"/>
  <c r="E764" i="1"/>
  <c r="E760" i="1"/>
  <c r="B757" i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J755" i="1"/>
  <c r="G755" i="1"/>
  <c r="F755" i="1"/>
  <c r="J753" i="1"/>
  <c r="G753" i="1"/>
  <c r="F753" i="1"/>
  <c r="E745" i="1"/>
  <c r="E744" i="1"/>
  <c r="E743" i="1"/>
  <c r="E742" i="1"/>
  <c r="E738" i="1"/>
  <c r="E737" i="1"/>
  <c r="E736" i="1"/>
  <c r="E735" i="1"/>
  <c r="E734" i="1"/>
  <c r="E733" i="1"/>
  <c r="E732" i="1"/>
  <c r="E731" i="1"/>
  <c r="E729" i="1"/>
  <c r="E728" i="1"/>
  <c r="E727" i="1"/>
  <c r="E723" i="1"/>
  <c r="E722" i="1"/>
  <c r="B722" i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J720" i="1"/>
  <c r="I720" i="1"/>
  <c r="H720" i="1"/>
  <c r="G720" i="1"/>
  <c r="F720" i="1"/>
  <c r="J718" i="1"/>
  <c r="I718" i="1"/>
  <c r="H718" i="1"/>
  <c r="G718" i="1"/>
  <c r="F718" i="1"/>
  <c r="G710" i="1"/>
  <c r="E710" i="1"/>
  <c r="G709" i="1"/>
  <c r="E709" i="1"/>
  <c r="G707" i="1"/>
  <c r="E707" i="1"/>
  <c r="G704" i="1"/>
  <c r="E704" i="1"/>
  <c r="G703" i="1"/>
  <c r="E703" i="1"/>
  <c r="G702" i="1"/>
  <c r="E702" i="1"/>
  <c r="G701" i="1"/>
  <c r="E701" i="1"/>
  <c r="I695" i="1"/>
  <c r="H695" i="1"/>
  <c r="H691" i="1" s="1"/>
  <c r="B693" i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J691" i="1"/>
  <c r="I691" i="1"/>
  <c r="F691" i="1"/>
  <c r="J689" i="1"/>
  <c r="I689" i="1"/>
  <c r="F689" i="1"/>
  <c r="E686" i="1"/>
  <c r="I681" i="1"/>
  <c r="H681" i="1"/>
  <c r="E681" i="1"/>
  <c r="I679" i="1"/>
  <c r="H679" i="1"/>
  <c r="E678" i="1"/>
  <c r="E675" i="1"/>
  <c r="E674" i="1"/>
  <c r="I671" i="1"/>
  <c r="H671" i="1"/>
  <c r="E670" i="1"/>
  <c r="I669" i="1"/>
  <c r="H669" i="1"/>
  <c r="E669" i="1"/>
  <c r="E668" i="1"/>
  <c r="E667" i="1"/>
  <c r="E666" i="1"/>
  <c r="E662" i="1"/>
  <c r="E661" i="1"/>
  <c r="E660" i="1"/>
  <c r="E659" i="1"/>
  <c r="I658" i="1"/>
  <c r="H658" i="1"/>
  <c r="E655" i="1"/>
  <c r="E653" i="1"/>
  <c r="E652" i="1"/>
  <c r="E651" i="1"/>
  <c r="E650" i="1"/>
  <c r="E649" i="1"/>
  <c r="E648" i="1"/>
  <c r="E647" i="1"/>
  <c r="E646" i="1"/>
  <c r="E645" i="1"/>
  <c r="I644" i="1"/>
  <c r="H644" i="1"/>
  <c r="E643" i="1"/>
  <c r="E642" i="1"/>
  <c r="I641" i="1"/>
  <c r="H641" i="1"/>
  <c r="E641" i="1"/>
  <c r="E637" i="1"/>
  <c r="E636" i="1"/>
  <c r="B636" i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E635" i="1"/>
  <c r="J634" i="1"/>
  <c r="G634" i="1"/>
  <c r="F634" i="1"/>
  <c r="J632" i="1"/>
  <c r="G632" i="1"/>
  <c r="F632" i="1"/>
  <c r="E627" i="1"/>
  <c r="E624" i="1"/>
  <c r="E623" i="1"/>
  <c r="E622" i="1"/>
  <c r="E616" i="1"/>
  <c r="E614" i="1"/>
  <c r="E612" i="1"/>
  <c r="E611" i="1"/>
  <c r="E608" i="1"/>
  <c r="E599" i="1"/>
  <c r="E597" i="1"/>
  <c r="E590" i="1"/>
  <c r="I589" i="1"/>
  <c r="I561" i="1" s="1"/>
  <c r="H589" i="1"/>
  <c r="E588" i="1"/>
  <c r="E584" i="1"/>
  <c r="E581" i="1"/>
  <c r="E580" i="1"/>
  <c r="E577" i="1"/>
  <c r="E570" i="1"/>
  <c r="E567" i="1"/>
  <c r="E564" i="1"/>
  <c r="B563" i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E562" i="1"/>
  <c r="J561" i="1"/>
  <c r="G561" i="1"/>
  <c r="F561" i="1"/>
  <c r="J559" i="1"/>
  <c r="I559" i="1"/>
  <c r="G559" i="1"/>
  <c r="F559" i="1"/>
  <c r="B548" i="1"/>
  <c r="B549" i="1" s="1"/>
  <c r="B550" i="1" s="1"/>
  <c r="B551" i="1" s="1"/>
  <c r="B552" i="1" s="1"/>
  <c r="B553" i="1" s="1"/>
  <c r="B554" i="1" s="1"/>
  <c r="B555" i="1" s="1"/>
  <c r="B556" i="1" s="1"/>
  <c r="B557" i="1" s="1"/>
  <c r="J546" i="1"/>
  <c r="I546" i="1"/>
  <c r="H546" i="1"/>
  <c r="G546" i="1"/>
  <c r="F546" i="1"/>
  <c r="E546" i="1"/>
  <c r="G545" i="1"/>
  <c r="G544" i="1" s="1"/>
  <c r="J544" i="1"/>
  <c r="I544" i="1"/>
  <c r="H544" i="1"/>
  <c r="F544" i="1"/>
  <c r="E544" i="1"/>
  <c r="E528" i="1"/>
  <c r="E523" i="1" s="1"/>
  <c r="B527" i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E526" i="1"/>
  <c r="J525" i="1"/>
  <c r="I525" i="1"/>
  <c r="H525" i="1"/>
  <c r="G525" i="1"/>
  <c r="F525" i="1"/>
  <c r="J523" i="1"/>
  <c r="I523" i="1"/>
  <c r="H523" i="1"/>
  <c r="G523" i="1"/>
  <c r="F523" i="1"/>
  <c r="B520" i="1"/>
  <c r="B521" i="1" s="1"/>
  <c r="J518" i="1"/>
  <c r="I518" i="1"/>
  <c r="H518" i="1"/>
  <c r="G518" i="1"/>
  <c r="F518" i="1"/>
  <c r="E518" i="1"/>
  <c r="J516" i="1"/>
  <c r="I516" i="1"/>
  <c r="H516" i="1"/>
  <c r="G516" i="1"/>
  <c r="F516" i="1"/>
  <c r="E516" i="1"/>
  <c r="B494" i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H493" i="1"/>
  <c r="J492" i="1"/>
  <c r="I492" i="1"/>
  <c r="G492" i="1"/>
  <c r="F492" i="1"/>
  <c r="E492" i="1"/>
  <c r="J490" i="1"/>
  <c r="I490" i="1"/>
  <c r="G490" i="1"/>
  <c r="F490" i="1"/>
  <c r="E490" i="1"/>
  <c r="E487" i="1"/>
  <c r="E483" i="1"/>
  <c r="E482" i="1"/>
  <c r="E479" i="1"/>
  <c r="E478" i="1"/>
  <c r="E471" i="1"/>
  <c r="E470" i="1"/>
  <c r="E466" i="1"/>
  <c r="E464" i="1"/>
  <c r="E463" i="1"/>
  <c r="E462" i="1"/>
  <c r="E459" i="1"/>
  <c r="E457" i="1"/>
  <c r="E453" i="1"/>
  <c r="E449" i="1"/>
  <c r="E447" i="1"/>
  <c r="E446" i="1"/>
  <c r="E439" i="1"/>
  <c r="E431" i="1"/>
  <c r="E428" i="1"/>
  <c r="E427" i="1"/>
  <c r="E420" i="1"/>
  <c r="E415" i="1"/>
  <c r="B412" i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J410" i="1"/>
  <c r="I410" i="1"/>
  <c r="H410" i="1"/>
  <c r="G410" i="1"/>
  <c r="F410" i="1"/>
  <c r="G409" i="1"/>
  <c r="G408" i="1" s="1"/>
  <c r="F409" i="1"/>
  <c r="J408" i="1"/>
  <c r="I408" i="1"/>
  <c r="H408" i="1"/>
  <c r="F408" i="1"/>
  <c r="F364" i="1"/>
  <c r="E364" i="1"/>
  <c r="F363" i="1"/>
  <c r="E363" i="1"/>
  <c r="F362" i="1"/>
  <c r="E362" i="1"/>
  <c r="F359" i="1"/>
  <c r="E359" i="1"/>
  <c r="E352" i="1" s="1"/>
  <c r="F356" i="1"/>
  <c r="F354" i="1" s="1"/>
  <c r="E356" i="1"/>
  <c r="B356" i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H355" i="1"/>
  <c r="J354" i="1"/>
  <c r="I354" i="1"/>
  <c r="G354" i="1"/>
  <c r="G353" i="1"/>
  <c r="G352" i="1" s="1"/>
  <c r="F353" i="1"/>
  <c r="F352" i="1" s="1"/>
  <c r="J352" i="1"/>
  <c r="I352" i="1"/>
  <c r="E349" i="1"/>
  <c r="I346" i="1"/>
  <c r="I332" i="1" s="1"/>
  <c r="H346" i="1"/>
  <c r="H332" i="1" s="1"/>
  <c r="G346" i="1"/>
  <c r="E343" i="1"/>
  <c r="E340" i="1"/>
  <c r="E339" i="1"/>
  <c r="E337" i="1"/>
  <c r="E336" i="1"/>
  <c r="B336" i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G335" i="1"/>
  <c r="E335" i="1"/>
  <c r="J334" i="1"/>
  <c r="I334" i="1"/>
  <c r="F334" i="1"/>
  <c r="G333" i="1"/>
  <c r="G332" i="1" s="1"/>
  <c r="J332" i="1"/>
  <c r="F332" i="1"/>
  <c r="E330" i="1"/>
  <c r="E329" i="1"/>
  <c r="E328" i="1"/>
  <c r="E323" i="1"/>
  <c r="E322" i="1"/>
  <c r="E318" i="1"/>
  <c r="B313" i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J311" i="1"/>
  <c r="I311" i="1"/>
  <c r="H311" i="1"/>
  <c r="G311" i="1"/>
  <c r="F311" i="1"/>
  <c r="J309" i="1"/>
  <c r="I309" i="1"/>
  <c r="H309" i="1"/>
  <c r="G309" i="1"/>
  <c r="F309" i="1"/>
  <c r="E303" i="1"/>
  <c r="E289" i="1"/>
  <c r="E287" i="1"/>
  <c r="B283" i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J281" i="1"/>
  <c r="I281" i="1"/>
  <c r="H281" i="1"/>
  <c r="G281" i="1"/>
  <c r="F281" i="1"/>
  <c r="J279" i="1"/>
  <c r="I279" i="1"/>
  <c r="H279" i="1"/>
  <c r="G279" i="1"/>
  <c r="F279" i="1"/>
  <c r="B267" i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H266" i="1"/>
  <c r="H265" i="1" s="1"/>
  <c r="J265" i="1"/>
  <c r="I265" i="1"/>
  <c r="G265" i="1"/>
  <c r="F265" i="1"/>
  <c r="E265" i="1"/>
  <c r="J263" i="1"/>
  <c r="I263" i="1"/>
  <c r="H263" i="1"/>
  <c r="G263" i="1"/>
  <c r="F263" i="1"/>
  <c r="E263" i="1"/>
  <c r="E246" i="1"/>
  <c r="E243" i="1"/>
  <c r="E221" i="1"/>
  <c r="E220" i="1"/>
  <c r="E219" i="1"/>
  <c r="E212" i="1"/>
  <c r="E202" i="1"/>
  <c r="E200" i="1"/>
  <c r="E195" i="1"/>
  <c r="E193" i="1"/>
  <c r="E192" i="1"/>
  <c r="B173" i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I172" i="1"/>
  <c r="I171" i="1" s="1"/>
  <c r="H172" i="1"/>
  <c r="H171" i="1" s="1"/>
  <c r="J171" i="1"/>
  <c r="G171" i="1"/>
  <c r="F171" i="1"/>
  <c r="J169" i="1"/>
  <c r="G169" i="1"/>
  <c r="F169" i="1"/>
  <c r="E164" i="1"/>
  <c r="E162" i="1"/>
  <c r="E160" i="1"/>
  <c r="E159" i="1"/>
  <c r="E158" i="1"/>
  <c r="E156" i="1"/>
  <c r="E155" i="1"/>
  <c r="E148" i="1"/>
  <c r="E147" i="1"/>
  <c r="E146" i="1"/>
  <c r="E144" i="1"/>
  <c r="E141" i="1"/>
  <c r="E128" i="1"/>
  <c r="B128" i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I127" i="1"/>
  <c r="H127" i="1"/>
  <c r="H124" i="1" s="1"/>
  <c r="E127" i="1"/>
  <c r="J126" i="1"/>
  <c r="G126" i="1"/>
  <c r="F126" i="1"/>
  <c r="J124" i="1"/>
  <c r="G124" i="1"/>
  <c r="F124" i="1"/>
  <c r="E119" i="1"/>
  <c r="E116" i="1"/>
  <c r="E115" i="1"/>
  <c r="E114" i="1"/>
  <c r="E113" i="1"/>
  <c r="E112" i="1"/>
  <c r="E110" i="1"/>
  <c r="E105" i="1"/>
  <c r="E103" i="1"/>
  <c r="E100" i="1"/>
  <c r="E98" i="1"/>
  <c r="E97" i="1"/>
  <c r="E96" i="1"/>
  <c r="E94" i="1"/>
  <c r="E93" i="1"/>
  <c r="E92" i="1"/>
  <c r="E91" i="1"/>
  <c r="E90" i="1"/>
  <c r="E89" i="1"/>
  <c r="E88" i="1"/>
  <c r="E87" i="1"/>
  <c r="E86" i="1"/>
  <c r="B86" i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H85" i="1"/>
  <c r="H82" i="1" s="1"/>
  <c r="E85" i="1"/>
  <c r="J84" i="1"/>
  <c r="I84" i="1"/>
  <c r="H84" i="1"/>
  <c r="G84" i="1"/>
  <c r="F84" i="1"/>
  <c r="F83" i="1"/>
  <c r="F82" i="1" s="1"/>
  <c r="J82" i="1"/>
  <c r="I82" i="1"/>
  <c r="G82" i="1"/>
  <c r="I74" i="1"/>
  <c r="I70" i="1" s="1"/>
  <c r="H74" i="1"/>
  <c r="H68" i="1" s="1"/>
  <c r="B72" i="1"/>
  <c r="B73" i="1" s="1"/>
  <c r="B74" i="1" s="1"/>
  <c r="B75" i="1" s="1"/>
  <c r="B76" i="1" s="1"/>
  <c r="B77" i="1" s="1"/>
  <c r="B78" i="1" s="1"/>
  <c r="B79" i="1" s="1"/>
  <c r="B80" i="1" s="1"/>
  <c r="J70" i="1"/>
  <c r="G70" i="1"/>
  <c r="F70" i="1"/>
  <c r="E70" i="1"/>
  <c r="J68" i="1"/>
  <c r="G68" i="1"/>
  <c r="F68" i="1"/>
  <c r="E68" i="1"/>
  <c r="E65" i="1"/>
  <c r="E53" i="1"/>
  <c r="E52" i="1"/>
  <c r="E51" i="1"/>
  <c r="E49" i="1"/>
  <c r="E47" i="1"/>
  <c r="B46" i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J44" i="1"/>
  <c r="I44" i="1"/>
  <c r="H44" i="1"/>
  <c r="G44" i="1"/>
  <c r="F44" i="1"/>
  <c r="J42" i="1"/>
  <c r="I42" i="1"/>
  <c r="H42" i="1"/>
  <c r="G42" i="1"/>
  <c r="F42" i="1"/>
  <c r="B20" i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I19" i="1"/>
  <c r="I18" i="1" s="1"/>
  <c r="H19" i="1"/>
  <c r="H18" i="1" s="1"/>
  <c r="J18" i="1"/>
  <c r="G18" i="1"/>
  <c r="F18" i="1"/>
  <c r="E18" i="1"/>
  <c r="J16" i="1"/>
  <c r="I16" i="1"/>
  <c r="G16" i="1"/>
  <c r="F16" i="1"/>
  <c r="E16" i="1"/>
  <c r="E13" i="1"/>
  <c r="H169" i="1" l="1"/>
  <c r="E525" i="1"/>
  <c r="H16" i="1"/>
  <c r="E42" i="1"/>
  <c r="H755" i="1"/>
  <c r="F13" i="1"/>
  <c r="F14" i="1"/>
  <c r="E561" i="1"/>
  <c r="H823" i="1"/>
  <c r="H842" i="1"/>
  <c r="G844" i="1"/>
  <c r="E44" i="1"/>
  <c r="I169" i="1"/>
  <c r="G334" i="1"/>
  <c r="E691" i="1"/>
  <c r="J14" i="1"/>
  <c r="I632" i="1"/>
  <c r="E753" i="1"/>
  <c r="F12" i="1"/>
  <c r="H126" i="1"/>
  <c r="E334" i="1"/>
  <c r="H689" i="1"/>
  <c r="I753" i="1"/>
  <c r="I68" i="1"/>
  <c r="H70" i="1"/>
  <c r="E311" i="1"/>
  <c r="E354" i="1"/>
  <c r="E410" i="1"/>
  <c r="I634" i="1"/>
  <c r="E718" i="1"/>
  <c r="E755" i="1"/>
  <c r="E171" i="1"/>
  <c r="E84" i="1"/>
  <c r="J12" i="1"/>
  <c r="E279" i="1"/>
  <c r="E689" i="1"/>
  <c r="E720" i="1"/>
  <c r="G842" i="1"/>
  <c r="H490" i="1"/>
  <c r="E82" i="1"/>
  <c r="I126" i="1"/>
  <c r="I14" i="1" s="1"/>
  <c r="I124" i="1"/>
  <c r="E281" i="1"/>
  <c r="E309" i="1"/>
  <c r="E332" i="1"/>
  <c r="H352" i="1"/>
  <c r="H354" i="1"/>
  <c r="H492" i="1"/>
  <c r="G13" i="1"/>
  <c r="G691" i="1"/>
  <c r="G689" i="1"/>
  <c r="E126" i="1"/>
  <c r="E124" i="1"/>
  <c r="E169" i="1"/>
  <c r="H334" i="1"/>
  <c r="E408" i="1"/>
  <c r="H634" i="1"/>
  <c r="H561" i="1"/>
  <c r="H559" i="1"/>
  <c r="H632" i="1"/>
  <c r="G825" i="1"/>
  <c r="G823" i="1"/>
  <c r="E825" i="1"/>
  <c r="E823" i="1"/>
  <c r="E844" i="1"/>
  <c r="E842" i="1"/>
  <c r="E559" i="1"/>
  <c r="E634" i="1"/>
  <c r="E632" i="1"/>
  <c r="E800" i="1"/>
  <c r="E798" i="1"/>
  <c r="I12" i="1" l="1"/>
  <c r="E14" i="1"/>
  <c r="E12" i="1"/>
  <c r="H14" i="1"/>
  <c r="G12" i="1"/>
  <c r="G14" i="1"/>
  <c r="H12" i="1"/>
</calcChain>
</file>

<file path=xl/sharedStrings.xml><?xml version="1.0" encoding="utf-8"?>
<sst xmlns="http://schemas.openxmlformats.org/spreadsheetml/2006/main" count="3105" uniqueCount="1430">
  <si>
    <t>Інформація</t>
  </si>
  <si>
    <t>про використання коштів державного фонду регіонального розвитку</t>
  </si>
  <si>
    <t>за бюджетною програмою КПКВК 2761070</t>
  </si>
  <si>
    <t>(відповідно до постанови Кабінету Міністрів України від 18.03.2015 № 196)</t>
  </si>
  <si>
    <t>станом на 1 січня 2017 року</t>
  </si>
  <si>
    <t>тис. гривень</t>
  </si>
  <si>
    <t>№ п/п</t>
  </si>
  <si>
    <t>Найменування проекту та його місцезнаходження, вид робіт</t>
  </si>
  <si>
    <t>Рік почат-ку і закін-чення будів-ництва</t>
  </si>
  <si>
    <t>По об'єктах, роботи на яких повністю завершені</t>
  </si>
  <si>
    <t>За рахунок коштів державного фонду регіонального розвитку 
(розпорядження КМУ від 11.05.2016 №362-р (із змінами)</t>
  </si>
  <si>
    <t>Дата за-вершення робіт, прийняття в експлу-атацію об'єкта</t>
  </si>
  <si>
    <t>передбачено</t>
  </si>
  <si>
    <t>відкрито асигнувань</t>
  </si>
  <si>
    <t>отримано коштів на реєстраційний рахунок розпорядника/
одержувача</t>
  </si>
  <si>
    <t>проведено касових видатків</t>
  </si>
  <si>
    <t>фактично виконано робіт</t>
  </si>
  <si>
    <t>заборго-ваність за фактично виконані роботи (у 2016 році)</t>
  </si>
  <si>
    <t>дата та номер Акта приймання виконаних будівельних робіт</t>
  </si>
  <si>
    <t>дата та номер Сертифікату або Декларації про готовність об'єкта до експлуатації</t>
  </si>
  <si>
    <t>всього</t>
  </si>
  <si>
    <t>РАЗОМ</t>
  </si>
  <si>
    <t>нерозподілений залишок</t>
  </si>
  <si>
    <t>розпорядження КМУ від 11.05.2016 № 362-р (із змінами)</t>
  </si>
  <si>
    <t>ВІННИЦЬКА</t>
  </si>
  <si>
    <t>ВСЬОГО</t>
  </si>
  <si>
    <t xml:space="preserve">Обласна лікарня імені Пирогова, м. Вінниця — будівництво хірургічного корпусу (перша черга)
</t>
  </si>
  <si>
    <t>1992-2017</t>
  </si>
  <si>
    <t>2017 рік</t>
  </si>
  <si>
    <t xml:space="preserve">Вінницький обласний український музично-драматичний театр імені Садовського по вул. Театральній, 13, у м. Вінниці — реставрація з реконструкцією
</t>
  </si>
  <si>
    <t>2009-2018</t>
  </si>
  <si>
    <t>2018 рік</t>
  </si>
  <si>
    <t xml:space="preserve">Гінекологічне відділення в хірургічному корпусі Вінницького обласного клінічного онкологічного диспансера по Хмельницькому шосе, 84, у м. Вінниці — реконструкція
</t>
  </si>
  <si>
    <t>2016-2017</t>
  </si>
  <si>
    <t xml:space="preserve">Будівля радіологічного відділення Вінницького обласного клінічного онкологічного диспансера по Хмельницькому шосе, 84, у м. Вінниці — реконструкція з прибудовою частини приміщень
</t>
  </si>
  <si>
    <t>2014-2017</t>
  </si>
  <si>
    <t xml:space="preserve">Будівля Вінницького обласного художнього музею по вул. Соборній, 21, у м. Вінниці (дві черги) — реконструкція горищного даху, покриття та фасаду
</t>
  </si>
  <si>
    <t>2016</t>
  </si>
  <si>
    <t>грудень 2016 р.</t>
  </si>
  <si>
    <t>№1 від 26.12.2016</t>
  </si>
  <si>
    <t xml:space="preserve">Приміщення відділення легеневого туберкульозу для дорослих № 2 Вінницького обласного спеціалізованого територіального медичного об’єднання “Фтизіатрія”, с. Бохоники Вінницького району — реконструкція
</t>
  </si>
  <si>
    <t>2015-2017</t>
  </si>
  <si>
    <t xml:space="preserve">Теплові мережі для Муровано-Куриловецької лікарні планового лікування — реконструкція
</t>
  </si>
  <si>
    <t xml:space="preserve">Спортивно-оздоровчий заклад “Юність” по вул. Київській, 15, у м. Жмеринці — реконструкція
</t>
  </si>
  <si>
    <t xml:space="preserve">Водогін по вул. Кутузова у м. Хмільнику — будівництво
</t>
  </si>
  <si>
    <t>2013-2017</t>
  </si>
  <si>
    <t xml:space="preserve">Середня загальноосвітня школа I-III ступеня, с. Сосонка Вінницького району — реконструкція
</t>
  </si>
  <si>
    <t>2007-2017</t>
  </si>
  <si>
    <t xml:space="preserve">Школа, смт Стрижавка Вінницького району — завершення будівництва
</t>
  </si>
  <si>
    <t>2015-2016</t>
  </si>
  <si>
    <t xml:space="preserve">Михайлівська загальноосвітня школа I-III ступеня, Гайсинський район — завершення будівництва нового корпусу з утепленням покрівлі
</t>
  </si>
  <si>
    <t>2004-2017</t>
  </si>
  <si>
    <t xml:space="preserve">Середня загальноосвітня школа I-III ступеня № 2 по вул. Горького, 14, у с. Городківка Крижопільського району — реконструкція системи опалення з встановленням блочно-модульної котельні потужністю 450 кВт
</t>
  </si>
  <si>
    <t>б/н від 12.2016 р.</t>
  </si>
  <si>
    <t>декларація від 08.12.16 №ВН 143163430414</t>
  </si>
  <si>
    <t xml:space="preserve">Середня загальноосвітня школа I-III ступеня по вул. Леніна, 57, у с. Дашківці Літинського району — реконструкція системи теплопостачання з влаштуванням котельні на альтернативному паливі
</t>
  </si>
  <si>
    <t>№002 від 20.12.2016</t>
  </si>
  <si>
    <t xml:space="preserve">Комунальний заклад “Погребищенська загальноосвітня школа I-III ступеня № 1 Погребищенської районної ради Вінницької області” по вул. Б. Хмельницького, 102, у м. Погребищі (перша, друга черга) — реконструкція корпусу № 1
</t>
  </si>
  <si>
    <t xml:space="preserve">Поліклініка по вул. Незалежності у смт Теплик — будівництво
</t>
  </si>
  <si>
    <t>1992-2018</t>
  </si>
  <si>
    <t xml:space="preserve">Загальноосвітня школа I-III ступеня по вул. Леніна, 12, у с. Уланів Хмільницького району — реконструкція приміщення № 1
</t>
  </si>
  <si>
    <t>2013-2016</t>
  </si>
  <si>
    <t xml:space="preserve">Навчально-виховний комплекс “Загальноосвітня школа I ступеня - гімназія” по вул. Комінтерна, 7, у м. Ямполі — реконструкція корпусу № 2
</t>
  </si>
  <si>
    <t>№2 від 29.12.2016</t>
  </si>
  <si>
    <t xml:space="preserve">Розширення двоповерхового корпусу лікувально-діагностичного відділення на території обласної фізіотерапевтичної лікарні по вул. Шолом Алейхема, 8, у м. Хмільнику — реконструкція
</t>
  </si>
  <si>
    <t>2012-2017</t>
  </si>
  <si>
    <t xml:space="preserve">Просп. Космонавтів (від вул. В. Порика до вул. Келецької) у м. Вінниці (друга черга) — реконструкція
</t>
  </si>
  <si>
    <t>б/н від 23.12.2016</t>
  </si>
  <si>
    <t xml:space="preserve">Трамвайна колія на пл. Гагаріна у м. Вінниці — реконструкція
</t>
  </si>
  <si>
    <t>декларація від 21.12.16 №ВН 143163581738</t>
  </si>
  <si>
    <t xml:space="preserve">Створення умов для захисту правових і економічних інтересів особистих селянських господарств, а також розширення асортименту молочної продукції для соціальної сфери Томашпільського району (реконструкція частини нежитлової будівлі в міні-цех з переробки молока по вул. Гагаріна, 42, в с. Антонівка Томашпільського району для комунального підприємства “Архітектурно-планувальне бюро”)
</t>
  </si>
  <si>
    <t>ВОЛИНСЬКА</t>
  </si>
  <si>
    <t xml:space="preserve">Дитячий садок, с. Зоря Володимир-Волинського району — реконструкція
</t>
  </si>
  <si>
    <t>2014-2016</t>
  </si>
  <si>
    <t>№3 від 23.12.2016</t>
  </si>
  <si>
    <t>січень 2017 р.</t>
  </si>
  <si>
    <t xml:space="preserve">Загальноосвітня школа I-III ступеня, с. Бубнів Володимир-Волинського району — реконструкція
</t>
  </si>
  <si>
    <t>б/н від 30.11.2016</t>
  </si>
  <si>
    <t>декларація від 07.12.16 №ВЛ 143163412349</t>
  </si>
  <si>
    <t xml:space="preserve">Загальноосвітня школа I-III ступеня по вул. Володимирській, 4, у м. Устилузі Володимир-Волинського району — реконструкція
</t>
  </si>
  <si>
    <t>жовтень 2016 р.</t>
  </si>
  <si>
    <t>б/н від 10.2016 р.</t>
  </si>
  <si>
    <t>декларація від 31.10.16 №ВЛ 143162931504</t>
  </si>
  <si>
    <t xml:space="preserve">Частина приміщень будинку культури по вул. Миру, 2, у с. Зимне Володимир-Волинського району — реконструкція
</t>
  </si>
  <si>
    <t>б/н від 20.12.2016</t>
  </si>
  <si>
    <t xml:space="preserve">Приміщення дошкільного навчального закладу, с. Старосілля Іваничівського району — реконструкція
</t>
  </si>
  <si>
    <t>вересень 2017 р.</t>
  </si>
  <si>
    <t xml:space="preserve">Любешівський навчально-виховний комплекс — реконструкція блоку для учнів молодших класів з добудовою санітарних кімнат
</t>
  </si>
  <si>
    <t>декларація від 26.12.16 №ВЛ 143163611736</t>
  </si>
  <si>
    <t xml:space="preserve">Дитячий садок по вул. Лесі Українки, 11, у с. Колодяжне Ковельського району — капітальний ремонт
</t>
  </si>
  <si>
    <t>б/н від 27.12.2016</t>
  </si>
  <si>
    <t xml:space="preserve">Навчально-виховний комплекс “Загальноосвітня школа I-III ступеня - дошкільний навчальний заклад”, с. Рівне Любомльського району — реконструкція
</t>
  </si>
  <si>
    <t>б/н від 09.2016 р.</t>
  </si>
  <si>
    <t>декларація від 04.10.16 №ВЛ 143162781516</t>
  </si>
  <si>
    <t xml:space="preserve">Спеціальна школа-інтернат, смт Заболоття Ратнівського району — добудова спортивного комплексу до спального корпусу на 124 місця
</t>
  </si>
  <si>
    <t>2012-2016</t>
  </si>
  <si>
    <t>лютий 2017 р.</t>
  </si>
  <si>
    <t xml:space="preserve">Центр розвитку дитини корекційного спрямування по вул. Лесі Українки, 44а, у с. Якушів Ратнівського району — реконструкція
</t>
  </si>
  <si>
    <t>№5 від 23.12.2016</t>
  </si>
  <si>
    <t xml:space="preserve">Дошкільний навчальний заклад, с. Залісці Рожищенського району — реконструкція
</t>
  </si>
  <si>
    <t>жовтень 2017 р.</t>
  </si>
  <si>
    <t xml:space="preserve">Дитяче відділення Рожищенської центральної районної лікарні по вул. Коте-Шилокадзе, 19, м. Рожищі — реконструкція
</t>
  </si>
  <si>
    <t>б/н від 26.12.2016</t>
  </si>
  <si>
    <t xml:space="preserve">Приміщення інтернату по вул. Радянській, 21б, у с. Кримне Старовижівського району — реконструкція під дошкільний навчальний заклад
</t>
  </si>
  <si>
    <t>б/н від 28.12.2016</t>
  </si>
  <si>
    <t xml:space="preserve">Учбові приміщення загальноосвітньої школи I-II ступеня, с. Мокрець Турійського району — реконструкція
</t>
  </si>
  <si>
    <t>березень 2017 р.</t>
  </si>
  <si>
    <t xml:space="preserve">Приміщення сільської ради, с. Маковичі Турійського району — реконструкція під дошкільний навчальний заклад
</t>
  </si>
  <si>
    <t xml:space="preserve">Дитячий навчальний заклад № 1 “Дзвіночок”, смт Турійськ — реконструкція
</t>
  </si>
  <si>
    <t xml:space="preserve">Загальноосвітня школа I-III ступеня по вул. Лесі Українки, 6, у с. Білин Ковельського району — будівництво
</t>
  </si>
  <si>
    <t>2011-2016</t>
  </si>
  <si>
    <t xml:space="preserve">Дошкільний навчальний заклад, с. Муравище Ківерцівського району — будівництво
</t>
  </si>
  <si>
    <t xml:space="preserve">Районний стадіон “Дружба”, смт Голоби Ковельського району — реконструкція
</t>
  </si>
  <si>
    <t>№2 від 20.12.2016</t>
  </si>
  <si>
    <t xml:space="preserve">Селищний водозабір по вул. Ковельській, 1б, у смт Люблинець Ковельського району — реконструкція
</t>
  </si>
  <si>
    <t>грудень 2017 р.</t>
  </si>
  <si>
    <t xml:space="preserve">Загальноосвітня школа I-III ступеня, смт Шацьк — реконструкція з розширенням
</t>
  </si>
  <si>
    <t xml:space="preserve">Волинський обласний перинатальний центр по просп. Відродження, 30, в м. Луцьку — будівництво акушерсько-гінекологічного корпусу
</t>
  </si>
  <si>
    <t>ДНІПРОПЕТРОВСЬКА</t>
  </si>
  <si>
    <r>
      <t xml:space="preserve">Підвідний водовід до с. Чкалове Нікопольського району — будівництво 
</t>
    </r>
    <r>
      <rPr>
        <i/>
        <sz val="14"/>
        <color indexed="8"/>
        <rFont val="Arial"/>
        <family val="2"/>
        <charset val="204"/>
      </rPr>
      <t xml:space="preserve">(погашення кредиторської заборгованості)
</t>
    </r>
  </si>
  <si>
    <t>квітень 2016 р.</t>
  </si>
  <si>
    <t>декларація від 19.04.16 №ДП 143161100836</t>
  </si>
  <si>
    <t xml:space="preserve">Водогін, м. Верхівцеве Верхньодніпровського району (водопостачання північної сторони міста) — реконструкція
</t>
  </si>
  <si>
    <t>I півріччя 2017 р.</t>
  </si>
  <si>
    <t>№4 від 27.12.2016</t>
  </si>
  <si>
    <t xml:space="preserve">Дитячий садок № 2 “Теремок” по вул. Шкільній, 14, у с. Богданівка Павлоградського району — реконструкція
</t>
  </si>
  <si>
    <t>№1 від 08.12.2016 (БМР)</t>
  </si>
  <si>
    <t xml:space="preserve">Магістральний водовід Макорти - насосна фільтрувальна станція - м. П’ятихатки, П’ятихатський район — реконструкція ділянок
</t>
  </si>
  <si>
    <t>№15 від 21.12.2016</t>
  </si>
  <si>
    <t>декларація від 26.12.16 №ДП 143163613193</t>
  </si>
  <si>
    <t xml:space="preserve">Дитячий садок-ясла, смт Новопокровка Солонянського району — реконструкція покрівлі
</t>
  </si>
  <si>
    <t>№4 від 23.12.2016</t>
  </si>
  <si>
    <t>декларація від 12.16 №ДП 143163560101</t>
  </si>
  <si>
    <t xml:space="preserve">Водогін від другого підйому до с. Виводове Томаківського району — будівництво
</t>
  </si>
  <si>
    <t>№6 від 23.12.2016</t>
  </si>
  <si>
    <t xml:space="preserve">Регіональний перинатальний центр. Будівля поліклініки (блок № 5) комунального закладу Дніпропетровська обласна дитяча клінічна лікарня Дніпропетровської обласної ради по вул. Космічній, 13, у м. Дніпропетровську — реконструкція під неонатальний блок з консультативно-діагностичною поліклінікою, коригування
</t>
  </si>
  <si>
    <t>№155 від 27.12.2016</t>
  </si>
  <si>
    <t>декларація від 12.16 №ДП 164163563021</t>
  </si>
  <si>
    <t xml:space="preserve">Будівля комунального закладу “Дніпропетровська обласна клінічна офтальмологічна лікарня” на пл. Жовтневій, 14, у м. Дніпропетровську — реконструкція (перша черга)
</t>
  </si>
  <si>
    <t xml:space="preserve">Комунальний заклад “Дніпропетровський спеціалізований клінічний медичний центр матері та дитини імені професора М.Ф. Руднєва” Дніпропетровської обласної ради по просп. Пушкіна, 26, у м. Дніпропетровську — реконструкція будівлі поліклініки № 1 під хірургічне відділення
</t>
  </si>
  <si>
    <t xml:space="preserve">Дитячий навчальний заклад, розташований на території комунального закладу освіти “Навчально-виховний комплекс № 103” Дніпропетровської міської ради по вул. Нарвській, 169, у м. Дніпропетровську — реконструкція будівлі
</t>
  </si>
  <si>
    <t>ДОНЕЦЬКА</t>
  </si>
  <si>
    <t xml:space="preserve">Створення містобудівний кадастр Донецької області — створення
</t>
  </si>
  <si>
    <t xml:space="preserve">Дві пересувні медичні амбулаторії з медичним обладнанням — придбання для комунального закладу охорони здоров’я “Центр первинної медичної (медико-санітарної) допомоги” з метою підвищення якості медичного обслуговування населення Бахмутської міської ради
</t>
  </si>
  <si>
    <t xml:space="preserve">Ділянка водопроводу Д-300 мм по вул. Ціолковського від вул. Сибірцева до вул. Горбатова, 71, у м. Бахмуті — капітальний ремонт
</t>
  </si>
  <si>
    <t>I квартал 2017 р.</t>
  </si>
  <si>
    <t xml:space="preserve">Водопровід по вул. Космонавтів (від пров. Кузнечного до вул. Космонавтів, 10) у м. Бахмуті — капітальний ремонт
</t>
  </si>
  <si>
    <t>б/н від 15.12.2016</t>
  </si>
  <si>
    <t>декларація від 15.12.16 №ДЦ 143163501139</t>
  </si>
  <si>
    <t xml:space="preserve">Нежитлові будівлі по вул. Південній, 2а, у м. Бахмуті — реконструкція під гуртожиток та автономну котельню
</t>
  </si>
  <si>
    <t xml:space="preserve">№34-40 від 27.12.2016 </t>
  </si>
  <si>
    <t xml:space="preserve">Будівля гуртожитку по вул. Гаршина, 78а, у м. Бахмуті — реконструкція під житловий будинок
</t>
  </si>
  <si>
    <t>декларація від 15.12.16 №ДЦ 142163501125</t>
  </si>
  <si>
    <t xml:space="preserve">Будівля Артемівської загальноосвітньої школи I-III ступеня № 5 з профільним навчанням Артемівської міської ради — реконструкція: утеплення фасадів, покрівлі, заміна вікон та дверей (термомодернізація)
</t>
  </si>
  <si>
    <t>II квартал 2017 р.</t>
  </si>
  <si>
    <t xml:space="preserve">Будівля Артемівської загальноосвітньої школи I-III ступеня № 18 з профільним навчанням Артемівської міської ради — реконструкція: утеплення фасадів, покрівлі, заміна вікон та дверей (термомодернізація)
</t>
  </si>
  <si>
    <t xml:space="preserve">Система моніторингу та управління технологічними об’єктами вуличного освітлення, м. Бахмут — капітальний ремонт
</t>
  </si>
  <si>
    <t>не потребує</t>
  </si>
  <si>
    <t xml:space="preserve">Підвищення якості медичного обслуговування у комунальних лікувально-профілактичних закладах II рівня, м. Дружківка
</t>
  </si>
  <si>
    <t xml:space="preserve">б/н від 21.12.2016 </t>
  </si>
  <si>
    <t xml:space="preserve">Суміжні ділянки автомобільних доріг по вулицях Красній, Ульянівській, Інтернаціональній (в’їзд (виїзд) на шляхопровід) у м. Дружківці — капітальний ремонт
</t>
  </si>
  <si>
    <t xml:space="preserve">Міст через р. Бичок по вул. Шкуріна у м. Краматорську — капітальний ремонт
</t>
  </si>
  <si>
    <t>№6 від 27.12.2016</t>
  </si>
  <si>
    <t>декларація від 29.12.16 №ДЦ 143163642828</t>
  </si>
  <si>
    <t xml:space="preserve">Міст по вул. Чичеріна у м. Краматорську — капітальний ремонт
</t>
  </si>
  <si>
    <t>№5 від 27.12.2016</t>
  </si>
  <si>
    <t>декларація від 29.12.16 №ДЦ 143163642847</t>
  </si>
  <si>
    <t xml:space="preserve">Міст по вул. Рюміна у м. Краматорську — капітальний ремонт
</t>
  </si>
  <si>
    <t>декларація від 29.12.16 №ДЦ 143163642836</t>
  </si>
  <si>
    <t xml:space="preserve">Краматорська загальноосвітня школа I-III ступеня № 35 по вул. Ювілейній, 46, м. Краматорськ — капітальний ремонт (санація)
</t>
  </si>
  <si>
    <t xml:space="preserve">Будівля загальноосвітньої школи I-III ступеня № 16 по вул. Леоніда Бикова, 7, у м. Краматорську — капітальний ремонт, заміна вікон та дверей, утеплення фасадів та покрівлі
</t>
  </si>
  <si>
    <t>№2 від 16.12.2016</t>
  </si>
  <si>
    <t xml:space="preserve">Будівля загальноосвітньої школи I-III ступеня № 4 по вул. Двірцева, 48а, у м. Краматорську — капітальний ремонт (санація)
</t>
  </si>
  <si>
    <t xml:space="preserve">Котельня “Лазурний” по вул. Беляєва, 86, у м. Краматорську — реконструкція з установкою котла КВ-ГМ-10
</t>
  </si>
  <si>
    <t xml:space="preserve">Тролейбусна мережа по вул. Орджонікідзе (на ділянці від вул. Маяковського до вул. Дружби) у м. Краматорську — будівництво
</t>
  </si>
  <si>
    <t>№1, 2, 3 від 28.12.2016</t>
  </si>
  <si>
    <t xml:space="preserve">Будівля дитячого садка “Сніжинка” по вул. Мічуріна, 34, у м. Новогродівці — реконструкція під центр розвитку дитини
</t>
  </si>
  <si>
    <t xml:space="preserve">Вуличне освітлення, м. Новогродівка — капітальний ремонт
</t>
  </si>
  <si>
    <t xml:space="preserve">Будівля інфекційного відділення комунальної лікувально-профілактичної установи “Селидівська центральна міська лікарня” — капітальний ремонт (термомодернізація)
</t>
  </si>
  <si>
    <t xml:space="preserve">Розвиток рекреаційної діяльності на території Слов’янщини
</t>
  </si>
  <si>
    <t xml:space="preserve">Водопостачання від вул. Леніна, пров. Центрального до вулиць Садової, Нової, Степної у с. Хлібодарівка Волноваського району
</t>
  </si>
  <si>
    <t>червень 2017 р.</t>
  </si>
  <si>
    <t xml:space="preserve">Система водопостачання, смт Володарське — реконструкція, модернізація водопровідних свердловин
</t>
  </si>
  <si>
    <t xml:space="preserve">Вуличне освітлення, с. Золотий Колодязь Добропільського району — будівництво
</t>
  </si>
  <si>
    <t>№1 від 23.12.2016</t>
  </si>
  <si>
    <t>декларація від 26.12.16 №ДЦ 143163610807</t>
  </si>
  <si>
    <t xml:space="preserve">Водопостачання, села Курицине та Спасько-Михайлівка Олександрівського району
</t>
  </si>
  <si>
    <t xml:space="preserve">Автомобільна дорога по вул. Шкільній з чотирма примикаючими провулками, під’їздом до адміністративної будівлі по вул. Шкільній, 43в, та від вул. Центральної до вул. Набережної через дамбу в с. Золоті Пруди Олександрівського району — капітальний ремонт
</t>
  </si>
  <si>
    <t xml:space="preserve">Автомобільна дорога по вул. Шевченка в с. Спасько-Михайлівка Олександрівського району — капітальний ремонт
</t>
  </si>
  <si>
    <t xml:space="preserve">Міст на автомобільній дорозі державного значення Красний Лиман - Артемівськ - Горлівка, км 28 + 044 — будівництво
</t>
  </si>
  <si>
    <t xml:space="preserve">Міст на автомобільній дорозі державного значення Красний Лиман - Артемівськ - Горлівка, км 12 + 488 — капітальний ремонт
</t>
  </si>
  <si>
    <t xml:space="preserve">Міст на автомобільній дорозі державного значення Київ - Харків - Довжанський, км 675 + 378 — будівництво
</t>
  </si>
  <si>
    <t xml:space="preserve">Будівля їдальні по вул. Машинобудівників, 64, м. Дружківка — реконструкція під центр надання адміністративних послуг
</t>
  </si>
  <si>
    <t>№7-12 від 27.12.2016</t>
  </si>
  <si>
    <t xml:space="preserve">Удосконалення пасажирських перевезень міським електротранспортом на території громади м. Краматорська — придбання десятьох тролейбусів
</t>
  </si>
  <si>
    <t>накл.№РН-0000100 від 27.12.2016</t>
  </si>
  <si>
    <t xml:space="preserve">Автодорожній металевий міст через р. Залізна Балка по вул. Залізній, смт Новгородське м. Торецьк — реконструкція
</t>
  </si>
  <si>
    <t xml:space="preserve">Підвищення якості медичного обслуговування в комунальній медичній установі “Міська лікарня № 1” м. Краматорська шляхом переоснащення та дооснащення закладу медичним обладнанням
</t>
  </si>
  <si>
    <t>№1 від 28.12.2016</t>
  </si>
  <si>
    <t xml:space="preserve">Придбання медичного обладнання для сучасної клініко-діагностичної лабораторії комунального лікувально-профілактичного закладу “Лиманська центральна районна лікарня”
</t>
  </si>
  <si>
    <t>накл.№МВ 0000095 від 28.12.2016</t>
  </si>
  <si>
    <t xml:space="preserve">Удосконалення системи пасажирських перевезень електротранспортом, м. Маріуполь
</t>
  </si>
  <si>
    <t>ЖИТОМИРСЬКА</t>
  </si>
  <si>
    <t xml:space="preserve">Центральний стадіон, м. Житомир — реконструкція західної трибуни
</t>
  </si>
  <si>
    <t>№1, №2 від 27.12.2016</t>
  </si>
  <si>
    <t xml:space="preserve">Центральний стадіон по вул. Фещенка-Чопівського, 18, у м. Житомирі — реконструкція футбольного поля та благоустрій території
</t>
  </si>
  <si>
    <t>№2, №3 від 26.12.2016</t>
  </si>
  <si>
    <t xml:space="preserve">Дошкільний навчальний заклад № 58 по вул. Крошенській, 12б, у м. Житомирі — реконструкція приміщень
</t>
  </si>
  <si>
    <t>№3/110 від 23.12.2016</t>
  </si>
  <si>
    <t xml:space="preserve">Вуличне освітлення по вул. Щорса (від вул. Київської до вул. Ватутіна) у м. Житомирі — капітальний ремонт
</t>
  </si>
  <si>
    <t>№1/174, №1/175 від 23.12.2016</t>
  </si>
  <si>
    <t xml:space="preserve">Вуличне освітлення по вул. Великій Бердичівській (від пл. Соборної до вул. Жуйко) у м. Житомирі — капітальний ремонт
</t>
  </si>
  <si>
    <t>№1/180, №1/182 від 23.12.2016</t>
  </si>
  <si>
    <t xml:space="preserve">Вуличне освітлення по вул. Перемоги (від пл. Соборної до вул. Ватутіна) у м. Житомирі — капітальний ремонт
</t>
  </si>
  <si>
    <t>№1/183 від 23.12.2016, №1/179 від 23.12.2016</t>
  </si>
  <si>
    <t xml:space="preserve">Вуличне освітлення по вул. Київській (від Соборного майдану до вул. Східної) у м. Житомирі — капітальний ремонт
</t>
  </si>
  <si>
    <t>№1/172, №1/179 від 23.12.2016</t>
  </si>
  <si>
    <t xml:space="preserve">Вуличне освітлення по вул. Котовського (від вул. Перемоги до вул. Ватутіна) у м. Житомирі — капітальний ремонт
</t>
  </si>
  <si>
    <t>№1/164 від 23.12.2016, №1/165 від 26.12.2016</t>
  </si>
  <si>
    <t xml:space="preserve">Вуличне освітлення по вул. Вітрука (від вул. Б. Тена до вул. Шевченка та від вул. Корольова до вул. Селецької) у м. Житомирі — капітальний ремонт
</t>
  </si>
  <si>
    <t>№1/146 від 19.12.2016, №1/147 від 23.12.2016</t>
  </si>
  <si>
    <t xml:space="preserve">Вуличне освітлення по вул. Баранова (від вул. Київське шосе до вул. Льонкової) у м. Житомирі — капітальний ремонт
</t>
  </si>
  <si>
    <t>№1/151, №1/152 від 23.12.2016</t>
  </si>
  <si>
    <t xml:space="preserve">Вуличне освітлення по вул. Ватутіна (від просп. Миру до вул. Східної) у м. Житомирі — капітальний ремонт
</t>
  </si>
  <si>
    <t xml:space="preserve">№1/157 від 19.12.2016, №1/150 від 23.12.2016 </t>
  </si>
  <si>
    <t xml:space="preserve">Вуличне освітлення по вул. Небесної Сотні у м. Житомирі — капітальний ремонт
</t>
  </si>
  <si>
    <t>№1/184 від 19.12.2016, №1/18 від 23.12.2016</t>
  </si>
  <si>
    <t xml:space="preserve">Вуличне освітлення по просп. Миру (від вул. Ватутіна до вул. Маршала Жукова) у м. Житомирі — капітальний ремонт
</t>
  </si>
  <si>
    <t xml:space="preserve">№1/159 від 19.12.2016, №1/149 від 23.12.2016 </t>
  </si>
  <si>
    <t xml:space="preserve">Вуличне освітлення по вул. Черняховського (від Соборного майдану до пров. Цюрупи) у м. Житомирі — капітальний ремонт
</t>
  </si>
  <si>
    <t>№1/158 від 19.12.2016, №1/148 від 23.12.2016</t>
  </si>
  <si>
    <t xml:space="preserve">Дошкільний навчальний заклад № 5 “Веселка”, м. Малин — реконструкція фасаду приміщення
</t>
  </si>
  <si>
    <t>№1 від 18.11.2016, №2 від 26.12.2016</t>
  </si>
  <si>
    <t xml:space="preserve">Навчально-виховний комплекс “Гімназія імені Л. Українки - школа I ступеня” по вул. Родини Косачів, 5, у м. Новограді-Волинському — реконструкція даху будівлі
</t>
  </si>
  <si>
    <t>№1 від 28.11.2016, №2 від 23.12.2016, №3 від 28.12.16</t>
  </si>
  <si>
    <t xml:space="preserve">Нежитлова будівля (пам’ятка історії) по вул. Європейській, 21, у м. Бердичеві — реставраційно-ремонтні роботи з відновлення театру
</t>
  </si>
  <si>
    <t>№18/1, 18/2, 18/3, 18/4, 18/5, 18/6, 18/7, 18/8, 18/9 від 14.12.16</t>
  </si>
  <si>
    <t xml:space="preserve">Загальноосвітня школа № 13 по вул. Селезньова, 101, у м. Коростені — реконструкція
</t>
  </si>
  <si>
    <t>№1, №2, №3 від 28.12.2016</t>
  </si>
  <si>
    <t xml:space="preserve">Дитячий садок “Ластівка” по вул. Тімірязєва, 40а, у с. Садки Житомирського району — реконструкція з влаштуванням теплогенераторної на твердому паливі та термосанація будівлі
</t>
  </si>
  <si>
    <t>№1/1, 2/1, 3/1, 4/1, 5/1, 6/1, 7/1, 8/1, 9/1, 10/1, 11/1, 7, 8, 9, 10, 11, 12, 13, 15, 16, 17, 18 від 28.12.2016</t>
  </si>
  <si>
    <t xml:space="preserve">Незавершене будівництво спального корпусу в с. Гульськ Новоград-Волинського району — реконструкція під дитячий дошкільний заклад
</t>
  </si>
  <si>
    <t>б/н від 16.08.2016, 03.10.2016, 31.10.2016, 21.12.2016</t>
  </si>
  <si>
    <t xml:space="preserve">Попільнянська гімназія № 1 по вул. Горького, 42, у смт Попільня — реконструкція (санація)
</t>
  </si>
  <si>
    <t>№1 від 21.09.2016, №2 від 09.11.2016, №3 від 17.11.16</t>
  </si>
  <si>
    <t xml:space="preserve">Школа на 864 учні по вул. Калініна, 14, у смт Черняхів — будівництво (друга черга, другий пусковий комплекс, блок “Б”)
</t>
  </si>
  <si>
    <t>№1 від 09.09.16, 20.09.2016, 21.10.2016, 16.12.2016, 27.12.2016</t>
  </si>
  <si>
    <t xml:space="preserve">Загальноосвітня школа № 1 по вул. Шевченка, 4, у смт Ємільчине — реконструкція (перша черга)
</t>
  </si>
  <si>
    <t xml:space="preserve">№1 від 13.09.2016, №4, №4/1 від 16.12.2016, №5 26.12.2016  </t>
  </si>
  <si>
    <t xml:space="preserve">Приміщення котельні по вул. Леніна, 35г, у с. Бондарівка Коростенського району — реконструкція з переплануванням під приміщення місцевої пожежної охорони
</t>
  </si>
  <si>
    <t>№1 від 02.11.2016, №2 від 23.11.2016, №3 від 28.12.16</t>
  </si>
  <si>
    <t xml:space="preserve">Середня загальноосвітня школа I-III ступеня по вул. Центральній, 1, у с. Горщик Коростенського району — реконструкція з термосанацією
</t>
  </si>
  <si>
    <t>№1 від 25.07.16, 09.11.2016, №2 від 25.11.2016, №1 від 28.12.16</t>
  </si>
  <si>
    <t xml:space="preserve">Котельня загальноосвітньої школи I-III ступеня в с. Червона Волока Лугинського району — реконструкція з заміною двох твердопаливних котлів
</t>
  </si>
  <si>
    <t>№1 від 22.11.2016</t>
  </si>
  <si>
    <t>декларація від 12.12.16 №ЖТ 143163441152</t>
  </si>
  <si>
    <t xml:space="preserve">Котельня загальноосвітньої школи I-III ступеня в смт Жовтневе Лугинського району — реконструкція із заміною двох твердопаливних котлів
</t>
  </si>
  <si>
    <t>декларація від 12.12.16 №ЖТ 143163441140</t>
  </si>
  <si>
    <t xml:space="preserve">Приміщення центральної районної лікарні по вул. Медичній, 5, у с. Старий Любар Любарського району — реконструкція
</t>
  </si>
  <si>
    <t>№1 від 10.11.2016, №2 від 17.11.2016, 28.12.2016</t>
  </si>
  <si>
    <t xml:space="preserve">Загальноосвітня школа I-III ступеня, с. Глезне Любарського району — реконструкція
</t>
  </si>
  <si>
    <t>№1 від 18.07.16, 23.08.2016, 27.09.2016, 28.12.2016</t>
  </si>
  <si>
    <t xml:space="preserve">Гідротехнічні споруди в районі вулиць Ш. Алейхема та Озерної у м. Овручі — будівництво для запобігання підтопленню та ліквідації його наслідків
</t>
  </si>
  <si>
    <t xml:space="preserve">№1, 2 від 05.09.2016,  №3, 4 від 06.10.2016, №5, 6 від 21.10.2016, №7 від 01.11.2016, №8, 9, 10, 11 від 01.12.16, №12, 13 від 27.12.16 </t>
  </si>
  <si>
    <t xml:space="preserve">Гідротехнічні споруди в районі вул. Карпінського та Ручейної у м. Овручі — будівництво для запобігання підтопленню та ліквідації його наслідків
</t>
  </si>
  <si>
    <t xml:space="preserve">№1, 2, 3, 4 від 21.10.2016, №5, 6, 7, 8 від 04.11.2016, №9, 10 від 09.11.16, №11, 12, 13 від 05.12.2016 </t>
  </si>
  <si>
    <t xml:space="preserve">Коригування робочого проекту за об’єктом “Середня школа № 1 по вул. Інтернаціональній в м. Олевську” — будівництво (блок-секція 2-4-х класів на 120 учнівських місць)
</t>
  </si>
  <si>
    <t>№1 від 12.08.2016, №1, 2 від 14.09.2016, від 02.11.2016, №1 від 28.11.16, №1, 2 від 01.12.2016, №1 від 06.12.2016, №1, 2, 3, 1/4, 5, 1/6 від 23.12.16, №1 від 27.12.16</t>
  </si>
  <si>
    <t xml:space="preserve">декларація від 02.02.17 №ЖТ 143170311688 </t>
  </si>
  <si>
    <t xml:space="preserve">Будівля Високівської гімназії по вул. Центральній, 15, у с. Високе Черняхівського району — реконструкція
</t>
  </si>
  <si>
    <t>№1 від 22.07.16, 15.09.2016, 07.12.2016, 26.12.2016</t>
  </si>
  <si>
    <t xml:space="preserve">Загальноосвітня школа I-III ступеня по вул. Леніна, 5, у с. Вишевичі Радомишльського району — реконструкція
</t>
  </si>
  <si>
    <t>№1 від 22.07.16, 23.11.2016, 27.12.2016</t>
  </si>
  <si>
    <t xml:space="preserve">Корпус Іршанської амбулаторії загальної практики сімейної медицини, Володарсько-Волинський район — реконструкція
</t>
  </si>
  <si>
    <t>№1 від 05.08.16, №2 від 13.09.16, №3 від 29.12.16, №5 від 28.12.16</t>
  </si>
  <si>
    <t xml:space="preserve">Новоборівська гімназія по вул. Шкільній, 5, у смт Нова Борова Володарсько-Волинського району — реконструкція
</t>
  </si>
  <si>
    <t>№1/1 від 25.07.16,  №2 від 15.08.16, №3 від 29.08.16, №4 від 30.09.16, №5 від 28.12.16</t>
  </si>
  <si>
    <t xml:space="preserve">Спортивний майданчик із штучним покриттям, с. Тетерівка Житомирського району — капітальний ремонт
</t>
  </si>
  <si>
    <t>№1 від 18.10.2016</t>
  </si>
  <si>
    <t>декларація від 02.12.16 №ЖТ 142163352089</t>
  </si>
  <si>
    <t xml:space="preserve">Загальноосвітня школа I-III ступеня, с. Тетерівка Житомирського району — капітальний ремонт будівлі (утеплення фасадів та покрівлі, ремонт покрівлі, заміна вікон і зовнішніх дверей)
</t>
  </si>
  <si>
    <t>№1 від 25.07.2016, №2 від 22.08.2016, №3 від 29.08.16, №4 від 30.09.16, №5 від 10.11.16, №6 від 17.11.16, №7 від 28.12.16</t>
  </si>
  <si>
    <t xml:space="preserve">Ємільчинська центральна районна лікарня по вул. 1 Травня, смт Ємільчине — реконструкція
</t>
  </si>
  <si>
    <t xml:space="preserve">№1 від 04.10.16, №1, 1/1, 2 від 27.12.2016                                       </t>
  </si>
  <si>
    <t xml:space="preserve">Гришковецька гімназія по вул. Червоний Промінь, 3, смт Гришківці Бердичівського району — капітальний ремонт (термомодернізація)
</t>
  </si>
  <si>
    <t>№1, №2 від 22.12.2016</t>
  </si>
  <si>
    <t xml:space="preserve">Володарсько-Волинська гімназія по вул. Гвардійців Кантемирівців, 4, смт Володарськ-Волинський — реконструкція
</t>
  </si>
  <si>
    <t>№33а від 26.12.2016</t>
  </si>
  <si>
    <t>ЗАКАРПАТСЬКА</t>
  </si>
  <si>
    <t xml:space="preserve">Дошкільний навчальний заклад, с. Геча Берегівського району — капітальний ремонт котельні та системи теплопостачання
</t>
  </si>
  <si>
    <t xml:space="preserve">Мережі та споруди водопостачання до с. Мужієво Берегівського району — будівництво (друга черга)
</t>
  </si>
  <si>
    <t xml:space="preserve">Вул. Центральна у с. Мала Копаня Виноградівського району — капітальний ремонт
</t>
  </si>
  <si>
    <t xml:space="preserve">Вул. Борканюка у с. Хижа Виноградівського району — капітальний ремонт
</t>
  </si>
  <si>
    <t xml:space="preserve">Дорога по вул. Чапаєва, км 0 + 000 - км 0 + 440, у с. Вербовець Виноградівського району — капітальний ремонт
</t>
  </si>
  <si>
    <t xml:space="preserve">Вулиця від № 165 до № 209 у с. Арданово Іршавського району — капітальний ремонт
</t>
  </si>
  <si>
    <t xml:space="preserve">Вул. Івана Франка (від церкви до вул. Виноградної) у с. Сільце Іршавського району — капітальний ремонт
</t>
  </si>
  <si>
    <t>б/н від 11.2016 р.</t>
  </si>
  <si>
    <t xml:space="preserve">Дорога по вул. Конституції, км 0 + 650 - км 1 + 072, у с. Білки Іршавського району — капітальний ремонт
</t>
  </si>
  <si>
    <t xml:space="preserve">Вул. Незалежності у с. Білки Іршавського району — капітальний ремонт
</t>
  </si>
  <si>
    <t xml:space="preserve">Загальноосвітня школа I-III ступеня, с. Малий Раковець Іршавського району — реконструкція системи опалення
</t>
  </si>
  <si>
    <t xml:space="preserve">Вул. Берег у с. Дубриничі Перечинського району — капітальний ремонт
</t>
  </si>
  <si>
    <t xml:space="preserve">Вул. Ужанська у с. Дубриничі Перечинського району — капітальний ремонт
</t>
  </si>
  <si>
    <t xml:space="preserve">Вул. Миру в с. Біла Церква Рахівського району — капітальний ремонт
</t>
  </si>
  <si>
    <t>декларація від 21.10.16 №ДЦ 143162951646</t>
  </si>
  <si>
    <t xml:space="preserve">Вул. Білки у с. Неліпино Свалявського району — капітальний ремонт з’їзду
</t>
  </si>
  <si>
    <t xml:space="preserve">Протиерозійні споруди на потоці Тесаник, с. Солочин Свалявського району — реконструкція
</t>
  </si>
  <si>
    <t>листопад 2016 р.</t>
  </si>
  <si>
    <t>декларація від 15.11.16 №ЗК 142163200718</t>
  </si>
  <si>
    <t xml:space="preserve">Липчанська загальноосвітня школа I-III ступеня, Хустський район — реконструкція системи водопостачання та каналізування
</t>
  </si>
  <si>
    <t xml:space="preserve">Вулиці Л. Толстого і Кініжі у м. Береговому — капітальний ремонт
</t>
  </si>
  <si>
    <t xml:space="preserve">Комунальна вулиця від № 237 до № 174 у с. Мідяниця Іршавського району — капітальний ремонт
</t>
  </si>
  <si>
    <t>№1, №2 від 21.07.2016</t>
  </si>
  <si>
    <t>декларація від 12.08.16 №ЗК 141362270362</t>
  </si>
  <si>
    <t xml:space="preserve">Автомобільна дорога державного значення Синевир - Синевирська Поляна, км 3 + 500 - км 13 + 900, — поточний ремонт
</t>
  </si>
  <si>
    <t xml:space="preserve">Лозянський навчально-виховний комплекс I-II ступеня, Міжгірський район — реконструкція системи теплопостачання шляхом встановлення резервного твердопаливного котла потужністю 130 кВт
</t>
  </si>
  <si>
    <t xml:space="preserve">Вул. Шевченка у с. Тур’ї Ремети Перечинського району — капітальний ремонт
</t>
  </si>
  <si>
    <t xml:space="preserve">Вулиці Комарова, Пачовського, Іллейш Бейли у м. Береговому — капітальний ремонт
</t>
  </si>
  <si>
    <t xml:space="preserve">Дорога по вул. Корятовича, км 0 + 092,3 - км 0 + 195,3, у м. Береговому — реконструкція
</t>
  </si>
  <si>
    <t xml:space="preserve">Школа-інтернат по вул. Гагаріна, 3, у м. Береговому — реконструкція системи опалення будівель літер А, А1, А2, А3, А4
</t>
  </si>
  <si>
    <t xml:space="preserve">Загальноосвітня школа I-II ступеня № 1, с. Сойми Міжгірського району — реконструкція системи теплопостачання шляхом встановлення резервного твердопаливного котла потужністю 80 кВт
</t>
  </si>
  <si>
    <t xml:space="preserve">Ільницька загальноосвітня школа I-III ступеня по вул. Радянській, 22, у с. Ільниця Іршавського району — капітальний ремонт із заміною дерев’яних вікон та дверей на металопластикові
</t>
  </si>
  <si>
    <t xml:space="preserve">Загальноосвітня школа I-III ступеня по вул. Шкільній, 1, у с. Малий Раковець Іршавського району — капітальний ремонт із заміною дерев’яних вікон та дверей на металопластикові (заходи з енергозбереження)
</t>
  </si>
  <si>
    <t xml:space="preserve">Загальноосвітня школа I-III ступеня № 2 по вул. Шкільній, 25, у м. Іршаві — капітальний ремонт із заміною дерев’яних вікон та дверей на металопластикові
</t>
  </si>
  <si>
    <t xml:space="preserve">Свалявська гімназія по вул. Верховинській, 89, у м. Сваляві — капітальний ремонт фасаду навчального корпусу (заміна вікон та дверей)
</t>
  </si>
  <si>
    <t xml:space="preserve">Ділянка вул. Центральної у с. Нижнє Болотне Вільхівської сільської ради Іршавського району — капітальний ремонт
</t>
  </si>
  <si>
    <t xml:space="preserve">Огорожа території міжнародного аеропорту “Ужгород” — реконструкція
</t>
  </si>
  <si>
    <t xml:space="preserve">Будівля трансформаторної підстанції-2, вогонькова підстанція міжнародного аеропорту “Ужгород” — капітальний ремонт
</t>
  </si>
  <si>
    <t xml:space="preserve">Будівля воєнізованої охорони міжнародного аеропорту “Ужгород”— капітальний ремонт
</t>
  </si>
  <si>
    <t xml:space="preserve">Будівля накопичувача (термінала) міжнародного аеропорту “Ужгород”— капітальний ремонт
</t>
  </si>
  <si>
    <t xml:space="preserve">Комплекс будівель під спортивно-реабілітаційний центр інвалідів з ураженням опорно-рухового апарату та інвалідів - учасників антитерористичної операції по вул. Ф. Тихого, 13б, у м. Ужгороді — реконструкція
</t>
  </si>
  <si>
    <t>2016-2018</t>
  </si>
  <si>
    <t>жовтень 2018 р.</t>
  </si>
  <si>
    <t xml:space="preserve">Автомобільна дорога загального користування місцевого значення Берегово - Бадалово - Вари - Боржава, км 0 + 800 - км 3 + 800, — поточний ремонт
</t>
  </si>
  <si>
    <t xml:space="preserve">Автомобільна дорога державного значення М-26 контрольно-пропускний пункт “Вилок” - Вилок - Неветленфолу - контрольно-пропускний пункт “Дяково”, км 10 + 700 - км 15 + 700, — поточний середній ремонт
</t>
  </si>
  <si>
    <t xml:space="preserve">Будинок культури по вул. Миру, 123, у с. Холмовець Виноградівського району — реконструкція під спортивний та актовий зал
</t>
  </si>
  <si>
    <t xml:space="preserve">Автомобільна дорога Новоселиця - Королево, ділянка дороги з початку с. Черна в напрямку смт Королево (друга ділянка), Виноградівський район — капітальний ремонт
</t>
  </si>
  <si>
    <t xml:space="preserve">Автомобільна дорога Новоселиця - Королево, ділянка дороги з початку с. Черна в напрямку смт Королево (перша ділянка), Виноградівський район — капітальний ремонт
</t>
  </si>
  <si>
    <t xml:space="preserve">Автомобільна дорога 0-07-03-05 Великі Ком’яти - Вилок на ділянці Шаланки - Перехрестя, Виноградівський район — капітальний ремонт
</t>
  </si>
  <si>
    <t xml:space="preserve">Вул. Бистрий у с. Котельниця Воловецького району — капітальний ремонт
</t>
  </si>
  <si>
    <t xml:space="preserve">Вул. Ковпака у с. Нижні Ворота Воловецького району — капітальний ремонт
</t>
  </si>
  <si>
    <t xml:space="preserve">Вул. Центральна у с. Лази Воловецького району — капітальний ремонт
</t>
  </si>
  <si>
    <t>декларація від 31.10.16 №ЗК 143163051908</t>
  </si>
  <si>
    <t xml:space="preserve">Будівля дошкільного навчального закладу № 2 по вул. Карпатській, 80, у смт Воловець — капітальний ремонт
</t>
  </si>
  <si>
    <t xml:space="preserve">Вул. Шкільна у с. Нижні Ворота Воловецького району — капітальний ремонт
</t>
  </si>
  <si>
    <t xml:space="preserve">Протиерозійні споруди на р. Волівчик у районі вул. Шевченка у смт Воловець — будівництво
</t>
  </si>
  <si>
    <t xml:space="preserve">Дошкільний навчальний заклад, с. Біласовиця Воловецького району — реконструкція з впровадженням енергозберігаючих технологій
</t>
  </si>
  <si>
    <t xml:space="preserve">Дошкільний навчальний заклад, с. Верб’яж Воловецького району — капітальний ремонт із заходами з енергозбереження
</t>
  </si>
  <si>
    <t xml:space="preserve">Автомобільна дорога загального користування місцевого значення Свалява - Довге - Липча, км 24 + 500 - 41 + 200, — поточний ремонт
</t>
  </si>
  <si>
    <t xml:space="preserve">Вул. 8 Березня (від вул. 60 років Жовтня до вул. 8 Березня, 64) у с. Сільце Іршавського району — капітальний ремонт
</t>
  </si>
  <si>
    <t xml:space="preserve">Вул. Петра Дорошенка у с. Великий Раковець Іршавського району — капітальний ремонт
</t>
  </si>
  <si>
    <t xml:space="preserve">Дошкільний навчальний заклад № 4 по вул. Шевченка, 37, у с. Великий Раковець Іршавського району — капітальний ремонт
</t>
  </si>
  <si>
    <t xml:space="preserve">Берегоукріплення р. Лисичанка, с. Лисичово Іршавського району
</t>
  </si>
  <si>
    <t xml:space="preserve">Автомобільна дорога загального користування місцевого значення Синевир - Колочава - Буштино, км 14 + 000 - 17 + 600, — поточний ремонт
</t>
  </si>
  <si>
    <t xml:space="preserve">Вулиця в с. Червеньово Мукачівського району — капітальний ремонт
</t>
  </si>
  <si>
    <t xml:space="preserve">Мостовий перехід через р. Синявку по вул. Локоти у смт Чинадійово Мукачівського району — реконструкція
</t>
  </si>
  <si>
    <t xml:space="preserve">Вул. Миру від № 56 до № 112 у с. Верхня Визниця Мукачівського району — поточний ремонт
</t>
  </si>
  <si>
    <t xml:space="preserve">Котельня загальноосвітньої школи I-II ступеня по вул. Карпатській, 79, у с. Сімер Перечинського району — реконструкція з влаштуванням твердопаливного котла
</t>
  </si>
  <si>
    <t xml:space="preserve">Будівля колишнього міжшкільного навчального виробничого комбінату по вул. Малій, 2, у с. Тур’ї Ремети Перечинського району — реконструкція для відкриття додаткових груп дошкільного навчального закладу
</t>
  </si>
  <si>
    <t xml:space="preserve">Протиерозійні заходи на р. Мала Пінія, с. Поляна Свалявського району
</t>
  </si>
  <si>
    <t xml:space="preserve">Дитячий садок по вул. І. Франка у с. Костилівка Рахівського району — реконструкція під Вільховатську загальноосвітню школу I ступеня
</t>
  </si>
  <si>
    <t xml:space="preserve">Дорожнє покриття вул. Пирогова від № 1 до № 19 у м. Хусті — реконструкція
</t>
  </si>
  <si>
    <t>№2 від 12.2016 р.</t>
  </si>
  <si>
    <t xml:space="preserve">Дорожнє покриття вул. Дружби у м. Хусті — капітальний ремонт
</t>
  </si>
  <si>
    <t>б/н від 09.2016 р., 10.2016 р.</t>
  </si>
  <si>
    <t xml:space="preserve">Кірешська загальноосвітня школа I ступеня, Хустський район — реконструкція під навчально-виховний комплекс
</t>
  </si>
  <si>
    <t xml:space="preserve">Вул. Нова Розтока у с. Верб’яж Воловецького району — капітальний ремонт
</t>
  </si>
  <si>
    <t xml:space="preserve">Вул. Центральна у с. Біласовиця Воловецького району — капітальний ремонт
</t>
  </si>
  <si>
    <t xml:space="preserve">Дорога по вул. Вітерній, км 0 + 600 - км 2 + 760, у смт Дубове Тячівського району — капітальний ремонт
</t>
  </si>
  <si>
    <t>№1 від 07.11.2016</t>
  </si>
  <si>
    <t xml:space="preserve">Дошкільний навчальний заклад, с. Грушово Тячівського району — капітальний ремонт
</t>
  </si>
  <si>
    <t>№1, №2 за 11.2016 р.</t>
  </si>
  <si>
    <t xml:space="preserve">Дорога по вул. Шевченка (від школи до кінця вулиці) у с. Широкий Луг Тячівського району — капітальний ремонт
</t>
  </si>
  <si>
    <t>№4 від 14.12.2016</t>
  </si>
  <si>
    <t xml:space="preserve">Вул. Курортна у с. Вільхівці-Лази Тячівського району — капітальний ремонт
</t>
  </si>
  <si>
    <t>№2 від 11.2016 р.</t>
  </si>
  <si>
    <t xml:space="preserve">Майновий комплекс дошкільного навчального закладу “Веселка”, смт Тересва Тячівського району — реконструкція з добудовою
</t>
  </si>
  <si>
    <t>№27 від 12.2016 р.</t>
  </si>
  <si>
    <t xml:space="preserve">Водопровід, смт Солотвино Тячівського району — капітальний ремонт
</t>
  </si>
  <si>
    <t>№1, №2 від 12.2016 р.</t>
  </si>
  <si>
    <t xml:space="preserve">Спортивний комплекс по вул. Вайди у м. Тячеві — будівництво
</t>
  </si>
  <si>
    <t>№2/3, №12/4 від 23.12.2016</t>
  </si>
  <si>
    <t xml:space="preserve">Районна лікарня № 1 по вул. Жовтневій, 48, у м. Тячеві — реконструкція акушерсько-гінекологічного корпусу
</t>
  </si>
  <si>
    <t xml:space="preserve">Вул. Головна у с. Гута Ужгородського району — капітальний ремонт
</t>
  </si>
  <si>
    <t xml:space="preserve">Вул. Побічна від № 229 до № 293 у с. Кибляри Ужгородського району — капітальний ремонт
</t>
  </si>
  <si>
    <t xml:space="preserve">Вул. Зелена у с. Ірлява Ужгородського району — капітальний ремонт
</t>
  </si>
  <si>
    <t xml:space="preserve">Вул. Миру у с. Андріївка Ужгородського району — капітальний ремонт
</t>
  </si>
  <si>
    <t xml:space="preserve">Вул. Садова у с. Анталовці (ПК0+00 - ПК2+23) Ужгородського району — капітальний ремонт
</t>
  </si>
  <si>
    <t xml:space="preserve">Вул. Гагаріна у с. Анталовці (ПК0+00 - ПК2+33) Ужгородського району — капітальний ремонт
</t>
  </si>
  <si>
    <t xml:space="preserve">Вул. Борюканка у с. Анталовці (ПК0+00 - ПК2+66) Ужгородського району — капітальний ремонт
</t>
  </si>
  <si>
    <t xml:space="preserve">Вул. Л. Українки у с. Чабанівка Ужгородського району — капітальний ремонт
</t>
  </si>
  <si>
    <t xml:space="preserve">Адміністративно-побутова споруда з трибунами по вул. Гагаріна у с. Рокосово Хустського району — будівництво
</t>
  </si>
  <si>
    <t xml:space="preserve">Автомобільна дорога загального користування місцевого значення С-071313 (Мукачево - Івано-Франківськ - Рогатин - Львів) - Кіреші (“Долина нарцисів”) — поточний ремонт
</t>
  </si>
  <si>
    <t xml:space="preserve">Будівля, с. Яблунівка Хустського району — реконструкція під дитячий садок та фельдшерсько-акушерський пункт
</t>
  </si>
  <si>
    <t xml:space="preserve">Загальноосвітня школа I-III ступеня, с. Крайниково Хустського району — капітальний ремонт
</t>
  </si>
  <si>
    <t xml:space="preserve">Дошкільний навчальний заклад, с. Олександрівка Хустського району — капітальний ремонт
</t>
  </si>
  <si>
    <t xml:space="preserve">Автомобільна дорога загального користування місцевого значення С-071320 Липча - Крайне — поточний ремонт
</t>
  </si>
  <si>
    <t xml:space="preserve">Апарат рентгенографічний, цифровий на три робочих місця та автомобіль санітарний для Хустської районної центральної лікарні по вул. І. Франка, 113, у м. Хусті — придбання
</t>
  </si>
  <si>
    <t>ЗАПОРІЗЬКА</t>
  </si>
  <si>
    <t xml:space="preserve">Обласний протитуберкульозний диспансер по вул. Перспективній, 4, у м. Запоріжжі — реконструкція (перша черга)
</t>
  </si>
  <si>
    <t>2009-2017</t>
  </si>
  <si>
    <t xml:space="preserve">Будівля обласної філармонії, м. Запоріжжя — реконструкція
</t>
  </si>
  <si>
    <t xml:space="preserve">Обласний художній музей, м. Запоріжжя — реконструкція
</t>
  </si>
  <si>
    <t xml:space="preserve">Центральні очисні споруди комунального підприємства “Водоканал” Мелітопольської міської ради, м. Мелітополь (коригування - преаератор № 1, первинний відстійник № 2, аеротенк № 2) — реконструкція
</t>
  </si>
  <si>
    <t xml:space="preserve">Водовід питної води м. Вільнянськ - смт Новомиколаївка — реконструкція
</t>
  </si>
  <si>
    <t xml:space="preserve">Водовід, с. Новотроїцьке Бердянського району — будівництво (перша та друга черги)
</t>
  </si>
  <si>
    <t xml:space="preserve">Водопровідна мережа, с. Луначарське Бердянського району — реконструкція (перша та друга черги)
</t>
  </si>
  <si>
    <t xml:space="preserve">Водопровід, с. Чкалове Веселівського району — реконструкція
</t>
  </si>
  <si>
    <t xml:space="preserve">Водопровідні мережі, с. Лукашеве Запорізького району — реконструкція
</t>
  </si>
  <si>
    <t xml:space="preserve">Водовід питної води на с. Зоряне Запорізького району — будівництво
</t>
  </si>
  <si>
    <t xml:space="preserve">Мережі водозабезпечення, с. Малишівка Запорізького району — реконструкція
</t>
  </si>
  <si>
    <t xml:space="preserve">Система водопостачання, с. Степанівка Перша Приазовського району — реконструкція
</t>
  </si>
  <si>
    <t>ІВАНО-ФРАНКІВСЬКА</t>
  </si>
  <si>
    <t xml:space="preserve">Дорога Н-09 Мукачеве - Львів, км 209 + 020 - км 218 + 400 — поточний ремонт
</t>
  </si>
  <si>
    <t>б/н від 21.07.16, 18.08.2016, 20.09.2016, 27.10.2016, 16.12.2016</t>
  </si>
  <si>
    <t xml:space="preserve">Існуюча будівля для дитячого садка на 18 місць по вул. Січових Стрільців, 36, с. Кінашів Галицького району — реконструкція
</t>
  </si>
  <si>
    <t xml:space="preserve">Загальноосвітня школа I-III ступеня, с. Крилос Галицького району — будівництво
</t>
  </si>
  <si>
    <t xml:space="preserve">Незавершене будівництво нежитлового приміщення під клуб з бібліотекою та фельдшерсько-акушерський пункт по вул. Січових Стрільців, 3в, с. Слобідка Городенківського району — реконструкція
</t>
  </si>
  <si>
    <t xml:space="preserve">Добудова шкільної їдальні, виробничих майстерень та класних кімнат по вул. Грушевського, 27, с. Чернятин Городенківського району
</t>
  </si>
  <si>
    <t xml:space="preserve">Створення умов для розвитку бальнеологічного туризму у м. Долині
</t>
  </si>
  <si>
    <t xml:space="preserve">Косівська загальноосвітня школа № 2 I-III ступеня — добудова спортзалу та переходу
</t>
  </si>
  <si>
    <t xml:space="preserve">Снятинська районна лікарня по вул. Стефаника, м. Снятин — реконструкція центрального корпусу
</t>
  </si>
  <si>
    <t xml:space="preserve">Дитячий садок по вул. Січових Стрільців, 34, смт Лисець Тисменицького району — реконструкція з добудовою
</t>
  </si>
  <si>
    <t xml:space="preserve">Будівництво-прибудова спортивного залу школи, с. Олеша Тлумацького району
</t>
  </si>
  <si>
    <t>2011-2017</t>
  </si>
  <si>
    <t xml:space="preserve">Автомобільна дорога Н-10 Стрий - Мамалига, км 104 + 000 - км 206 + 402 — поточний ремонт
</t>
  </si>
  <si>
    <t>б/н від 28.11.16, 09.12.2016, 26.12.2016, 23.12.2016, 27.12.2016</t>
  </si>
  <si>
    <t xml:space="preserve">Автомобільна дорога Н-10 Стрий - Мамалига, км 27 + 292 - км 64 + 300 — поточний ремонт
</t>
  </si>
  <si>
    <t xml:space="preserve">Автомобільна дорога Р-24 Татарів - Кам’янець-Подільський, км 19 + 420 - км 177 + 894 — поточний ремонт
</t>
  </si>
  <si>
    <t>б/н від 25.11.2016, 28.11.2016, 15.12.2016, 23.12.2016</t>
  </si>
  <si>
    <t xml:space="preserve">Автомобільна дорога Т-09-10 Бурштин - Калуш — поточний ремонт
</t>
  </si>
  <si>
    <t xml:space="preserve">Середня школа на 33 класи по вул. І. Франка, смт Верховина — будівництво
</t>
  </si>
  <si>
    <t xml:space="preserve">Поліклініка, м. Коломия — будівництво (перша черга)
</t>
  </si>
  <si>
    <t xml:space="preserve">Підвідний газопровід високого тиску Надвірна - Ланчин Надвірнянського району — будівництво (друга черга)
</t>
  </si>
  <si>
    <t xml:space="preserve">Дорожнє покриття вул. І. Крип’якевича, м. Рогатин — капітальний ремонт
</t>
  </si>
  <si>
    <t>б/н від 16.12.2016, 27.12.2016</t>
  </si>
  <si>
    <t xml:space="preserve">Дорожнє покриття вул. Б. Кудрика, м. Рогатин — капітальний ремонт
</t>
  </si>
  <si>
    <t>б/н від 06.12.2016</t>
  </si>
  <si>
    <t xml:space="preserve">Рогатинська спеціалізована загальноосвітня школа I-III ступеня № 1 по вул. Шевченка, 71а, м. Рогатин — капітальний ремонт системи опалення
</t>
  </si>
  <si>
    <t>б/н від 28.10.2016, 09.11.2016, 20.12.2016</t>
  </si>
  <si>
    <t xml:space="preserve">Колишня будівля дільничної лікарні, с. Спас Рожнятівського району — капітальний ремонт з переобладнанням приміщень під дитячий садок
</t>
  </si>
  <si>
    <t xml:space="preserve">Районна лікарня в смт Рожнятів Рожнятівського району — капітальний ремонт даху головного корпусу та заміна вікон і дверей в поліклінічному, терапевтичному, туберкульозному та головному корпусах. Коригування проекту
</t>
  </si>
  <si>
    <t>б/н від 07.10.2016, 28.11.2016, 28.12.2016</t>
  </si>
  <si>
    <t xml:space="preserve">Гімназія по вул. Грушевського, 23, м. Тлумач — добудова приміщень (перша черга)
</t>
  </si>
  <si>
    <t xml:space="preserve">Загальноосвітня школа I-III ступеня, с. Королівка Тлумацького району — розширення з добудовою навчально-виховного комплексу на 36 місць
</t>
  </si>
  <si>
    <t xml:space="preserve">Придбання автомобіля швидкої медичної допомоги для Старобогородчанської об’єднаної територіальної громади, Богородчанський район
</t>
  </si>
  <si>
    <t>акт п/п №136610 від 20.12.2016</t>
  </si>
  <si>
    <t xml:space="preserve">Адміністративна будівля фінансового управління Верховинського району на 12 працюючих по вул. І. Франка в смт Верховина — будівництво
</t>
  </si>
  <si>
    <t>липень 2017 р.</t>
  </si>
  <si>
    <t>КИЇВСЬКА</t>
  </si>
  <si>
    <t xml:space="preserve">Тепловий пункт ТП-9 з технічним переоснащенням під котельню по вул. Томилівській, 50в, у м. Білій Церкві — реконструкція
</t>
  </si>
  <si>
    <t>2015-2018</t>
  </si>
  <si>
    <t>I квартал 2019 р.</t>
  </si>
  <si>
    <t xml:space="preserve">Гімназія на 14 класів по вул. Вишневій у м. Бучі — будівництво
</t>
  </si>
  <si>
    <t xml:space="preserve">Будівля по вул. Курортній, 9, у м. Ірпені — реконструкція з перепрофілюванням під дошкільний навчальний заклад
</t>
  </si>
  <si>
    <t>I квартал 2018 р.</t>
  </si>
  <si>
    <t xml:space="preserve">Каналізаційні очисні споруди, м. Славутич — реконструкція
</t>
  </si>
  <si>
    <t xml:space="preserve">Дошкільний навчальний заклад по вул. Шевченка, 14, у с. Фурси Білоцерківського району — будівництво
</t>
  </si>
  <si>
    <t xml:space="preserve">Школа мистецтв та ремесел, с. Велика Олександрівка Бориспільського району — будівництво
</t>
  </si>
  <si>
    <t xml:space="preserve">Приміщення амбулаторії на 30 відвідувань на зміну по вул. Леніна, 59а, у с. Плесецьке Васильківського району — реконструкція
</t>
  </si>
  <si>
    <t xml:space="preserve">Водозабірний вузол з облаштуванням станції знезалізнення по вул. Стадіонній у м. Кагарлику — реконструкція
</t>
  </si>
  <si>
    <t>№4 від 26.12.2016</t>
  </si>
  <si>
    <t xml:space="preserve">Дошкільний навчальний заклад “Яблунька” по вул. Червоноармійській, 11, у м. Вишневому Києво-Святошинського району — реконструкція
</t>
  </si>
  <si>
    <t xml:space="preserve">Добудова до загальноосвітньої школи № 1 по вул. Юності, 7, у м. Українці Обухівського району
</t>
  </si>
  <si>
    <t xml:space="preserve">Загальноосвітня школа I-III ступеня по вул. Вербовій, 63а, у с. Острів Рокитнянського району — будівництво котельні
</t>
  </si>
  <si>
    <t>№14 від 28.12.2016</t>
  </si>
  <si>
    <t xml:space="preserve">Савинецьке навчально-виховне об’єднання (загальноосвітня школа I-III ступеня - дитячий садок) по вул. Першотравневій, 2, у с. Савинці Рокитнянського району — реконструкція котельні
</t>
  </si>
  <si>
    <t>№7 від 27.12.2016</t>
  </si>
  <si>
    <t xml:space="preserve">Мережа водопостачання в районі масиву “Ярки”, м. Сквира — реконструкція
</t>
  </si>
  <si>
    <t>№1 від 24.12.2016</t>
  </si>
  <si>
    <t xml:space="preserve">Придбання санітарного транспорту для потреб комунального закладу Таращанської районної ради “Таращанський центр первинної медичної (медико-санітарної) допомоги”
</t>
  </si>
  <si>
    <t>дог.№07-12 від 07.12.16, №21-12, №106 від 21.12.16</t>
  </si>
  <si>
    <t xml:space="preserve">Зовнішнє електропостачання, вуличне освітлення, села Мокрець і Бервиця Броварського району — реконструкція
</t>
  </si>
  <si>
    <t>декларація від 29.12.16 №КС 143163640127</t>
  </si>
  <si>
    <t xml:space="preserve">Каналізаційні очисні споруди, смт Борова Фастівського району — реконструкція
</t>
  </si>
  <si>
    <t xml:space="preserve">Приміщення адміністративної будівлі по бульв. Незалежності, 39, у м. Броварах — капітальний ремонт під центр надання адміністративних послуг
</t>
  </si>
  <si>
    <t>№2 від 28.12.2016</t>
  </si>
  <si>
    <t xml:space="preserve">Парк “Перемога”, м. Бровари — капітальний ремонт з відновленням інженерно-транспортної інфраструктури та благоустрою
</t>
  </si>
  <si>
    <t>№9 від 23.12.2016</t>
  </si>
  <si>
    <t xml:space="preserve">Будівля дошкільного навчального закладу по вул. Святошинській, 48, м. Вишневе — реконструкція
</t>
  </si>
  <si>
    <t>КІРОВОГРАДСЬКА</t>
  </si>
  <si>
    <t xml:space="preserve">Кіровоградський обласний госпіталь для інвалідів Вітчизняної війни по вул. Короленка, 58, м. Кіровоград — капітальний ремонт
</t>
  </si>
  <si>
    <t>№3 від 29.12.2016</t>
  </si>
  <si>
    <t xml:space="preserve">Вугільна котельня для Новопразького навчально-виховного комплексу по вул. Червоноармійській, 21, смт Нова Прага Олександрійського району — будівництво
</t>
  </si>
  <si>
    <t>№1 від 29.12.2016</t>
  </si>
  <si>
    <t xml:space="preserve">Очисні споруди та розподільна система водогону, смт Новоархангельськ — будівництво
</t>
  </si>
  <si>
    <t xml:space="preserve">Дошкільний навчальний заклад “Калинка”, смт Онуфріївка — реконструкція будівлі та системи опалення
</t>
  </si>
  <si>
    <t>№1 від 05.12.2016</t>
  </si>
  <si>
    <t xml:space="preserve">Міський Будинок культури по вул. 6-го Грудня, 2, м. Олександрія — реставрація будівлі
</t>
  </si>
  <si>
    <t xml:space="preserve">Котельня загальноосвітньої школи I-III ступеня, с. Первозванівка Кіровоградського району — реконструкція з влаштуванням твердопаливних котлоагрегатів для заміщення споживання газу
</t>
  </si>
  <si>
    <t xml:space="preserve"> №5 від 12.2016 р.</t>
  </si>
  <si>
    <t xml:space="preserve">Загальноосвітня школа I-III ступеня № 1 імені І.Г. Ткаченка Знам’янської районної ради по вул. Миру, 14, с. Богданівка — реконструкція
</t>
  </si>
  <si>
    <t xml:space="preserve">Головний корпус Петрівської центральної районної лікарні, смт Петрове — капітальний ремонт (заміна віконних блоків, вхідної групи)
</t>
  </si>
  <si>
    <t>№4 від 11.2016 р.</t>
  </si>
  <si>
    <t>декларація від 14.12.16 №ЗК 143163491806</t>
  </si>
  <si>
    <t xml:space="preserve">Водопровідна мережа, м. Мала Виска — будівництво
</t>
  </si>
  <si>
    <t xml:space="preserve">Вузол очищення води, смт Приютівка Олександрійського району — будівництво
</t>
  </si>
  <si>
    <t>№3 від 26.12.2016</t>
  </si>
  <si>
    <t xml:space="preserve">Дитячий садок № 1 “Сонечко” Бобринецької міської ради, м. Бобринець — капітальний ремонт із застосуванням енергозберігаючих технологій
</t>
  </si>
  <si>
    <t xml:space="preserve">Інфекційний корпус Петрівської центральної районної лікарні, смт Петрове — капітальний ремонт (заміна віконних блоків, вхідної групи)
</t>
  </si>
  <si>
    <t>№4 від 10.2016 р.</t>
  </si>
  <si>
    <t xml:space="preserve">Петрівський навчально-виховний комплекс по вул. Літвінова, 18, смт Петрове — капітальний ремонт теплосистеми
</t>
  </si>
  <si>
    <t>№4 від 12.2016 р.</t>
  </si>
  <si>
    <t>декларація від 14.12.16 №ЗК 143163491780</t>
  </si>
  <si>
    <t xml:space="preserve">Загальноосвітня школа I-III ступеня по вул. Молодіжній, 1, с. Виноградівка Компаніївського району — реконструкція під навчально-виховний комплекс школа - дитячий садок
</t>
  </si>
  <si>
    <t xml:space="preserve">Загальноосвітня школа I-III ступеня по вул. Шкільній, 29, с. Луганка Петрівського району — капітальний ремонт
</t>
  </si>
  <si>
    <t>№2 від 12.09.2016</t>
  </si>
  <si>
    <t>декларація від 11.10.16 №КД 143162851246</t>
  </si>
  <si>
    <t xml:space="preserve">Головний корпус станції переливання крові по вул. Преображенській, 88, м. Кіровоград — реконструкція
</t>
  </si>
  <si>
    <t>ЛУГАНСЬКА</t>
  </si>
  <si>
    <t xml:space="preserve">Спортивна зала з адміністративно-побутовою прибудовою для комунального закладу “Кремінська обласна загальноосвітня школа-інтернат I-III ступеня” — будівництво
</t>
  </si>
  <si>
    <t>№1 від 21.12.2016</t>
  </si>
  <si>
    <t xml:space="preserve">Будівля Луганської обласної дитячої клінічної лікарні, квартал 40 років Перемоги, 12а, м. Лисичанськ — капітальний ремонт
</t>
  </si>
  <si>
    <t>№3 від 27.12.2016</t>
  </si>
  <si>
    <t xml:space="preserve">Будівля Луганського обласного центру з профілактики та боротьби зі СНІД по вул. Сметаніна, 5, м. Сєвєродонецьк — капітальний ремонт
</t>
  </si>
  <si>
    <t xml:space="preserve">Автодорога по просп. Московському (від вул. Визволителів до вул. Будівельників), м. Рубіжне — реконструкція
</t>
  </si>
  <si>
    <t>№3 від 12.2016 р.</t>
  </si>
  <si>
    <t>декларація вiд 26.12.16 №ЛГ 143163611075</t>
  </si>
  <si>
    <t xml:space="preserve">Заплавний міст № 2, м. Сєвєродонецьк — реконструкція
</t>
  </si>
  <si>
    <t>№1 від 27.12.2016</t>
  </si>
  <si>
    <t xml:space="preserve">Заплавний міст № 3, м. Сєвєродонецьк — реконструкція
</t>
  </si>
  <si>
    <t>№4 від 21.12.2016</t>
  </si>
  <si>
    <t xml:space="preserve">Заплавний міст № 4, м. Сєвєродонецьк — реконструкція
</t>
  </si>
  <si>
    <t>№7 від 21.12.2016</t>
  </si>
  <si>
    <t xml:space="preserve">Дитячий навчальний заклад № 43, м. Сєвєродонецьк — капітальний ремонт
</t>
  </si>
  <si>
    <t>№59 від 26.12.2016</t>
  </si>
  <si>
    <t xml:space="preserve">Автомобільна дорога по вул. Сметаніна, м. Сєвєродонецьк — реконструкція проїжджої частини
</t>
  </si>
  <si>
    <t xml:space="preserve">Зливова каналізація по вул. Сметаніна, м. Сєвєродонецьк — реконструкція
</t>
  </si>
  <si>
    <t>№2 від 13.12.2016</t>
  </si>
  <si>
    <t xml:space="preserve">Центральна система водопостачання с. Промінь - с. Петрівка Сватівського району — реконструкція (1 етап)
</t>
  </si>
  <si>
    <t xml:space="preserve">Котельня № 5, квартал Незалежності, 2, м. Сватове — реконструкція під позашкільну установу з плавальним басейном
</t>
  </si>
  <si>
    <t xml:space="preserve">Будівля корпусу допоміжних приміщень, квартал Новоселів, 1а, смт Троїцьке — реконструкція під багатоквартирний житловий будинок для медичних працівників
</t>
  </si>
  <si>
    <t>накл.№НТ-0000392 від 26.12.16</t>
  </si>
  <si>
    <t xml:space="preserve">Нежитлова будівля, пров. Центральний, 5, с. Тимонове Троїцького району — реконструкція в соціально-адміністративний центр
</t>
  </si>
  <si>
    <t>№2 від 23.12.2016</t>
  </si>
  <si>
    <t xml:space="preserve">Система водопостачання, м. Кремінна — реконструкція мереж водопостачання від водонасосної станції “Житлівська” (третій етап)
</t>
  </si>
  <si>
    <t xml:space="preserve">Мережі зовнішнього освітлення, м. Кремінна — капітальний ремонт
</t>
  </si>
  <si>
    <t>№2 від 27.12.2016</t>
  </si>
  <si>
    <t xml:space="preserve">Нежитлова будівля майнового комплексу централізованої бібліотечної системи, пл. Горького, 6/1, смт Білокуракине — капітальний ремонт
</t>
  </si>
  <si>
    <t>№2 від 14.12.2016</t>
  </si>
  <si>
    <t>декларація вiд 20.12.16 №ЛГ 142163550281</t>
  </si>
  <si>
    <t xml:space="preserve">Система водопостачання, с. Олександропіль Білокуракинського району — капітальний ремонт
</t>
  </si>
  <si>
    <t>вересень 2016 р.</t>
  </si>
  <si>
    <t>№1 від 13.09.2016</t>
  </si>
  <si>
    <t>декларація вiд 08.09.16 №ЛГ 142162511690</t>
  </si>
  <si>
    <t xml:space="preserve">Вуличне освітлення на території Осинівської сільської ради Новопсковського району — будівництво за інноваційними технологіями. Встановлення фотомодулів на опорі
</t>
  </si>
  <si>
    <t xml:space="preserve">Автомобільна дорога по вул. Покровській, смт Мілове — капітальний ремонт
</t>
  </si>
  <si>
    <t>№1 від 23.09.2016</t>
  </si>
  <si>
    <t>декларація вiд 30.11.16 №ЛГ 142163352131</t>
  </si>
  <si>
    <t xml:space="preserve">Будівля терапевтичного відділення по вул. Первомайській, 2, смт Мілове — капітальний ремонт
</t>
  </si>
  <si>
    <t xml:space="preserve">Євсузька сільська лікарська амбулаторія загальної практики сімейної медицини по вул. Старобільській, 3, с. Євсуг Біловодського району — реконструкція та технічне переоснащення з впровадженням енергозберігаючих технологій
</t>
  </si>
  <si>
    <t xml:space="preserve">Вуличний водопровід на території с-ща Лоскутівка Попаснянського району — будівництво
</t>
  </si>
  <si>
    <t>№1 від 16.12.2016</t>
  </si>
  <si>
    <t xml:space="preserve">Підвідний водопровід від с-ща Лоскутівка до с-ща Підлісне Попаснянського району — будівництво
</t>
  </si>
  <si>
    <t xml:space="preserve">Асфальтобетонне покриття автомобільної дороги по вул. Миру, м. Попасна — капітальний ремонт
</t>
  </si>
  <si>
    <t>№2 від 13.09.2016</t>
  </si>
  <si>
    <t>декларація вiд 21.10.16 №ЛГ 142162950524</t>
  </si>
  <si>
    <t xml:space="preserve">Асфальтобетонне покриття автомобільної дороги по вул. Миронівській, м. Попасна — капітальний ремонт
</t>
  </si>
  <si>
    <t>декларація вiд 21.10.16 №ЛГ 142162950534</t>
  </si>
  <si>
    <t xml:space="preserve">Асфальтобетонне покриття автомобільної дороги по вул. Бахмутській, м. Попасна — капітальний ремонт
</t>
  </si>
  <si>
    <t xml:space="preserve"> №2 від 07.10.2016</t>
  </si>
  <si>
    <t>декларація вiд 12.12.16 №ЛГ 1421163511477</t>
  </si>
  <si>
    <t xml:space="preserve">Попаснянська багатопрофільна гімназія № 25 по вул. Кошового, 31, м. Попасна — реконструкція (утеплення огороджувальних конструкцій будівлі)
</t>
  </si>
  <si>
    <t xml:space="preserve">Будівля гуртожитку по вул. Маяковського, 24, м. Сєвєродонецьк — капітальний ремонт з термомодернізацією
</t>
  </si>
  <si>
    <t xml:space="preserve">Будівлі державного закладу “Луганський національний університет імені Тараса Шевченка”, пл. Гоголя, 1, м. Старобільськ — капітальний ремонт з термомодернізацією
</t>
  </si>
  <si>
    <t xml:space="preserve">Будівля хірургічного відділення комунальної установи “Старобільське районне територіальне медичне об’єднання” по вул. Монастирській, 67, м. Старобільськ — капітальний ремонт
</t>
  </si>
  <si>
    <t xml:space="preserve">Дошкільний навчальний заклад по вул. Пізника, 1б, с. Лиман Старобільського району — капітальний ремонт
</t>
  </si>
  <si>
    <t>№1/4 від 29.12.2016</t>
  </si>
  <si>
    <t xml:space="preserve">Старобільський районний будинок творчості дітей та юнацтва по вул. Чернишевського, 26, м. Старобільськ — реконструкція
</t>
  </si>
  <si>
    <t>№9 від 29.12.2016</t>
  </si>
  <si>
    <r>
      <t xml:space="preserve">Приміщення для центру невідкладних станів та медицини катастроф Луганської обласної клінічної лікарні, квартал 50-річчя Оборони Луганська, 14, м. Луганськ — реконструкція 
</t>
    </r>
    <r>
      <rPr>
        <i/>
        <sz val="14"/>
        <color indexed="8"/>
        <rFont val="Arial"/>
        <family val="2"/>
        <charset val="204"/>
      </rPr>
      <t xml:space="preserve">(погашення кредиторської заборгованості)
</t>
    </r>
  </si>
  <si>
    <t>грудень 2013 р.</t>
  </si>
  <si>
    <r>
      <t xml:space="preserve">Приміщення високоспеціалізованого консультативного відділення Луганської обласної клінічної лікарні (будівля поліклініки), квартал 50-річчя Оборони Луганська, 14, м. Луганськ — реконструкція 
</t>
    </r>
    <r>
      <rPr>
        <i/>
        <sz val="14"/>
        <color indexed="8"/>
        <rFont val="Arial"/>
        <family val="2"/>
        <charset val="204"/>
      </rPr>
      <t xml:space="preserve">(погашення кредиторської заборгованості)
</t>
    </r>
  </si>
  <si>
    <t xml:space="preserve">Середня загальноосвітня школа I-III ступеня № 6 по вул. Маяковського, 9, м. Сєвєродонецьк — капітальний ремонт (заміна віконних та дверних блоків)
</t>
  </si>
  <si>
    <t xml:space="preserve">Середня загальноосвітня школа № 15 I-III ступеня по вул. Федоренка, 39, м. Сєвєродонецьк — капітальний ремонт (заміна віконних та дверних блоків)
</t>
  </si>
  <si>
    <t xml:space="preserve">Комунальна установа “Територіальний центр” по вул. Будівельників, 25, м. Рубіжне — утеплення основної будівлі
</t>
  </si>
  <si>
    <t xml:space="preserve">Автомобільна дорога по вул. Машинобудівельників, м. Лисичанськ — капітальний ремонт
</t>
  </si>
  <si>
    <t xml:space="preserve">Автомобільна дорога по вул. К. Маркса, м. Лисичанськ — капітальний ремонт
</t>
  </si>
  <si>
    <t xml:space="preserve">Автомобільна дорога по вул. Маяковського, м. Новодружеськ — капітальний ремонт
</t>
  </si>
  <si>
    <t xml:space="preserve">Придбання трьох шкільних автобусів для навчально-виховного комплексу “Ковалівська загальноосвітня школа I-III ступеня - дошкільний навчальний заклад”, Містківської загальноосвітньої школи I-III ступеня та Нижньодуванської загальноосвітньої школи I-III ступеня Сватівського району для забезпечення рівного доступу до якісної освіти дітей, які мешкають у сільській місцевості
</t>
  </si>
  <si>
    <t xml:space="preserve">Придбання Троїцькою селищною радою сміттєвоза з боковим завантаженням
</t>
  </si>
  <si>
    <t xml:space="preserve">Троїцьке територіальне медичне об’єднання по вул. Крупської, 11, смт Троїцьке — капітальний ремонт з впровадженням енергозберігаючих технологій
</t>
  </si>
  <si>
    <t xml:space="preserve">Придбання автотранспорту для збору відходів та санітарного очищення елементів благоустрою з метою підвищення рівня благоустрою та комунального обслуговування територіальної громади м. Кремінної для комунального підприємства “Креміннакомунсервіс”
</t>
  </si>
  <si>
    <t xml:space="preserve">Придбання екскаватора для виконання будівельних, навантажувальних, ремонтних та інших робіт на території Білокуракинської територіальної громади для комунального підприємства “Білокуракинекомунсервіс”
</t>
  </si>
  <si>
    <r>
      <rPr>
        <sz val="11"/>
        <rFont val="Arial"/>
        <family val="2"/>
        <charset val="204"/>
      </rPr>
      <t>накл.№ВК121</t>
    </r>
    <r>
      <rPr>
        <sz val="12"/>
        <rFont val="Arial"/>
        <family val="2"/>
        <charset val="204"/>
      </rPr>
      <t xml:space="preserve"> від 27.12.16</t>
    </r>
  </si>
  <si>
    <t xml:space="preserve">Придбання вакуумної машини для очищення вигрібних ям та транспортування відходів до місця утилізації на території Білокуракинської територіальної громади для комунального підприємства “Білокуракинекомунсервіс”
</t>
  </si>
  <si>
    <t>накл.№1778 від 26.12.16</t>
  </si>
  <si>
    <t xml:space="preserve">Паньківський фельдшерсько-акушерський пункт по вул. Шкільній, 2, с. Паньківка Білокуракинського району — капітальний ремонт
</t>
  </si>
  <si>
    <t xml:space="preserve">Забезпечення амбулаторій оснащеним автотранспортом для обслуговування сімейними лікарями населення Біловодського району (доступну медичну допомогу - кожному жителю району)
</t>
  </si>
  <si>
    <t xml:space="preserve">Придбання шкільного автобуса для перевезення учнів Новочервонівської загальноосвітньої школи I-III ступеня Троїцького району
</t>
  </si>
  <si>
    <t xml:space="preserve">накл.№79 від 28.12.16  </t>
  </si>
  <si>
    <t xml:space="preserve">Придбання шкільного автобуса для перевезення учнів Євсузького навчально-виховного комплексу Біловодського району
</t>
  </si>
  <si>
    <t>акт п/п від 26.12.2016</t>
  </si>
  <si>
    <t xml:space="preserve">Переоснащення системи зовнішнього освітлення мікрорайону “Вагоноремонтний завод”, м. Попасна — реконструкція”
</t>
  </si>
  <si>
    <t>декларація вiд 30.12.16 №ЛГ 142163642197</t>
  </si>
  <si>
    <t>ЛЬВІВСЬКА</t>
  </si>
  <si>
    <t xml:space="preserve">Відділення невідкладної допомоги комунальної 8-ї міської клінічної лікарні м. Львова по вул. Навроцького, 23, — реконструкція
</t>
  </si>
  <si>
    <t>грудень 2018 р.</t>
  </si>
  <si>
    <t xml:space="preserve">Першочергові заходи з енергоефективності будівлі головного корпусу комунальної установи Львівської обласної ради “Львівський регіональний фтизіопульмонологічний лікувально-діагностичний центр” по вул. Зеленій, 477, м. Львів — реконструкція
</t>
  </si>
  <si>
    <t>№1 від 25.08.2016, №2,3,4 від 12.2016</t>
  </si>
  <si>
    <t xml:space="preserve">Школа № 41 по вул. Макаренка, 19, смт Брюховичі — реконструкція
</t>
  </si>
  <si>
    <t xml:space="preserve">Поліклінічний корпус міської лікарні, м. Трускавець — реконструкція
</t>
  </si>
  <si>
    <t xml:space="preserve">Дитячий навчальний заклад № 2 “Сонечко” по вул. Д. Галицького, 13, м. Моршин — реконструкція даху та утеплення фасаду
</t>
  </si>
  <si>
    <t>№2 від 27.07.16, №3 від 05.08.16, №5 від 26.08.16, №6 від 14.09.16, б/н від 15.09.16, №7 від 06.10.16, №8 від 11.11.16, №9 від 12.12.16</t>
  </si>
  <si>
    <t xml:space="preserve">Школа на 500 учнівських місць, с. Бірки Яворівського району — будівництво
</t>
  </si>
  <si>
    <t>2008-2017</t>
  </si>
  <si>
    <t>№1, №2, №3, №4 від 16.12.16, №1, №1/1, №2 від 23.12.16</t>
  </si>
  <si>
    <t xml:space="preserve">Медпункт та адміністративно-побутові приміщення Жовківського районного дитячого центру оздоровлення, відпочинку та туризму “Росинка” — реконструкція
</t>
  </si>
  <si>
    <t>б/н від 22.07.16, №6 від 05.08.2016, №7 від 02.09.16, 12.09.16, №1 від 28.12.16, №16 від 12.08.16</t>
  </si>
  <si>
    <t>декларація від 03.10.2016 №ДО-2-ГО235</t>
  </si>
  <si>
    <t xml:space="preserve">Покрівля поліклініки Перемишлянської центральної районної лікарні по вул. Галицька, 12, м. Перемишляни — реконструкція
</t>
  </si>
  <si>
    <t xml:space="preserve">Акушерський корпус на 30 ліжок, м. Миколаїв — будівництво
</t>
  </si>
  <si>
    <t>1991-2017</t>
  </si>
  <si>
    <t xml:space="preserve">Будинок механізатора та лазні у с. Лавриків Жовківського району під дитячий садок на дві групи (20 дітей) (коригування) — реконструкція
</t>
  </si>
  <si>
    <t>б/н від 05.09.16, №1 від 05.10.16, №2 від 25.10.16, №3 від 14.11.16, №4 від 14.12.16, №1 від 28.12.16</t>
  </si>
  <si>
    <t xml:space="preserve">Дитяче відділення Золочівської центральної районної лікарні по вул. В. Кука, 8, м. Золочів — реконструкція
</t>
  </si>
  <si>
    <t>№1 від 04.10.16, №2 від 09.11.16, №3 від 20.12.16, №4 від 26.12.16, №1 від 06.09.16</t>
  </si>
  <si>
    <t xml:space="preserve">Колишня контора Стародобротвірського споживчого товариства під приміщення дитячого дошкільного закладу з надбудовою мансардного поверху по вул. Космонавтів, 4, с. Старий Добротвір Кам’янка-Бузького району — реконструкція
</t>
  </si>
  <si>
    <t>№1 від 16.08.2016</t>
  </si>
  <si>
    <t xml:space="preserve">Дошкільний навчальний заклад № 7 “Червона шапочка” по вул. Ю. Липи, 10, м. Новояворівськ Яворівського району — капітальний ремонт
</t>
  </si>
  <si>
    <t>№5 від 28.12.2016</t>
  </si>
  <si>
    <t xml:space="preserve">Придбання цифрового флюорографічного апарата та комплексу відеоендоскопічної апаратури для Стрийської центральної районної лікарні
</t>
  </si>
  <si>
    <t xml:space="preserve">накл.№129, №ЛТ-0000012 від 08.12.2016 </t>
  </si>
  <si>
    <t xml:space="preserve">Приміщення військової частини під дитячо-юнацьку спортивну школу, м. Яворів — реконструкція
</t>
  </si>
  <si>
    <t>№4 від 21.12.2016, №5 від 22.12.2016</t>
  </si>
  <si>
    <t xml:space="preserve">Фельдшерсько-акушерський пункт по вул. Горішня, 48, с. Гряда Жовківського району — реконструкція
</t>
  </si>
  <si>
    <t>№1 від 06.10.16, №2 від 16.11.16, №3 від 26.12.16, №21 від 26.12.16</t>
  </si>
  <si>
    <t xml:space="preserve">Пологове відділення на 30 ліжок Бродівської центральної районної лікарні, м. Броди — реконструкція
</t>
  </si>
  <si>
    <t>№1 від 01.08.2016</t>
  </si>
  <si>
    <t xml:space="preserve">Другий поверх аптеки по вул. Гончарській, 14а, у м. Бродах під жіночу консультацію — реконструкція
</t>
  </si>
  <si>
    <t>№1, №2 від 11.2016 р.</t>
  </si>
  <si>
    <t xml:space="preserve">Школа, с. Наварія Пустомитівського району — будівництво
</t>
  </si>
  <si>
    <t>2000-2018</t>
  </si>
  <si>
    <t>№1, №2, №1/3, №1/4 від 11.16 р. №1/5, №1/14, №1/15, №1/16, №2/3, №2/4, №2/5, №2/8, №2/15, №3/4, №3/5, №4/4, №4/5 від 12.16 р.</t>
  </si>
  <si>
    <t xml:space="preserve">Внутрішні мережі опалення районної лікарні, м. Буськ — реконструкція
</t>
  </si>
  <si>
    <t>№2 від 27.10.16, №3 від 17.11.16, №4 від 21.12.16, №5 від 26.12.16</t>
  </si>
  <si>
    <t xml:space="preserve">Нежитлова будівля колишнього дитячого садка під дитячий садок на 45 місць, с. Лисятичі Стрийського району — реконструкція
</t>
  </si>
  <si>
    <t>№1, №3 від 08.08.16, №1 від 11.08.16, №1, №2, №3 від 23.08.16, №1, №3 від 05.09.16, №1, №3, №4, №5 від 05.10.16, №1, №3, №5 від 10.10.16, №1, №3, №5 від 27.10.16, №7 від 26.10.16, №1 від 09.11.16</t>
  </si>
  <si>
    <t xml:space="preserve">Підбірцівська загальноосвітня школа I-III ступеня по вул. Просвіти, 12, Пустомитівський район — реконструкція даху
</t>
  </si>
  <si>
    <t>№1 від 08.16 р., №2, №3 від 09.16 р., №4, №5, №6 від 10.16.р. №7, №8 від 11.16 р., №9, №10 від 12.16 р.</t>
  </si>
  <si>
    <t xml:space="preserve">Вуличне освітлення на території Зашківської сільської ради Жовківського району — реконструкція
</t>
  </si>
  <si>
    <t>№3, №4 від 06.09.2016</t>
  </si>
  <si>
    <t xml:space="preserve">Спортивний зал Зимноводівської загальноосвітньої школи № 2 по вул. І. Сірка, с. Зимна Вода Пустомитівського району — будівництво
</t>
  </si>
  <si>
    <t>№1 від 10.16 р., №2 від 11.16 р., №4 від 12.16 р.</t>
  </si>
  <si>
    <t xml:space="preserve">Дитячий навчальний заклад “Сонечко” у с. Звенигород, 1454, Звенигородської сільської ради Пустомитівського району — реконструкція
</t>
  </si>
  <si>
    <t>№1, №2 від 04.16 р., №1, №2, №3, №4, №5, №6, №7 від 10.16 р., №8, №8а, №9, №10 від 11.16 р., №11, №11а, №12, №13, №13а від 12.16</t>
  </si>
  <si>
    <t xml:space="preserve">Загальноосвітня школа I-III ступеня на 180 учнівських місць у с. Годовиця Пустомитівського району — реконструкція
</t>
  </si>
  <si>
    <t>№1 від 06.16 р., №2 від 10.16 р., №3, №4 від 11.16 р., №6 від 12.16 р.</t>
  </si>
  <si>
    <t xml:space="preserve">Загальноосвітня школа по вул. Княгині Ольги, с. Кротошин Пустомитівського району — будівництво (добудова)
</t>
  </si>
  <si>
    <t>№1 від 11.16 р., №2 від 12.16 р.</t>
  </si>
  <si>
    <t xml:space="preserve">Школа, с. Оброшине Пустомитівського району — будівництво
</t>
  </si>
  <si>
    <t>1989-2018</t>
  </si>
  <si>
    <t>№1 від 10.16 р., №2 від 11.16 р., №4, №5 від 12.16 р.</t>
  </si>
  <si>
    <t xml:space="preserve">Пологовий будинок Миколаївської комунальної центральної районної лікарні по вул. Івана Франка, 22, м. Миколаїв — капітальний ремонт
</t>
  </si>
  <si>
    <t>№1, №30 від 22.07.2016, №2, №32 від 27.07.2016, №1, №46 від 23.08.2016, №4, №60 від 10.16, №5 від 11.16, №70 від 08.11.2016</t>
  </si>
  <si>
    <t xml:space="preserve">Пустомитівська загальноосвітня школа № 2 I-III ступеня — реконструкція даху
</t>
  </si>
  <si>
    <t>№1 від 06.16 р., №2 від 07.16 р., №3 від 09.16 р., №4 від 10.16 р., №5 від 11.16 р., №6, №7, №8 від 12.16 р.</t>
  </si>
  <si>
    <t xml:space="preserve">Народний дім, с. Великі Грибовичі Жовківського району — будівництво
</t>
  </si>
  <si>
    <t>№1 від 08.11.16, №2 від 07.12.16, №3 від 30.12.16, №34-Т-1/2016 від 09.11.16, №34-Т-2/2016 від 20.12.16, №34-Т-3/2016 від 28.12.16</t>
  </si>
  <si>
    <t xml:space="preserve">Щирецька загальноосвітня школа № 1 I-III ступеня Пустомитівського району — реконструкція даху
</t>
  </si>
  <si>
    <t>№1 від 08.16 р., №2 від 10.16 р., №3 від 11.16. р., №4, №5, №6 від 12.16 р.</t>
  </si>
  <si>
    <t xml:space="preserve">Народний дім “Просвіта”, с. Мшана Городоцького району — будівництво
</t>
  </si>
  <si>
    <t>№18, №18а від 28.12.16</t>
  </si>
  <si>
    <t xml:space="preserve">Загальноосвітня школа № 1 по вул. Мазепи, 2, с. Зимна Вода Пустомитівського району — реконструкція
</t>
  </si>
  <si>
    <t>№1 від 08.16 р., №2 від 09.16 р., №3 від 10.16 р., №4 від 11.16 р., №5, №6 від 12.16 р.</t>
  </si>
  <si>
    <t xml:space="preserve">Корпус 2 Гамаліївської загальноосвітньої школи по вул. Грушевського, с. Гамаліївка Пустомитівського району — будівництво
</t>
  </si>
  <si>
    <t>№1, №2, №3, №4 від 03.16 р., №5 від 04.16 р., №6 від 05.16 р., №7, №8 від 07.16 р., №9, №10 від 09.16 р., №11, №11/1, №12, №13, №14 від 10.16 р., №15 від 11.16 р., №16, №16/1, №17, №18, №18/1, №19, №19/1, №20, №20/1, №21 від 12.16 р.</t>
  </si>
  <si>
    <t xml:space="preserve">Народний дім на 100 місць, с. Чорнушовичі Пустомитівського району — будівництво
</t>
  </si>
  <si>
    <t>№3 від 03.16 р., №4 від 04.16 р., №5 від 08.16 р., №6 від 09.16 р., №7 від 11.16 р., №11, №11а від 12.16 р.</t>
  </si>
  <si>
    <t xml:space="preserve">Дошкільний навчальний заклад на 150 місць, с. Зубра Пустомитівського району — будівництво
</t>
  </si>
  <si>
    <t>2010-2017</t>
  </si>
  <si>
    <t>№5 від 04.16 р., №1-1, №1-2, №1-7 від 09.16 р., №1-6, №2-2, №2-7 від 10.16 р., №4/0,4/1,4/2, №5/1,5/2 від 12.16 р.</t>
  </si>
  <si>
    <t xml:space="preserve">Друга черга загальноосвітньої школи I-III ступеня на 400 учнівських місць по вул. Шевченка, с.Чишки Пустомитівського району — будівництво
</t>
  </si>
  <si>
    <t>№1 від 04.16 р., №1 від 09.16 р., №2 від 10.16 р., №3, №4, №5 від 11.16 р., №6 від 12.16 р.</t>
  </si>
  <si>
    <t xml:space="preserve">Об’єкт соціально-економічної інфраструктури - загальноосвітня школа I-III ступеня, с. Семенівка Пустомитівського району — добудова
</t>
  </si>
  <si>
    <t>№3 від 03.16 р., №4 від 04.16 р., №5, №6 від 05.16 р., №5 від 07.16 р., №7 від 10.16 р., №8, №9, №10, №12 від 12.16 р.</t>
  </si>
  <si>
    <t xml:space="preserve">Нежитлова будівля під дитячий садок на 30 місць по вул. Весела, 50, с. Хлопчиці Cамбірського району — реконструкція
</t>
  </si>
  <si>
    <t>№1 від 10.08.16, №2 від 02.09.16, №3 від 26.09.16, №4 від 24.10.16, №5 від 28.11.16, №6 від 22.12.16</t>
  </si>
  <si>
    <t xml:space="preserve">Частина існуючих приміщень під дитячий садок по вул. Медичній, 1, с. Чижиків Пустомитівського району — реконструкція
</t>
  </si>
  <si>
    <t>№1 від 09.16 р., №2, №3, №4, №5, №6 від 10.16 р., №7, №8, №8а від 11.16 р., №9, №10, №10а, №11, №11а, №1, №2, №3 від 12.16 р.</t>
  </si>
  <si>
    <t xml:space="preserve">Загальноосвітня школа I-III ступеня на 250 учнівських місць, с. Верхня Білка Пустомитівського району — добудова
</t>
  </si>
  <si>
    <t>№5 від 03.16 р., №6 від 04.16 р., №7 від 08.16 р., №8 від 10.16 р., №9, №10, №11, №12, №13 від 12.16 р.</t>
  </si>
  <si>
    <t xml:space="preserve">Загальноосвітня школа I-III ступеня на 300 учнівських місць, с. Батятичі Кам’янка-Бузького району — добудова
</t>
  </si>
  <si>
    <t>№1 від 12.08.2016</t>
  </si>
  <si>
    <t xml:space="preserve">Терапевтичний корпус на 50 ліжок Городоцької центральної районної лікарні по вул. Коцюбинського, 18, у тому числі проектно-кошторисна документація — добудова до існуючих корпусів
</t>
  </si>
  <si>
    <t xml:space="preserve">Дитячий садок, с. Милятичі Пустомитівського району — реконструкція
</t>
  </si>
  <si>
    <t>№1 від 12.2016 р.</t>
  </si>
  <si>
    <t xml:space="preserve">Комплекс будівель (військовий комісаріат) по вул. Галицька, 26а, м. Перемишляни — реконструкція
</t>
  </si>
  <si>
    <t>№4 від 22.12.2016</t>
  </si>
  <si>
    <t xml:space="preserve">Дошкільний навчальний заклад (ясла-садок) на 150 місць, смт Великий Любінь Городоцького району — будівництво
</t>
  </si>
  <si>
    <t xml:space="preserve">Зовнішнє освітлення вулиць, с. Червоне Золочівського району — реконструкція
</t>
  </si>
  <si>
    <t>№1 від 29.07.16, №2 від 19.10.16, №3 від 05.12.16, №4 від 22.12.16, №5 від 26.12.16, №1, №2 від 05.12.16, №3 від 22.12.16</t>
  </si>
  <si>
    <t xml:space="preserve">Перша URBAN-бібліотека по вул. Бориславській, 36, м. Трускавець — реконструкція
</t>
  </si>
  <si>
    <t>№1 від 17.08.16, №2 від 31.10.16, №3 від 01.12.16, №4, №5, №6 від 20.12.16, №А-25-01/16, №А-26-01/16 від 15.04.16, №1 від 24.02.16, №А-21-11/16 від 21.12.16, №2 від 03.10.16</t>
  </si>
  <si>
    <t xml:space="preserve">Великий плавальний басейн з допоміжними приміщеннями дитячо-юнацької спортивної школи по вул. Сахарова, 2а, м. Дрогобич — реконструкція
</t>
  </si>
  <si>
    <t>2008-2016</t>
  </si>
  <si>
    <t>№4 від 28.12.2016</t>
  </si>
  <si>
    <t xml:space="preserve">Будівля інфекційного відділення Червоноградської центральної міської лікарні по вул. Івасюка, 2, м. Червоноград — реконструкція
</t>
  </si>
  <si>
    <t>2009-2016</t>
  </si>
  <si>
    <t>№2 від 25.11.16, №1 від 19.12.16, №1, №2 від 26.12.16 №2 від 27.12.16, №4 від 26.12.16 №3, №4 від 27.12.16, №4, №5, №6 від 26.12.16</t>
  </si>
  <si>
    <t xml:space="preserve">Школа, с. Сторона Дрогобицького району — добудова з реконструкцією системи опалення із застосуванням енергозберігаючих технологій
</t>
  </si>
  <si>
    <t>2006-2017</t>
  </si>
  <si>
    <t>№1 від 04.16 р., №1, №2, №3, №4, №5, №6, №7 від 08.16 р.</t>
  </si>
  <si>
    <t xml:space="preserve">Загальноосвітня школа I-III ступеня на 480 учнівських місць, с. Либохора Турківського району — будівництво
</t>
  </si>
  <si>
    <t xml:space="preserve">Навчальний корпус Лосинецької загальноосвітньої школи I-II ступеня Турківського району — реконструкція з будівництвом котельні
</t>
  </si>
  <si>
    <t>2005-2017</t>
  </si>
  <si>
    <t>№1 від 01.12.16, №1 -ТН від 14.12.16,  №1(а), №2 від 19.16.16</t>
  </si>
  <si>
    <t xml:space="preserve">Загальна середня школи I-II ступеня, с. Спас Старосамбірського району — реконструкція з впровадженням енергозберігаючих заходів
</t>
  </si>
  <si>
    <t>№1 від 06.09.16, №2 від 18.11.16, №3 від 05.12.16 №4 від 27.12.16</t>
  </si>
  <si>
    <t xml:space="preserve">Загальна середня школа I-III ступеня, с. Нове Місто Старосамбірського району — реконструкція з впровадженням енергозберігаючих заходів
</t>
  </si>
  <si>
    <t>№1 від 07.09.16, №2 від 26.09.16, №3 від 17.10.16, №4 від 28.11.16, №5 від 23.12.16</t>
  </si>
  <si>
    <t xml:space="preserve">Корналовицька середня загальноосвітня школа I-III ступеня, Самбірський район — реконструкція з метою влаштування Корналовицького навчально-виховного комплексу “Середня загальноосвітня школа I-II ступеня - дошкільний навчальний заклад”
</t>
  </si>
  <si>
    <t>№1 від 31.08.16, №2 від 26.09.16 №3 від 24.11.16</t>
  </si>
  <si>
    <t xml:space="preserve">Влаштування модульних котелень у Новострілищанській загальноосвітній школі I-III ступеня, смт Нові Стрілища Жидачівського району (коригування)
</t>
  </si>
  <si>
    <t xml:space="preserve">Верхньорожанська школа I-II ступеня на 180 учнівських місць, с. Верхня Рожанка Сколівського району — реконструкція з добудовою
</t>
  </si>
  <si>
    <t xml:space="preserve">Народний дім, м. Добромиль Старосамбірського району — реконструкція з впровадженням енергозберігаючих заходів
</t>
  </si>
  <si>
    <t>№1 від 02.09.16, №2 від 07.10.16, №3 від 15.11.16, №4 від 28.12.16</t>
  </si>
  <si>
    <t xml:space="preserve">Блажівський навчально-виховний комплекс “Середня загальноосвітня школа I-III ступеня - дошкільний навчальний заклад”, с. Блажів Самбірського району — реконструкція даху
</t>
  </si>
  <si>
    <t>№1 від 15.08.16, №2 від 31.08.16, №3 від 27.09.16, №4 від 29.09.16, №5 від 11.16 р.</t>
  </si>
  <si>
    <t xml:space="preserve">Незавершена будівля дитячого садка під Народний дім “Просвіта” та амбулаторію по вул. Л. Українки, с. Вільшаник Самбірського району — реконструкція
</t>
  </si>
  <si>
    <t xml:space="preserve">Рудківська середня загальноосвітня школа I-III ступеня імені Володимира Жеребного Самбірського району — реконструкція
</t>
  </si>
  <si>
    <t>№1/26/08 від 26.08.16, №2/11/10 від 11.10.16, №3/01/11 від 01.11.16, №4/17/11 від 17.11.16, №5/12/12 від 12.12.16, №6/21-12 від 21.12.16</t>
  </si>
  <si>
    <t xml:space="preserve">Дошкільний навчальний заклад № 1 по вулиці Героя України Богдана Сольчаника, 7, м. Старий Самбір — реконструкція
</t>
  </si>
  <si>
    <t>№1 від 21.10.16, №2 від 07.11.16, №3 від 15.12.16, №4 від 27.12.16</t>
  </si>
  <si>
    <t xml:space="preserve">Зруйнований міст, с. Заріччя Старосамбірського району — реконструкція з розчисткою русла ріки
</t>
  </si>
  <si>
    <t>2004-2016</t>
  </si>
  <si>
    <t>№7 від 14.11.2016, №8 від 27.12.2016</t>
  </si>
  <si>
    <t xml:space="preserve">Загальноосвітня школа I-II ступеня по вул. Річна, 1, с. Бортятин Мостиського району — реконструкція з добудовою
</t>
  </si>
  <si>
    <t>№8, №8а, №9, №9а, №10 від 18.10.16, №11, №12, №13 від 01.11.16, №16, №16а від 28.12.16</t>
  </si>
  <si>
    <t xml:space="preserve">Закупівля модульної твердопаливної котельні для підвищення енергонезалежності Міженецької об’єднаної територіальної громади через використання відновлювальних джерел енергії, Старосамбірський район
</t>
  </si>
  <si>
    <t>акт б/н від 06.11.2016</t>
  </si>
  <si>
    <t xml:space="preserve">Організація збору твердих побутових відходів, м. Судова Вишня Мостиського району
</t>
  </si>
  <si>
    <t>накл.№РН-1409, №РН-1410 від 14.09.2016, №27 від 20.09.2016</t>
  </si>
  <si>
    <t xml:space="preserve">Середня загальноосвітня школа I-III ступеня, с. Воютичі Самбірського району — реконструкція з добудовою спортивного залу
</t>
  </si>
  <si>
    <t>№1/11 від 11.08.16,  №2/14/09 від 29.09.16, №3/19/10 від 19.10.16, №4/15-11 від 15.11.16, №5/7-12 від 06.12.16, №6/26 від 27.12.16, №7/8-1, №8/7-15 від 28.12.16</t>
  </si>
  <si>
    <t xml:space="preserve">Народний дім, с. Старява Старосамбірського району — реконструкція з впровадженням енергозберігаючих заходів
</t>
  </si>
  <si>
    <t>№1 від 05.09.16, №2 від 26.10.16, №3 від 10.11.16, №4 від 22.11.16, №5 від 02.12.16</t>
  </si>
  <si>
    <t xml:space="preserve">Неповна середня школа на 150 учнівських місць, с. Коростів Сколівського району — завершення будівництва
</t>
  </si>
  <si>
    <t xml:space="preserve">Судововишнянський навчально-виховний комплекс, м. Судова Вишня Мостиського району — реконструкція приміщення головного корпусу
</t>
  </si>
  <si>
    <t>№СФ-0006 від 01.08.16, №1 від 26.08.16, №2 від 14.09.16, №2 від 07.10.16, №4 від 01.11.16, №5 від 28.12.16</t>
  </si>
  <si>
    <t xml:space="preserve">Вуличне освітлення та відеоспостереження із застосуванням енергозберігаючих технологій, с. Горішній Пустомитівського району — будівництво
</t>
  </si>
  <si>
    <t>№1 від 16.08.16, №2 від 17.08.16, №3 від 10.16 р.</t>
  </si>
  <si>
    <t xml:space="preserve">декларація від 07.10.2016 № ДО 2-10470/Д </t>
  </si>
  <si>
    <t xml:space="preserve">Мережа водопостачання по вул. Лесі Українки із заміною ділянки водопроводу від водонапірної вежі до існуючого водопровідного колодязя (ВК36), смт Нові Стрілища Жидачівського району — реконструкція
</t>
  </si>
  <si>
    <t xml:space="preserve">Дошкільний навчальний заклад, с. Підгайчики Самбірського району — реконструкція з розширенням за рахунок надбудови
</t>
  </si>
  <si>
    <t>№5 від 03.08.16, №5 від 29.08.16, №6, №7 від 03.10.16, №8 від 27.10.16, №9, №9/1 від 14.11.16, №10, №11 від 29.11.16, №12, №12-0, №13 від 21.12.16</t>
  </si>
  <si>
    <t xml:space="preserve">Районна лікарня “Хоспіс”, с. Сіде Самбірського району — реконструкція
</t>
  </si>
  <si>
    <t>№1 від 29.08.16, №2 від 08.09.16, №3 від 21.10.16, №4 від 22.12.16, накл.№84, №85, №86, №89, №90, №2а від 26.12.16</t>
  </si>
  <si>
    <t xml:space="preserve">Хірургічне відділення на 40 ліжок Старосамбірської центральної районної лікарні по вул. Дністровій, м. Старий Самбір — реконструкція будівлі
</t>
  </si>
  <si>
    <t xml:space="preserve">Школа в смт Гніздичів Жидачівського району — будівництво
</t>
  </si>
  <si>
    <t>МИКОЛАЇВСЬКА</t>
  </si>
  <si>
    <t xml:space="preserve">Спортивний корпус спеціалізованої дитячо-юнацької школи олімпійського резерву з адміністративно-побутовою будівлею по просп. Героїв Сталінграда, 4, м. Миколаїв — будівництво
</t>
  </si>
  <si>
    <t>декларація від 11.01.17 №МК 143170110343</t>
  </si>
  <si>
    <t xml:space="preserve">Загальноосвітня школа I-III ступеня № 3 по вул. Титова, 4, м. Вознесенськ — реконструкція частини приміщень другого поверху під дитячий навчальний заклад
</t>
  </si>
  <si>
    <t>серпень 2017 р.</t>
  </si>
  <si>
    <t xml:space="preserve">Створення умов для обслуговування пільгової категорії населення по вул. Фелікса Дзержинського, 6а, м. Первомайськ
</t>
  </si>
  <si>
    <t>№11 від 15.12.2016</t>
  </si>
  <si>
    <t xml:space="preserve">Дошкільний навчальний заклад № 5 по вул. Корабельній, 21а, м. Первомайськ — реконструкція покрівлі
</t>
  </si>
  <si>
    <t>№32-16 від 12.12.2016</t>
  </si>
  <si>
    <t>декларація від 27.12.16 №МК 143163622791</t>
  </si>
  <si>
    <t xml:space="preserve">Корпус центру дитячої реабілітації та корпус хоспісу Баштанської центральної районної лікарні по вул. Ювілейній, 3, м. Баштанка — реконструкція з добудовою під хоспіс
</t>
  </si>
  <si>
    <t xml:space="preserve">Топкова для дитячого садка, сільської ради та фельдшерсько-акушерського пункту, с. Миколаївське Жовтневого району — реконструкція
</t>
  </si>
  <si>
    <t>б/н від 19.12.2016</t>
  </si>
  <si>
    <t xml:space="preserve">Каналізаційний колектор, с-ще Полігон Жовтневого району — реконструкція
</t>
  </si>
  <si>
    <t xml:space="preserve">Пересадівська загальноосвітня школа I-III ступеня, Жовтневий район — реконструкція системи опалення
</t>
  </si>
  <si>
    <t>б/н від 17.11.2016</t>
  </si>
  <si>
    <t xml:space="preserve">Мішково-Погорілівська загальноосвітня школа I-II ступеня по вул. Інгульській, 78, с. Мішково-Погорілове Жовтневого району — будівництво корпусу спортзалу з навчальними класами
</t>
  </si>
  <si>
    <t xml:space="preserve">Магістральний водопровід по вулицях Гагаріна та Жовтневій, с-ще Казанка Казанківського району — будівництво
</t>
  </si>
  <si>
    <t>№1/1 від 27.12.2016</t>
  </si>
  <si>
    <t xml:space="preserve">Водопровідна мережа, с. Нововолодимирівка Казанківського району — будівництво
</t>
  </si>
  <si>
    <t>б/н від 22.12.2016</t>
  </si>
  <si>
    <t xml:space="preserve">Дошкільний навчальний заклад “Теремок” по вул. Миру, 176, смт Казанка — реконструкція системи опалення
</t>
  </si>
  <si>
    <t xml:space="preserve">Загальноосвітня школа № 2 по вул. Миру, смт Казанка — реконструкція системи опалення
</t>
  </si>
  <si>
    <t xml:space="preserve">Кривоозерська загальноосвітня школа I-III ступеня № 1 по вул. Леніна, 153а, смт Криве Озеро — реконструкція системи опалення, переведення на електричне опалення
</t>
  </si>
  <si>
    <t xml:space="preserve">Кривоозерська центральна районна лікарня по вул. Шевченка, 59, смт Криве Озеро — реконструкція існуючої системи електроопалення на енергозберігаючу систему
</t>
  </si>
  <si>
    <t xml:space="preserve">Первомайська центральна районна лікарня по вул. Луначарського, 28, м. Первомайськ — реконструкція
</t>
  </si>
  <si>
    <t xml:space="preserve">Баштанська центральна районна лікарня, м. Баштанка — дооснащення клініко-діагностичної лабораторії і створення на її базі лабораторії другого рівня для ранньої діагностики туберкульозу
</t>
  </si>
  <si>
    <t>б/н від 30.12.2016</t>
  </si>
  <si>
    <t xml:space="preserve">Водопровідна мережа, с. Суха Балка Доманівського району — реконструкція
</t>
  </si>
  <si>
    <t xml:space="preserve">Єланецька гуманітарна гімназія по вул. Горького, 25, смт Єланець — реконструкція з впровадженням енергозберігаючих заходів з теплосанації будівлі та встановлення електричного теплоакумулюючого опалення
</t>
  </si>
  <si>
    <t xml:space="preserve">Оперативно-диспетчерська служба центру екстреної медичної допомоги та медицини катастроф, м. Миколаїв — технічне переоснащення та підключення до телекомунікаційної мережі загального користування
</t>
  </si>
  <si>
    <t>№1,№2,№3 від 26.12.16</t>
  </si>
  <si>
    <t xml:space="preserve">Схема планування території Миколаївської області — внесення змін
</t>
  </si>
  <si>
    <t xml:space="preserve">Миколаївська обласна дитяча інфекційна лікарня по вул. 9 Повздовжній, 10а, м. Миколаїв — реконструкція з впровадженням сонячних вакуумних систем (колекторів) для гарячого водопостачання (використання альтернативних джерел енергії)
</t>
  </si>
  <si>
    <t>ОДЕСЬКА</t>
  </si>
  <si>
    <t xml:space="preserve">Автомобільна дорога загального користування державного значення М-15 Одеса - Рені (на Бухарест), км 150 + 000 - км 156 + 000 — поточний середній ремонт
</t>
  </si>
  <si>
    <t>№1 від 10.11.2016</t>
  </si>
  <si>
    <t>акт вводу №1АВ/2016 від 10.11.16</t>
  </si>
  <si>
    <t xml:space="preserve">Автомобільна дорога загального користування державного значення М-15 Одеса - Рені (на Бухарест), км 156 + 000 - км 161 + 000 — поточний середній ремонт
</t>
  </si>
  <si>
    <t>№1 від 29.07.2016</t>
  </si>
  <si>
    <t>акт вводу №10АВ/2016 від 27.12.16</t>
  </si>
  <si>
    <t xml:space="preserve">Автомобільна дорога загального користування державного значення М-15 Одеса - Рені (на Бухарест), км 179 + 000 - км 184 + 000 — поточний середній ремонт
</t>
  </si>
  <si>
    <t>№1 від 12.10.2016</t>
  </si>
  <si>
    <t>акт вводу №8АВ/2016 від 08.12.16</t>
  </si>
  <si>
    <t>ПОЛТАВСЬКА</t>
  </si>
  <si>
    <t xml:space="preserve">Полтавський обласний клінічний кардіологічний диспансер по вул. Макаренка, 1а, 1б, у м. Полтаві (корпус інтервенційної кардіології та реабілітації) — реконструкція
</t>
  </si>
  <si>
    <t xml:space="preserve">Будівля по вул. Гагаріна, 14, у м. Кременчуці — реконструкція під центр муніципальних послуг
</t>
  </si>
  <si>
    <t xml:space="preserve">Апарат штучної вентиляції легень для новонароджених і дітей для Гадяцької центральної районної лікарні по вул. Лохвицькій, 1, у м. Гадячі — придбання
</t>
  </si>
  <si>
    <t>накл.№9915 від 05.09.16</t>
  </si>
  <si>
    <t xml:space="preserve">Міст через р. Хорол загальною довжиною 116 метрів по вул. Гоголя, у м. Миргороді — реконструкція
</t>
  </si>
  <si>
    <t xml:space="preserve">Горбанівський геріатричний пансіонат ветеранів війни та праці, Полтавський район — термомодернізація будівель та реконструкція системи теплопостачання (блок № 2)
</t>
  </si>
  <si>
    <t xml:space="preserve">Водопровідна мережа від вул. Молодіжної до водонапірної вежі (район “Залізниця”), смт Машівка — будівництво
</t>
  </si>
  <si>
    <t xml:space="preserve">Система водопостачання мікрорайону “Золотнишине”, м. Комсомольськ — реконструкція
</t>
  </si>
  <si>
    <t xml:space="preserve">Генеральний план с. Великі Сорочинці Миргородського району — розроблення
</t>
  </si>
  <si>
    <t>акт в/р №А1210-16 від 19.12.16</t>
  </si>
  <si>
    <t xml:space="preserve">Загальноосвітня школа I-III ступеня, с. Михайлики Шишацького району — проведення реконструкції (санації) будівлі
</t>
  </si>
  <si>
    <t xml:space="preserve">Екскаватор-погрузчик для експлуатації системи комунальних водогонів і каналізації для комбінату комунальних підприємств, м. Глобине — придбання
</t>
  </si>
  <si>
    <t>акт п/п №КМ-00010086 від 16.12.16</t>
  </si>
  <si>
    <t xml:space="preserve">Спеціалізований автомобіль “Швидка медична допомога” для Білоцерківської амбулаторії загальної практики сімейної медицини, Великобагачанський район — придбання
</t>
  </si>
  <si>
    <t>накл.№399 від 20.12.16</t>
  </si>
  <si>
    <t xml:space="preserve">Нежитлова будівля - будинок для одиноких людей похилого віку по вул. Щорса, 12, у смт Семенівка — реконструкція
</t>
  </si>
  <si>
    <t xml:space="preserve">Шкільний автобус для Шишаківської загальноосвітньої школи I-III ступеня Клепачівської сільської ради, с. Клепачі Хорольського району — придбання
</t>
  </si>
  <si>
    <t>акт п/п б/н від 23.08.16</t>
  </si>
  <si>
    <t xml:space="preserve">Шкільний автобус для Петракіївського навчально-виховного комплексу, Хорольський район — придбання
</t>
  </si>
  <si>
    <t>липень 2016 р.</t>
  </si>
  <si>
    <t>акт п/п б/н від 20.07.16</t>
  </si>
  <si>
    <t xml:space="preserve">Школа по вул. Комсомольській, 1, у м. Заводському Лохвицького району — будівництво
</t>
  </si>
  <si>
    <t xml:space="preserve">Зовнішнє освітлення (від трансформаторної підстанції-435, трансформаторної підстанції-168, трансформаторної підстанції-173), с. Рокитне Кременчуцького району — будівництво
</t>
  </si>
  <si>
    <t>№168Р/1 від 22.12.2016</t>
  </si>
  <si>
    <t xml:space="preserve">Водогін системи водопостачання та водовідведення по вулицях Садовій, Радянської армії, Першотравневій, Леонова, Комунарів, Вишневій та Шкільній у с. Омельник Кременчуцького району — будівництво
</t>
  </si>
  <si>
    <t>РІВНЕНСЬКА</t>
  </si>
  <si>
    <t xml:space="preserve">Водопровідні мережі в мікрорайонах Страклова, Волиці, М’ясокомбінату в м. Дубному — будівництво
</t>
  </si>
  <si>
    <t>декларація від 26.12.16 №РВ 143163611046</t>
  </si>
  <si>
    <t xml:space="preserve">Котельня по вул. Грушевського, 170в, у м. Дубному — реконструкція
</t>
  </si>
  <si>
    <t>декларація від 28.12.16 №РВ 143163630053</t>
  </si>
  <si>
    <t xml:space="preserve">Комунальний заклад “Володимирецька центральна районна лікарня”, смт Володимирець — реконструкція котельні
</t>
  </si>
  <si>
    <t>декларація від 26.12.16 №РВ 143163611186</t>
  </si>
  <si>
    <t xml:space="preserve">Дитячий садок по вул. І. Франка, 45а, у с. Дубляни Демидівського району — реконструкція
</t>
  </si>
  <si>
    <t xml:space="preserve">Незавершене будівництво школи по вул. Шкільній, 15, у с. Горбаків Гощанського району — реконструкція під загальноосвітню школу I-III ступеня
</t>
  </si>
  <si>
    <t xml:space="preserve">Комунальний заклад “Зарічненська центральна районна лікарня” по вул. Аерофлотській, 15, у смт Зарічне — реконструкція фасаду (термореновація будівлі)
</t>
  </si>
  <si>
    <t xml:space="preserve">Дитячий садок на 150 місць по вул. Центральній, у смт Оржів Рівненського району — будівництво
</t>
  </si>
  <si>
    <t xml:space="preserve">Школа на 226 учнівських місць по вул. Шевченка, 45, у с. Пісків Костопільського району — будівництво
</t>
  </si>
  <si>
    <t xml:space="preserve">Середня школа на 550 учнівських місць, с. Шпанів Рівненського району — будівництво (друга черга, 299 учнівських місць)
</t>
  </si>
  <si>
    <t xml:space="preserve">Загальноосвітня школа на 796 учнівських місць, с. Глинне Рокитнівського району — будівництво (друга черга)
</t>
  </si>
  <si>
    <t>сертифікат від 27.12.2016 серія ІV № 165163623270</t>
  </si>
  <si>
    <t xml:space="preserve">Школа, с. Тинне Сарненського району — будівництво (друга черга, 1100 учнівських місць)
</t>
  </si>
  <si>
    <t>б/н від 05.12.2016</t>
  </si>
  <si>
    <t>сертифікат від 22.12.2016 серія  ІV № 165163572620</t>
  </si>
  <si>
    <t>СУМСЬКА</t>
  </si>
  <si>
    <t xml:space="preserve">Гараж на 26 санітарних автомобілів комунального закладу Сумської обласної ради “Сумський обласний центр екстреної медичної допомоги та медицини катастроф”, м. Суми — реконструкція
</t>
  </si>
  <si>
    <t>№25, 26, 27, 28, 29, 30 від 28.12.16</t>
  </si>
  <si>
    <t>декларація від 04.01.17 №СМ 143170040021</t>
  </si>
  <si>
    <t xml:space="preserve">Добудова обласного психоневрологічного диспансеру, м. Суми (друга черга). Пускові комплекси № 1 і 2
</t>
  </si>
  <si>
    <t xml:space="preserve">пусковий №1: №60, 61, 62 від 26.12.16, №12, 13, 14 від 27.12.16;
пусковий №2: №16, 17, 18, 19, 20 від 26.12.16 </t>
  </si>
  <si>
    <t>пусковий №1 - декларація від 04.01.2017 №СМ 143170040042; пусковий №2 - документація оформлюється</t>
  </si>
  <si>
    <t xml:space="preserve">Водогін по вул. Рильський Шлях - вул. Хреннікова, м. Глухів — будівництво
</t>
  </si>
  <si>
    <t xml:space="preserve">№1 від 13.10.2016; №2 від 29.11.2016 </t>
  </si>
  <si>
    <t xml:space="preserve">Дорога по вул. Робітничо-Селянській, м. Конотоп — капітальний ремонт
</t>
  </si>
  <si>
    <t xml:space="preserve">Дорога по вул. Євгенія Бірюкова, м. Конотоп — капітальний ремонт
</t>
  </si>
  <si>
    <t xml:space="preserve">акт № 1 від 13.10.2016; 
акт № 2 від 29.11.2016 </t>
  </si>
  <si>
    <t>декларація від 23.11.16 №СМ 141163280604</t>
  </si>
  <si>
    <t xml:space="preserve">Дорога по вул. Паризької Комуни, м. Конотоп — капітальний ремонт
</t>
  </si>
  <si>
    <t>декларація від 23.11.16 №СМ 141163280544</t>
  </si>
  <si>
    <t xml:space="preserve">Центральна районна лікарня по вул. Петровського, 15, м. Охтирка (розширення). Пусковий комплекс № 5. Нове будівництво головного корпусу. Підвал, приймальне відділення, відділення фізіотерапевтичне, травматолого-ортопедичне, отоларингологічне
</t>
  </si>
  <si>
    <t>1990-2017</t>
  </si>
  <si>
    <t xml:space="preserve">№41, 42 від 23.12.16, №43, 44, від 27.12.16 </t>
  </si>
  <si>
    <t xml:space="preserve">Каналізаційна мережа центральної частини (вул. Соборна), м. Ромни — будівництво
</t>
  </si>
  <si>
    <t xml:space="preserve">Котельня по вул. Полтавська, 32, м. Ромни — реконструкція
</t>
  </si>
  <si>
    <t>№1 від 21.11.16;№3, №5 від 28.12.16; №4 від 29.12.16; №1/46/191 від 19.12.16; №2/46/191 від 28.12.16</t>
  </si>
  <si>
    <t xml:space="preserve">Котельня № 3 по вул. Воронізькій, 38, та теплові мережі по вул. Горького, м. Шостка — реконструкція в частині тепломережі по вул. Горького (вузол тепловий 309 - вузол тепловий 331)
</t>
  </si>
  <si>
    <t>№1 від 28.12.2016; №10 від 23.12.2016; №5 від 27.07.2016</t>
  </si>
  <si>
    <t xml:space="preserve">Вул. Степова, м. Шостка — реконструкція
</t>
  </si>
  <si>
    <t>№1 від 29.11.2016; №2 від 22.11.2016</t>
  </si>
  <si>
    <t xml:space="preserve">Електричні мережі до індустріального парку “Свема”, м. Шостка — будівництво
</t>
  </si>
  <si>
    <t xml:space="preserve">№1 від 16.12.2016; №1 від 28.12.2016; №1 від 28.12.2016 </t>
  </si>
  <si>
    <t xml:space="preserve">Дороги до індустріального парку “Свема”, м. Шостка — реконструкція
</t>
  </si>
  <si>
    <t>№37 від 29.08.2016; №66 від 23.12.2016</t>
  </si>
  <si>
    <t xml:space="preserve">Лікарня по вул. Поповича, 33, смт Жовтневе Білопільського району — реконструкція котельні на твердому паливі
</t>
  </si>
  <si>
    <t>№1, 2, 3, 4 від 26.12.16</t>
  </si>
  <si>
    <t xml:space="preserve">Каналізаційна насосна станція № 1 і каналізаційний напірний колектор, м. Білопілля — реконструкція
</t>
  </si>
  <si>
    <t xml:space="preserve">Вуличне освітлення на сонячних батареях, с. Верхосулка Білопільського району — будівництво
</t>
  </si>
  <si>
    <t>№1 від 14.11.2016</t>
  </si>
  <si>
    <t>декларація від 16.12.16 №СМ 141163512463</t>
  </si>
  <si>
    <t xml:space="preserve">Вуличне освітлення по вулицях Чехова і Леніна, м. Ворожба Білопільського району — реконструкція
</t>
  </si>
  <si>
    <t>декларація від 16.12.16 №СМ 142163511026</t>
  </si>
  <si>
    <t xml:space="preserve">Буринська районна центральна лікарня по вул. Кутузова, 15, м. Буринь — капітальний ремонт із заміною вікон на металопластикові
</t>
  </si>
  <si>
    <t>№1 від 12.12.2016; №2 від 26.12.2016; №3 від 26.12.2016</t>
  </si>
  <si>
    <t>декларація від 28.12.16 №СМ 142163633670</t>
  </si>
  <si>
    <t xml:space="preserve">Сільська лікарська амбулаторія комунального закладу Буринської районної ради “Центр первинної медико-санітарної допомоги Буринського району” по вул. Шкільній, 1б, с. Успенка Буринського району — капітальний ремонт покрівлі
</t>
  </si>
  <si>
    <t>№1 від 29.11.2016; №2 від 05.12.2016; №3 від 20.12.2016</t>
  </si>
  <si>
    <t xml:space="preserve">декларація від 28.12.16 №СМ 142163633559 </t>
  </si>
  <si>
    <t xml:space="preserve">Буринський дошкільний навчальний заклад № 2 “Джерельце”, м. Буринь — капітальний ремонт. Заміна вікон та утеплення фасаду
</t>
  </si>
  <si>
    <t>№1 від 17.10.16; №2 від 26.10.16; №3 від 18.11.16; №4 від 09.12.16</t>
  </si>
  <si>
    <t xml:space="preserve">Буринський дошкільний навчальний заклад № 1 “Ромашка”, м. Буринь — капітальний ремонт. Заміна вікон та утеплення фасаду
</t>
  </si>
  <si>
    <t xml:space="preserve">№1 від 16.09.16; №2 від 21.11.16 </t>
  </si>
  <si>
    <t xml:space="preserve">Водогін по вулицях Шкільній і Польовій, с. Біжівка Буринського району — капітальний ремонт
</t>
  </si>
  <si>
    <t xml:space="preserve">№1 від 10.05.16; №2 від 13.07.16; №3 від 28.10.16; №4 від 22.11.16; №5 від 01.12.16; №6 від 20.12.16  </t>
  </si>
  <si>
    <t xml:space="preserve">Кириківська загальноосвітня школа I-III ступеня, смт Кириківка Великописарівського району — капітальний ремонт системи теплопостачання з обладнанням твердопаливними котлами
</t>
  </si>
  <si>
    <t>№1 від 05.10.2016</t>
  </si>
  <si>
    <t>декларація від 22.12.16 №СМ 143163573359</t>
  </si>
  <si>
    <t xml:space="preserve">Будівля амбулаторії загальної практики сімейної медицини, с. Береза Глухівського району — реконструкція
</t>
  </si>
  <si>
    <t xml:space="preserve">Комунальний заклад сільський Будинок культури, с. Береза Глухівського району — реконструкція будівлі (фасад, внутрішнє опорядження)
</t>
  </si>
  <si>
    <t xml:space="preserve">№1 від 06.10.16; №2 від 26.10.16; №3 від 07.11.16; №3 від 22.11.16; №5 від 23.12.16 </t>
  </si>
  <si>
    <t xml:space="preserve">Схема планування території та генеральні плани населених пунктів Березівської об’єднаної територіальної громади Глухівського району — розробка
</t>
  </si>
  <si>
    <t>акти №1 від 09.08.16; №3 від 28.11.16; №2 від 01.12.16; №4 від 19.12.16; №6 від 22.12.16; №1 від 09.12.16; №2 від 19.12.16; №3 від 20.12.16; №4 від 22.12.16</t>
  </si>
  <si>
    <t xml:space="preserve">Розвиток первинної медико-санітарної допомоги в Березівській об’єднаній територіальній громаді (придбання спеціалізованих санітарних автомобілів для надання первинної медичної допомоги для амбулаторій загальної практики сімейної медицини сіл Береза та Шевченкове на території Березівської об’єднаної територіальної громади)
</t>
  </si>
  <si>
    <t>накл.№109 від 05.10.2016 
накл.№288 від 11.10.2016</t>
  </si>
  <si>
    <t xml:space="preserve">Розвиток комунального підприємства з обслуговування мереж водогонів, благоустрою у сільській місцевості (комунальне підприємство “Господар 1” Березівської об’єднаної територіальної громади)
</t>
  </si>
  <si>
    <t>накл.№ВК45 від 16.08.2016 
накл.№6 від 18.10.2016 
накл.№32 від 17.10.2016</t>
  </si>
  <si>
    <t xml:space="preserve">Впровадження системи роздільного збирання твердих побутових відходів як один з ефективних заходів щодо подальшого існування та розвитку Березівської об’єднаної територіальної громади в умовах існування сприятливого навколишнього середовища (комунальне підприємство “Шевченківське” Березівської об’єднаної територіальної громади)
</t>
  </si>
  <si>
    <t>накл.№15 від 23.08.2016</t>
  </si>
  <si>
    <t xml:space="preserve">Артезіанська свердловина для водопостачання населення, с. Сваркове Глухівського району — будівництво
</t>
  </si>
  <si>
    <t>№97 від 22.12.2016</t>
  </si>
  <si>
    <t>декларація від 30.12.16 №СМ 14316335068</t>
  </si>
  <si>
    <t xml:space="preserve">Вуличне освітлення, с. Студенок Глухівського району — реконструкція
</t>
  </si>
  <si>
    <t>№815 від 19.12.2016</t>
  </si>
  <si>
    <t>декларація від 28.12.16 №СМ 143163610401</t>
  </si>
  <si>
    <t xml:space="preserve">Водогін, с. Кучерівка Глухівського району — реконструкція
</t>
  </si>
  <si>
    <t>№121 від 28.12.2016</t>
  </si>
  <si>
    <t xml:space="preserve">Вуличне освітлення, смт Шалигине Глухівського району — реконструкція
</t>
  </si>
  <si>
    <t>акт № 686 від 21.12.16</t>
  </si>
  <si>
    <t>декларація від 23.12.16 №СМ 142153573421</t>
  </si>
  <si>
    <t xml:space="preserve">Водопровідні мережі, с. Бондарі Конотопського району — будівництво
</t>
  </si>
  <si>
    <t>№1 від 14.06.16; 
№1 від 22.08.16; 
№2 від 14.09.16; 
№3 від 17.10.16; 
№1 від 31.10.16; 
№2 від 21.11.16</t>
  </si>
  <si>
    <t>декларація від 17.11.16 №СМ 143163220011</t>
  </si>
  <si>
    <t xml:space="preserve">Водопровідна мережа правого берега р. Куколка для забезпечення стабільного водопостачання по вулицях Мостовій, Невського, Суворова, Портовій, Широкій, Круговій, Мічуріна, Червоноармійській, Набережній, Чкалова, Червоній, Виконкомівській, Маяковського, Вигін, Ілліча та Журналістів з прилеглими провулками, с. Попівка Конотопського району — будівництво
</t>
  </si>
  <si>
    <t xml:space="preserve">Газова котельня по вул. Лермонтова, 39, смт Краснопілля — реконструкція із встановленням котла на твердому паливі потужністю 1,0 МВт
</t>
  </si>
  <si>
    <t>№1 від 20.12.2016; №2 від 26.12.2016</t>
  </si>
  <si>
    <t xml:space="preserve">Центральна котельня по вул. Перемоги, 2а, смт Краснопілля — реконструкція
</t>
  </si>
  <si>
    <t>№1 від 03.11.16; 
№2 від 08.12.16; 
№3 від 14.12.16; 
№4 від 20.12.16; 
№5 від 28.12.16; 
№6 від 28.12.16</t>
  </si>
  <si>
    <t xml:space="preserve">Водогін, с. Хмелівка Краснопільського району — будівництво
</t>
  </si>
  <si>
    <t>№1 від 31.10.16; №2 від 14.11.16; №3 від 30.11.16</t>
  </si>
  <si>
    <t>декларація від 19.12.16 №СМ 142163543416</t>
  </si>
  <si>
    <t xml:space="preserve">Центр дозвілля Ярославецької сільської ради, с. Ярославець Кролевецького району — капітальний ремонт будівлі. Проведення заходів з енергозбереження
</t>
  </si>
  <si>
    <t xml:space="preserve">№4 від 14.12.2016; №54-ТН; №54-АН </t>
  </si>
  <si>
    <t xml:space="preserve">Дубовицький сільський Будинок культури, с. Дубовичі Кролевецького району — капітальний ремонт покрівлі
</t>
  </si>
  <si>
    <t>№82 від 16.12.2016</t>
  </si>
  <si>
    <t xml:space="preserve">Буйвалівський сільський Будинок культури, с. Буйвалове Кролевецького району — капітальний ремонт даху
</t>
  </si>
  <si>
    <t>№51-ТН від 12.12.2016</t>
  </si>
  <si>
    <t xml:space="preserve">Яровський сільський Будинок культури, с. Ярове Кролевецького району — капітальний ремонт
</t>
  </si>
  <si>
    <t>№15 від 13.12.2016</t>
  </si>
  <si>
    <t xml:space="preserve">Бистрицький сільський Будинок культури, с. Бистрик Кролевецького району — капітальний ремонт
</t>
  </si>
  <si>
    <t>№709 від 13.12.2016</t>
  </si>
  <si>
    <t xml:space="preserve">Хірургічне відділення центральної районної лікарні імені К.О. Зільберника по вул. Першогвардійській, 18 (корпус № 1), м. Лебедин — реконструкція системи опалення з будівництвом топкової на альтернативних видах палива
</t>
  </si>
  <si>
    <t>№2 від 09.16 р.; №2 від 10.16 р.</t>
  </si>
  <si>
    <t xml:space="preserve">Інфекційне відділення та відділення бактеріологічної лабораторії центральної районної лікарні імені К.О. Зільберника по вул. Першогвардійській, 18 (корпус № 2), м. Лебедин — реконструкція системи опалення з будівництвом топкової на альтернативних видах палива
</t>
  </si>
  <si>
    <t>№1 від 09.16 р.; №1 від 10.16 р.</t>
  </si>
  <si>
    <t xml:space="preserve">Тепломережа центральної районної лікарні, смт Липова Долина — реконструкція
</t>
  </si>
  <si>
    <t>№03/12 від 13.12.2016</t>
  </si>
  <si>
    <t xml:space="preserve">Тепломережа, с. Синівка Липоводолинського району — реконструкція
</t>
  </si>
  <si>
    <t>травень 2017 р.</t>
  </si>
  <si>
    <t>№1 від 08.10.16; №2 від 05.12.16; №3 від 23.12.16</t>
  </si>
  <si>
    <t xml:space="preserve">Дошкільний навчальний заклад (ясла-садок) “Сонечко”, с. Коровинці Недригайлівського району — реконструкція будівлі. Утеплення фасадів, горищ, заміна вікон
</t>
  </si>
  <si>
    <t>№1 від 21.10.16; №2 від 09.11.16; №3 від 18.11.16</t>
  </si>
  <si>
    <t>декларація від 21.12.16 №СМ 143163561556</t>
  </si>
  <si>
    <t xml:space="preserve">Дошкільний навчальний заклад (ясла-садок) “Ромашка”, с. Вільшана Недригайлівського району — реконструкція будівлі. Утеплення фасадів, горищ, заміна вікон
</t>
  </si>
  <si>
    <t xml:space="preserve">Дошкільний навчальний заклад (ясла-садок) “Барвінок”, с. Грунь Охтирського району — реконструкція теплогенераторної з встановленням твердопаливних котлів
</t>
  </si>
  <si>
    <t>№1 від 05.10.16; №2 від 21.10.16; №3 від 21.10.16</t>
  </si>
  <si>
    <t>декларація від 15.11.16 №СМ 142163201729</t>
  </si>
  <si>
    <t xml:space="preserve">Амбулаторія, с. Нова Слобода Путивльського району — капітальний ремонт
</t>
  </si>
  <si>
    <t xml:space="preserve">Музей горюнської культури, с. Нова Слобода Путивльського району — реконструкція об’єктів
</t>
  </si>
  <si>
    <t xml:space="preserve">Водогін турбаза “Ярославна” - м. Путивль, вул. Горького, 73 (турбаза “Ярославна” - м. Путивль, вул. Дачна, газорозподільний пункт № 1) — будівництво
</t>
  </si>
  <si>
    <t>№ 2 від 30.11.2016</t>
  </si>
  <si>
    <t xml:space="preserve">Загальноосвітня школа I-II ступеня по вул. Герасимівській, 1, с. Герасимівка Роменського району — реконструкція
</t>
  </si>
  <si>
    <t>№2 від 21.12.16; 
№5, 6 від 21.12.16; 
№1 від 26.12.16; 
№1 від 16.05.16; 
№2 від 16.05.16; 
№20 від 17.12.16; 
№19 від 20.12.16; 
№1 від 08.06.16; 
№42 від 06.07.16; 
№1 від 05.10.16; 
№5 від 17.10.16</t>
  </si>
  <si>
    <t xml:space="preserve">Водопровідні мережі, с. Миколаївка Роменського району — будівництво
</t>
  </si>
  <si>
    <t>№1 від 19.12.2016</t>
  </si>
  <si>
    <t xml:space="preserve">Двоповерхова нежитлова будівля по вул. Перемоги, 21б, с. Бацмани Роменського району — реконструкція під центр дозвілля
</t>
  </si>
  <si>
    <t>квітень 2017 р.</t>
  </si>
  <si>
    <t xml:space="preserve">Приміщення сільського клубу, с. Уралове Середино-Будського району — капітальний ремонт
</t>
  </si>
  <si>
    <t>№1 від 17.10.16; №2 від 17.11.16; №3 від 12.12.16; №4 від 23.12.16</t>
  </si>
  <si>
    <t xml:space="preserve">Водогін по вул. Дзержинського, смт Степанівка Сумського району — будівництво
</t>
  </si>
  <si>
    <t>№1 від 03.10.16; №2 від 12.10.16; №3 від 17.10.16; №4 від 31.10.16; №5 від 14.11.16</t>
  </si>
  <si>
    <t xml:space="preserve">Водопровід по вулицях Мацака і Радянській, смт Степанівка Сумського району — будівництво
</t>
  </si>
  <si>
    <t>№2 від 31.10.16; №3 від 07.11.16; №6 від 22.11.16; №7 від 01.12.16; №8 від 12.12.16</t>
  </si>
  <si>
    <t xml:space="preserve">Верхньосироватська спеціалізована школа I-III ступеня, с. Верхня Сироватка Сумського району — реконструкція приміщень та будівель
</t>
  </si>
  <si>
    <t>№1 від 18.10.16; 
№2 від 20.10.16; 
№3 від 14.12.16; 
№4 від 27.12.16; 
№5 від 27.12.16</t>
  </si>
  <si>
    <t xml:space="preserve">Інженерні мережі водопостачання та водовідведення (до промислового парку “Тростянець”), м. Тростянець — будівництво
</t>
  </si>
  <si>
    <t>№69 від 17.10.16, №72 від 31.10.16, №80 від 08.11.16, №83 від 01.12.16, №87 від 06.12.16, №91 від 19.12.16, №35 від 23.12.16, №16 від 27.12.16, №1 від 27.12.16</t>
  </si>
  <si>
    <t xml:space="preserve">Білківська загальноосвітня школа I-III ступеня, с. Білка Тростянецького району — капітальний ремонт котельні із заміною котлів “Універсал-5” та “НІІСТУ-5” на сучасні твердопаливні котли
</t>
  </si>
  <si>
    <t>№1 від 09.16 р.; №1, №2 від 10.16 р.; №1 від 12.16 р.</t>
  </si>
  <si>
    <t xml:space="preserve">Ображіївський навчально-виховний комплекс, с. Ображіївка Шосткинського району — капітальний ремонт із заміною вікон
</t>
  </si>
  <si>
    <t xml:space="preserve">№1 від 08.09.16; №2 від 12.09.16; №3 від 22.09.16; №4 від 27.09.16 </t>
  </si>
  <si>
    <t xml:space="preserve">Каналізаційні колектори по вулицях Радянській, Новгород-Сіверській, Київській та Франка, смт Вороніж Шосткинського району — реконструкція
</t>
  </si>
  <si>
    <t xml:space="preserve">№1 від 15.09.16; №2 від 27.10.16; №3 від 27.10.16; №4 від 01.12.16; №5 від 15.12.16 </t>
  </si>
  <si>
    <t xml:space="preserve">Каналізаційний колектор та очисні споруди по вул. Молодіжній, 1-2, с. Собичеве Шосткинського району — капітальний ремонт
</t>
  </si>
  <si>
    <t>№1 від 01.12.16; №2 від 16.12.16</t>
  </si>
  <si>
    <t xml:space="preserve">Водогін по вулицях Береговій, Свердлова, Л. Чайкіної, Гагаріна та пров. Свердлова, смт Свеса Ямпільського району — будівництво
</t>
  </si>
  <si>
    <t xml:space="preserve">№1 від 31.10.16; №2 від 11.11.16; №3 від 15.12.16; №4 від 26.12.16 </t>
  </si>
  <si>
    <t xml:space="preserve">Гуртожиток для дитячо-юнацької спортивної школи “Футбольний центр “Барса”, м. Суми — будівництво (з виготовленням проектно-кошторисної документації)
</t>
  </si>
  <si>
    <t xml:space="preserve">№39, 39-1, 40, 40-1, 41, 41-1, 42, 43, 43-1, 44, 45, 45-1 від 26.12.16, №46-1 від 28.12.16 </t>
  </si>
  <si>
    <t xml:space="preserve">Михайлівська загальноосвітня школа I-III ступеня по вул. Трихліба, 14, с. Михайлівка Лебединського району — реконструкція системи опалення з встановленням твердопаливного котла
</t>
  </si>
  <si>
    <t xml:space="preserve">Котельня по вул. Л. Татаренка, 1б, в м. Тростянці — реконструкція
</t>
  </si>
  <si>
    <t>№РН-66 від 27.12.16, №17 від 27.12.16, №1-Н-65 від 27.12.16</t>
  </si>
  <si>
    <t>ТЕРНОПІЛЬСЬКА</t>
  </si>
  <si>
    <t xml:space="preserve">Реконструкція радіологічного корпусу з надбудовою для розміщення лабораторного комплексу та централізованої стерилізації комунального закладу Тернопільської обласної ради “Тернопільська університетська лікарня” по вул. Клінічній, 1, у м. Тернополі
</t>
  </si>
  <si>
    <t xml:space="preserve">Микулинецька обласна фізіотерапевтична лікарня реабілітації, Теребовлянський район — будівництво біологічних очисних споруд
</t>
  </si>
  <si>
    <t>б/н від 29.12.2016</t>
  </si>
  <si>
    <t>декларація від 29.12.16 №ТП 143163642660</t>
  </si>
  <si>
    <t xml:space="preserve">Чортківський державний медичний коледж по вул. Млинарській, 14а, у м. Чорткові — реконструкція гуртожитку з утепленням фасадів та влаштуванням шатрового даху
</t>
  </si>
  <si>
    <t xml:space="preserve">Оперативно-диспетчерська служба центру екстреної медичної допомоги та медицини катастроф у Тернопільській області по вул. Рєпіна, 11, у м. Тернополі — будівництво та підключення зазначеної служби до телекомунікаційної мережі загального користування м. Тернополя
</t>
  </si>
  <si>
    <t xml:space="preserve">Лікарняний корпус по вул. Пирогова, 16, у м. Тернополі — реконструкція під інфекційне відділення для дітей і дорослих та приміщення кафедри медичного університету з прибудовою сходової клітки та ліфта
</t>
  </si>
  <si>
    <t xml:space="preserve">Дамба Тернопільського ставу по вул. Руській у м. Тернополі — реконструкція
</t>
  </si>
  <si>
    <t xml:space="preserve">Будівля загальноосвітньої школи I-II ступеня по вул. Зеленій, 72, у с. Вільховець Бережанського району — реконструкція з утепленням стін і горищного перекриття та заміною вікон
</t>
  </si>
  <si>
    <t>б/н від 29.09.2016</t>
  </si>
  <si>
    <t xml:space="preserve">декларація від 29.09.16 №ТП 143162732009 </t>
  </si>
  <si>
    <t xml:space="preserve">Будівля навчально-виховного комплексу “Загальноосвітній навчальний заклад I-II ступеня - дошкільний навчальний заклад” по вул. Центральній, 117, у с. Літятин Бережанського району — реконструкція та утеплення горищного перекриття
</t>
  </si>
  <si>
    <t>б/н від 08.09.2016</t>
  </si>
  <si>
    <t>декларація від 08.09.16 №ТП 143162520103</t>
  </si>
  <si>
    <t xml:space="preserve">Урманський навчально-виховний комплекс “Загальноосвітній навчальний заклад I-II ступеня - дошкільний навчальний заклад”, Бережанський район — реконструкція паливної з встановленням котла на альтернативний вид палива потужністю 0,11 Гкал/год (енергоефективний проект розвитку)
</t>
  </si>
  <si>
    <t>декларація від 08.09.16 №ТП 143162520119</t>
  </si>
  <si>
    <t xml:space="preserve">Надрічнянська загальноосвітня школа I-II ступеня, Бережанський район — реконструкція даху, системи опалення і паливної з встановленням котла на альтернативний вид палива потужністю 0,06 Гкал/год (енергоефективний проект розвитку)
</t>
  </si>
  <si>
    <t>декларація від 08.09.16 №ТП 143162520154</t>
  </si>
  <si>
    <t xml:space="preserve">Тростянецька загальноосвітня школа I-II ступеня, Бережанський район — реконструкція паливної з встановленням котла на альтернативний вид палива потужністю 0,13 Гкал/год (енергоефективний проект розвитку)
</t>
  </si>
  <si>
    <t>б/н від 14.11.2016</t>
  </si>
  <si>
    <t>декларація від 14.11.16 №ТП 143163192486</t>
  </si>
  <si>
    <t xml:space="preserve">Куропатницький навчально-виховний комплекс “Загальноосвітній навчальний заклад I-III ступеня - дошкільний навчальний заклад”, Бережанський район — реконструкція паливної з встановленням твердопаливного котла потужністю 0,129 Гкал/год
</t>
  </si>
  <si>
    <t>декларація від 08.09.16 №ТП 143162520128</t>
  </si>
  <si>
    <t xml:space="preserve">Рекшинський навчально-виховний комплекс “Загальноосвітній навчальний заклад I-III ступеня - дошкільний навчальний заклад”, Бережанський район — реконструкція паливної з встановленням твердопаливного котла потужністю 0,129 Гкал/год
</t>
  </si>
  <si>
    <t>декларація від 08.09.16 №ТП 143162520112</t>
  </si>
  <si>
    <t xml:space="preserve">Мечищівська загальноосвітня школа I-III ступеня, Бережанський район — реконструкція паливної з встановленням твердопаливного котла потужністю 0,108 Гкал/год
</t>
  </si>
  <si>
    <t>декларація від 29.09.16 №ТП 143162731951</t>
  </si>
  <si>
    <t xml:space="preserve">Загальноосвітня школа I-III ступеня, с. Нараїв Бережанського району — будівництво котельні з піднавісом
</t>
  </si>
  <si>
    <t>декларація від 29.12.16 №ТП 143163642635</t>
  </si>
  <si>
    <t xml:space="preserve">Котельня з встановленням двох твердопаливних котлів загальною потужністю 0,43 Гкал/год для опалення комплексу будинків, с. Жуків Бережанського району — реконструкція
</t>
  </si>
  <si>
    <t>декларація від 14.11.16 №ТП 143163192499</t>
  </si>
  <si>
    <t xml:space="preserve">Загальноосвітня школа I-III ступеня по вул. Некрасова, 42, у с. Потутори Бережанського району — реконструкція даху
</t>
  </si>
  <si>
    <t>декларація від 08.09.16 №ТП 142162520178</t>
  </si>
  <si>
    <t xml:space="preserve">Слов’ятинський навчально-виховний комплекс “Загальноосвітній навчальний заклад I-III ступеня - дошкільний навчальний заклад”, Бережанський район — модернізація системи опалення з реконструкцією покрівлі (енергоефективний проект розвитку)
</t>
  </si>
  <si>
    <t>б/н від 08.11.2016</t>
  </si>
  <si>
    <t xml:space="preserve">Будинок культури по вул. Тихій, 1, у с. Котів Бережанського району — реконструкція даху з утепленням горищного перекриття
</t>
  </si>
  <si>
    <t xml:space="preserve">декларація від 29.09.16 №ТП 142162732018 </t>
  </si>
  <si>
    <t xml:space="preserve">Районний будинок культури та районна бібліотека для дорослих по вул. Грушевського, 2а, 2б, у м. Борщеві — реконструкція
</t>
  </si>
  <si>
    <t xml:space="preserve">Система водопостачання масиву житлової забудови в м. Борщеві (вулиці Підлісна, Незалежності, Сковороди і Тичини) — будівництво
</t>
  </si>
  <si>
    <t xml:space="preserve">Приміщення колишньої школи, с. Стінка Бучацького району — реконструкція з добудовою під дошкільний заклад на 40 місць
</t>
  </si>
  <si>
    <t xml:space="preserve">Будинок гімназії імені Гнатюка по вул. Шкільній, 4, у м. Бучачі — реконструкція
</t>
  </si>
  <si>
    <t>б/н від 21.12.2016</t>
  </si>
  <si>
    <t xml:space="preserve">Будинок культури по вул. М. Грушевського у с. Трибухівці Бучацького району — капітальний ремонт
</t>
  </si>
  <si>
    <t xml:space="preserve">Будівля навчально-виховного комплексу “Загальноосвітня школа I-III ступеня № 1 - гімназія”, м. Хоростків Гусятинського району — реконструкція даху
</t>
  </si>
  <si>
    <t>декларація від 06.12.16 №ТП 143163410494</t>
  </si>
  <si>
    <t xml:space="preserve">Будівля загальноосвітньої школи I-III ступеня, с. Увисла Гусятинського району — реконструкція даху
</t>
  </si>
  <si>
    <t>декларація від 06.12.16 №ТП 143163410484</t>
  </si>
  <si>
    <t xml:space="preserve">Будівля загальноосвітньої школи I-II ступеня по вул. Костьолок, 88, у с. Глібів Гусятинського району — реконструкція даху
</t>
  </si>
  <si>
    <t>б/н від 23.11.2016</t>
  </si>
  <si>
    <t>декларація від 23.11.16 №ТП 143163281384</t>
  </si>
  <si>
    <t xml:space="preserve">Фельдшерсько-акушерський пункт по вул. Костьолок, 405, у с. Глібів Гусятинського району — реконструкція даху
</t>
  </si>
  <si>
    <t>декларація від 14.11.16 №ТП 142163191021</t>
  </si>
  <si>
    <t xml:space="preserve">Дитячий садок, с. Жабиня Зборівського району — капітальний ремонт
</t>
  </si>
  <si>
    <t>декларація від 14.11.16 №ТП 142163192511</t>
  </si>
  <si>
    <t xml:space="preserve">Районний будинок культури, м. Зборів — реконструкція
</t>
  </si>
  <si>
    <t xml:space="preserve">Клуб, с. Кудобинці Зборівського району — капітальний ремонт даху
</t>
  </si>
  <si>
    <t>декларація від 14.11.16 №ТП 143163192490</t>
  </si>
  <si>
    <t xml:space="preserve">Загальноосвітня школа I-III ступеня № 1 по вул. Гоголя, 12, у м. Зборові — реконструкція плоскої покрівлі під шатровий дах
</t>
  </si>
  <si>
    <t>декларація від 23.11.16 №ТП 143163281409</t>
  </si>
  <si>
    <t xml:space="preserve">Загальноосвітня школа I-III ступеня, с. Старий Вишнівець Збаразького району — реконструкція даху спортзалу
</t>
  </si>
  <si>
    <t xml:space="preserve">декларація від 29.09.16 №ТП 143162732038 </t>
  </si>
  <si>
    <t xml:space="preserve">Загальноосвітня школа I-II ступеня, с. Вищі Луб’янки Збаразького району — капітальний ремонт даху та перекриття спортзалу
</t>
  </si>
  <si>
    <t xml:space="preserve">декларація від 29.12.16 №ТП 143162732038 </t>
  </si>
  <si>
    <t xml:space="preserve">Загальноосвітня школа I-II ступеня по вул. Шкільній, 6, у с. Зарубинці Збаразького району — капітальний ремонт із заміною віконних та дверних блоків
</t>
  </si>
  <si>
    <t>декларація від 08.09.16 №ТП 143162520143</t>
  </si>
  <si>
    <t xml:space="preserve">Загальноосвітня школа I-II ступеня по вул. Шевченка, 20, у с. Кобилля Збаразького району — реконструкція дерев’яної конструкції даху з частковим переплануванням та заміною покрівлі
</t>
  </si>
  <si>
    <t>декларація від 08.09.16 №ТП 143162520137</t>
  </si>
  <si>
    <t xml:space="preserve">Адміністративний будинок по вул. Новій, 14, у с. Новики Збаразького району — капітальний ремонт із заміною віконних та дверних блоків, покрівлі даху
</t>
  </si>
  <si>
    <t>декларація від 29.12.16 №ТП 143163642592</t>
  </si>
  <si>
    <t xml:space="preserve">Система каналізації, смт Товсте Заліщицького району — реконструкція
</t>
  </si>
  <si>
    <t xml:space="preserve">Плавальний басейн для загальноосвітньої школи I-III ступеня № 2 по вул. Вітошинського, 14, у смт Козова — будівництво
</t>
  </si>
  <si>
    <t xml:space="preserve">Очисні споруди, м. Почаїв — реконструкція
</t>
  </si>
  <si>
    <t>декларація від 29.12.16 №ТП 143163642517</t>
  </si>
  <si>
    <t xml:space="preserve">Біологічні очисні споруди продуктивністю 800 куб. метрів на добу, м. Ланівці — реконструкція
</t>
  </si>
  <si>
    <t>декларація від 29.12.16 №ТП 143163642579</t>
  </si>
  <si>
    <t xml:space="preserve">Амбулаторія, с. Високе Монастириського району — завершення будівництва
</t>
  </si>
  <si>
    <t xml:space="preserve">Загальноосвітня школа I-II ступеня на 180 учнівських місць, с. Горигляди Монастириського району — будівництво
</t>
  </si>
  <si>
    <t xml:space="preserve">Біологічні очисні споруди каналізації, м. Підгайці — реконструкція
</t>
  </si>
  <si>
    <t>декларація від 29.12.16 №ТП 143163642427</t>
  </si>
  <si>
    <t xml:space="preserve">Будівля колишньої котельні по вул. Шевченка, 1а, у с. Ангелівка Тернопільського району — реконструкція під народний дім на 100 місць
</t>
  </si>
  <si>
    <t>декларація від 29.12.16 №ТП 143163642644</t>
  </si>
  <si>
    <t xml:space="preserve">Загальноосвітня школа I-III ступеня по вул. Шкільній у с. Почапинці Тернопільського району — реконструкція
</t>
  </si>
  <si>
    <t xml:space="preserve">Загальноосвітня школа I-III ступеня Тернопільської районної ради по вул. Шевченка, 1, у с. Ангелівка Тернопільського району — капітальний ремонт спортивного залу
</t>
  </si>
  <si>
    <t>декларація від 14.11.16 №ТП 142163192518</t>
  </si>
  <si>
    <t xml:space="preserve">Будинок культури (ліквідація аварійної ситуації глядацького залу), с. Улашківці Чортківського району — реконструкція
</t>
  </si>
  <si>
    <t xml:space="preserve">Будівля поліклініки по вул. Йосипа Сліпого, 1, у м. Чорткові — реконструкція
</t>
  </si>
  <si>
    <t xml:space="preserve">Загальноосвітня школа I-III ступеня, с. Ягільниця Чортківського району — реконструкція (утеплення фасаду і заміна віконних блоків)
</t>
  </si>
  <si>
    <t>б/н від 01.11.2016</t>
  </si>
  <si>
    <t xml:space="preserve">Загальноосвітня школа I-II ступеня, с. Звиняч Чортківського району — реконструкція
</t>
  </si>
  <si>
    <t xml:space="preserve">Навчально-виховний комплекс, с. Людвище Шумського району — реконструкція даху
</t>
  </si>
  <si>
    <t xml:space="preserve">декларація від 29.09.16 №ТП 143162731932 </t>
  </si>
  <si>
    <t xml:space="preserve">Шумський територіальний центр соціального обслуговування пенсіонерів та одиноких непрацездатних громадян по вул. Садовій, 4, у с. Великі Дедеркали Шумського району — реконструкція існуючих будівель санчастини, котельні та магазину під стаціонарне геріатричне відділення
</t>
  </si>
  <si>
    <t>2007-2016</t>
  </si>
  <si>
    <t>ХАРКІВСЬКА</t>
  </si>
  <si>
    <t xml:space="preserve">Водовід від водопровідної насосної станції другого підйому Букінського водозабору до контррезервуарів, розташованих на вул. Аеродромній у м. Ізюмі, — реконструкція
</t>
  </si>
  <si>
    <t xml:space="preserve">Водопровід діаметром 325 міліметрів протяжністю 625 метрів по вул. Д. Лучицького, від вул. Садова до буд. № 30, м. Куп’янськ — реконструкція
</t>
  </si>
  <si>
    <t xml:space="preserve">№1/92 від 10.11.16, №69-ТН від 10.11.16, №70-ТН від 15.11.16, №2/92 від 15.11.16   </t>
  </si>
  <si>
    <t xml:space="preserve">Водопровід діаметром 426 міліметрів протяжністю 340 метрів по вул. Першого травня, від вул. Гоголя до буд. № 47, м. Куп’янськ — реконструкція
</t>
  </si>
  <si>
    <t xml:space="preserve">№1/93 від 09.12.16, №97-ТН від 09.12.16, №2/39 від 23.12.16, №125-ТН від 23.12.16     </t>
  </si>
  <si>
    <t xml:space="preserve">Водопровід діаметром 225 міліметрів протяжністю 600 метрів від камери в районі залізничної станції 4-й кілометр, смт Ківшарівка, м. Куп’янськ — реконструкція
</t>
  </si>
  <si>
    <t>№1/90 від 08.11.16, №66-ТН від 08.11.16, №2/90 від 22.12.16, №116-ТН від 22 12 16, №117-ТН від 22.12.16</t>
  </si>
  <si>
    <t xml:space="preserve">Загальноосвітня школа I-III ступеня № 3 Лозівської міської ради, мікрорайон № 2, буд. 8, м. Лозова — реконструкція покрівлі
</t>
  </si>
  <si>
    <t>№1 від 22.09.16, №2 від 21.10.16, №3 від 27.12.16</t>
  </si>
  <si>
    <t xml:space="preserve">Нежитлова будівля дитячо-юнацької спортивної школи “Юність” на пл. Леніна, 1, у м. Лозовій — реконструкція
</t>
  </si>
  <si>
    <t xml:space="preserve">Водопровід по просп. Перемоги у м. Лозовій — реконструкція
</t>
  </si>
  <si>
    <t>№1 від28.10.16, №2 від 21.11.16, №3 від 23.12.16, №4 від 23.12.16, №5 від 23.12.16</t>
  </si>
  <si>
    <t xml:space="preserve">Фізкультурно-оздоровчий комплекс по вул. Маршала Гречка у м. Первомайському — будівництво
</t>
  </si>
  <si>
    <t>№24 від 02.12.16, №1 від 21.12.16, №1/1 від 21.12.16, №2 від 21.12.16, №2/1 від 21.12.16</t>
  </si>
  <si>
    <t>декларація від 26.12.16 №ХК 143163612802</t>
  </si>
  <si>
    <t xml:space="preserve">Нежитлове приміщення банку “Україна” по вул. Комсомольській, 35, у смт Близнюки — реконструкція для розміщення дошкільного навчального закладу
</t>
  </si>
  <si>
    <t xml:space="preserve">Каналізаційний колектор по вулицях Чалого, Загорулька і Урицького у м. Богодухові — будівництво
</t>
  </si>
  <si>
    <t>№3/56 від 03.11.16, №65-ТН від 29.11.16, №4/56 від 07.12.16, №94-ТН від 13.12.16</t>
  </si>
  <si>
    <t xml:space="preserve">Водопровідна мережа від водогону по вул. Пушкіна до водозабору по вул. Катукова для під’єднання до неї домоволодінь, які розташовані по вул. Катукова у м. Богодухові, — будівництво
</t>
  </si>
  <si>
    <t>№32-ТН від 02.09.16  №2/33 від 16.09.16  №4/33 від 14.12.16  №64-ТН від</t>
  </si>
  <si>
    <t xml:space="preserve">Водогін, смт Мала Данилівка Дергачівського району — реконструкція
</t>
  </si>
  <si>
    <t>№2/59 від 03.11.16,  №4/59 від 27.12.16,          №10-ТН від 28.12.16</t>
  </si>
  <si>
    <t xml:space="preserve">Водопостачання для населення з підземною прокладкою труб, с-ще Одноробівка Одноробівської Першої сільської ради Золочівського району
</t>
  </si>
  <si>
    <t>№1/3 від 02.09.16, №30-ТН від 10.10.16, №2/3 від 18.10.16, №45-ТН від 18.10.16, №3/57 від 18.10.16</t>
  </si>
  <si>
    <t>декларація від 28.11.16 №ХК 143163332473</t>
  </si>
  <si>
    <t xml:space="preserve">Мережа водопостачання по вул. Першого травня, пров. Земляному, вул. Коника, вул. Правди, пл. Леніна, вул. Комсомольській, пров. Комсомольському, вул. Матросова, вул. Шевченка, вул. Воровського, вул. Сковороди, вул. Паризьких комунарів у смт Золочів — реконструкція
</t>
  </si>
  <si>
    <t>№3 від 20.12.2016</t>
  </si>
  <si>
    <t xml:space="preserve">Мережа вуличного освітлення, с. Діброва Ізюмського району — реконструкція
</t>
  </si>
  <si>
    <t>№1/78 від 02.09.16, №28-ТН від 02.09.16, №2-ТН від 06.10.16, №43-ТН від 10.10.16</t>
  </si>
  <si>
    <t>декларація від 09.11.16 №ХК 143163141458</t>
  </si>
  <si>
    <t xml:space="preserve">Система водопостачання, с. Діброва Ізюмського району — будівництво
</t>
  </si>
  <si>
    <t>№1/91 від 09.11.16    №68-ТН від 09.11.16 31/120-тн ВІД 23.11.16 2/91 ВІД 19.12.16 №112-тн ВІД 21.12.16  №122-тн ВІД 23.12.16, №3/91 ВІД 23.12.16</t>
  </si>
  <si>
    <t xml:space="preserve">Система водопостачання, смт Орілька Лозівського району — реконструкція
</t>
  </si>
  <si>
    <t xml:space="preserve">Водопостачання, с. Дар-Надежда Сахновщинського району
</t>
  </si>
  <si>
    <t>№3/58 ВІД 09.11.16, №5-тн від 18.11.16, №4/58, 4-а від 08.12.16, №6-тн від 19.12.16, №7-ТН від 21.12.16, №5/58 від 21.12.16</t>
  </si>
  <si>
    <t xml:space="preserve">Школа у мікрорайоні “Мобіль” по вул. Є.П. Кушнарьова, 1б, у смт Пісочин Харківського району — нове будівництво
</t>
  </si>
  <si>
    <r>
      <t xml:space="preserve">Будівля спортивного залу по вул. Притули, 10а, у с. Садове Близнюківського району — реконструкція 
</t>
    </r>
    <r>
      <rPr>
        <i/>
        <sz val="14"/>
        <color indexed="8"/>
        <rFont val="Arial"/>
        <family val="2"/>
        <charset val="204"/>
      </rPr>
      <t xml:space="preserve">(погашення кредиторської заборгованості)
</t>
    </r>
  </si>
  <si>
    <t>грудень 2015 р.</t>
  </si>
  <si>
    <t xml:space="preserve">Пам’ятникоохоронні роботи на будівлі - пам’ятці архітектури по вул. Римарській, 21, у м. Харкові (комунальне підприємство “Харківська обласна філармонія”) (реконструкція) (коригування у зв’язку з виділенням пускових комплексів)
</t>
  </si>
  <si>
    <t>2006-2018</t>
  </si>
  <si>
    <t xml:space="preserve">Дитячий садок № 7 по вул. Гоголя, 28, у м. Вовчанську — реконструкція з улаштуванням шатрового покриття
</t>
  </si>
  <si>
    <t>№1 від 26.12.2016,  №2 від 26.12.2016</t>
  </si>
  <si>
    <t xml:space="preserve">Закупівля Зачепилівською райдержадміністрацією фізіотерапевтичного та діагностичного обладнання для амбулаторій загальної практики сімейної медицини, смт Зачепилівка, села Миколаївка, Нове Мажарове, Леб’яже, Новоселівка, Рунівщина, Бердянка, фельдшерсько-акушерських пунктів, села Зіньківщина, Чернещина, та фельдшерських пунктів, села Семенівка, Забарине, Зачепилівський район
</t>
  </si>
  <si>
    <t>накл.№№219, 220 від 26.12.16, №261 від 09.12.16 №445 від 19.12.16, №43 від 09.12.16, №РН-0001724 від 01.12.16, №15/12-1 від 21.12.16, №біл000029 від 19.12.16</t>
  </si>
  <si>
    <t xml:space="preserve">Система водопостачання північної частини с. Коробочкине Чугуївського району — реконструкція
</t>
  </si>
  <si>
    <t>№№1/89, 02/89, №3/89, №61-ТН,№62-ТН, №63-ТН від 01.11.16, №№4/89,5/89,68-ТН,89-ТН від 02.12.16, №№1/111-ТН, 131-ТН, 132-ТН,133-ТН,  134-ТН,6/89,6а/89,7/89,8/89,9/89 від 23.12.16</t>
  </si>
  <si>
    <t xml:space="preserve">Водозабірна свердловина, с. Зорянське Шевченківського району — будівництво
</t>
  </si>
  <si>
    <t>№4 від 26.12.2016, №5 від 26.12.2016</t>
  </si>
  <si>
    <t>ХЕРСОНСЬКА</t>
  </si>
  <si>
    <t xml:space="preserve">Відновлювальні роботи покриття, рульових доріжок 1 і 2, перону аеропорту “Херсон” — реконструкція
</t>
  </si>
  <si>
    <t xml:space="preserve">Водопостачання, смт Комишани Комсомольського району м. Херсона — будівництво
</t>
  </si>
  <si>
    <t xml:space="preserve">Загальноосвітня школа I-III ступеня № 46 по вул. Фрітаун, 82, м. Херсон — реконструкція басейну з влаштуванням прибудованої опалювальної на твердому паливі
</t>
  </si>
  <si>
    <t xml:space="preserve">Комунальний заклад “Палац молоді і студентів” Херсонської обласної ради на пл. імені Т.Г. Шевченка, 1, м. Херсон — термосанація (капітальний ремонт із утепленням стін, заміною вікон, дверей та вітражів)
</t>
  </si>
  <si>
    <t>№7 від 28.12.2016</t>
  </si>
  <si>
    <t xml:space="preserve">Комплексна дитячо-юнацька спортивна школа Управління молоді і спорту Херсонської обласної держадміністрації по просп. 200-річчя Херсона, 19, м. Херсон — реконструкція футбольного поля
</t>
  </si>
  <si>
    <t xml:space="preserve">Палац культури, м. Нова Каховка — реконструкція
</t>
  </si>
  <si>
    <t xml:space="preserve">Зона санітарної охорони на території Качкарівської сільської ради Бериславського району — будівництво з облаштуванням артезіанської свердловини
</t>
  </si>
  <si>
    <t>№12 від 27.12.2016</t>
  </si>
  <si>
    <t>декларація від 13.01.17 №ХС 143170120716</t>
  </si>
  <si>
    <t xml:space="preserve">Бериславський дошкільний навчальний заклад № 4 (ясла-садок) — санація (модернізація системи опалення із заміною радіаторів опалення)
</t>
  </si>
  <si>
    <t>декларація від 13.01.17 №ХС 143170120729</t>
  </si>
  <si>
    <t xml:space="preserve">Тягинський дошкільний навчальний заклад по вул. Поштовій, 5в, с. Тягинка Бериславського району — реконструкція (утеплення фасаду, заміна вікон та зовнішніх дверей)
</t>
  </si>
  <si>
    <t xml:space="preserve">Ясла-садок, с-ще Дніпровське Білозерського району — термомодернізація фасаду
</t>
  </si>
  <si>
    <t>№1/1 26.12.2016</t>
  </si>
  <si>
    <t xml:space="preserve">Ясла-садок, с. Томина Балка Білозерського району — капітальний ремонт
</t>
  </si>
  <si>
    <t xml:space="preserve">Ясла-садок Чорнобаївської сільської ради по вул. Жовтневій, 44, с. Чорнобаївка Білозерського району — модернізація котельні з використанням альтернативного виду палива
</t>
  </si>
  <si>
    <t>16.12.2016 № 2/12/1</t>
  </si>
  <si>
    <t xml:space="preserve">Великоолександрівський дошкільний навчальний заклад № 2, смт Велика Олександрівка — проведення санації будівлі
</t>
  </si>
  <si>
    <t xml:space="preserve">Ясла-садок “Берізка” № 1 Верхньорогачицької селищної ради — капітальний ремонт покрівлі
</t>
  </si>
  <si>
    <t>№3 від 28.11.2016</t>
  </si>
  <si>
    <t>декларація від 13.01.17 №ХС 142163511533</t>
  </si>
  <si>
    <t xml:space="preserve">Центр первинної медичної допомоги Кочубеївської об’єднаної територіальної громади, Високопільський район — капітальний ремонт
</t>
  </si>
  <si>
    <t xml:space="preserve">Комунальний заклад “Генічеська центральна районна лікарня”, м. Генічеськ — реконструкція газових міні-котелень
</t>
  </si>
  <si>
    <t>№6 від 26.12.2016</t>
  </si>
  <si>
    <t xml:space="preserve">Краснознам’янська загальноосвітня школа по вул. Миру, 4, с. Краснознам’янка Голопристанського району — реконструкція даху
</t>
  </si>
  <si>
    <t xml:space="preserve">Система водопостачання, с. Нововасилівка Іванівського району — капітальний ремонт
</t>
  </si>
  <si>
    <t xml:space="preserve">Гімназія, смт Іванівка — капітальний ремонт, заміна віконних блоків
</t>
  </si>
  <si>
    <t>№1 від 30.11.2016</t>
  </si>
  <si>
    <t>декларація  оформлюється</t>
  </si>
  <si>
    <t xml:space="preserve">Ясла-садок “Світлячок”, смт Іванівка — капітальний ремонт, заміна вікон та дверей
</t>
  </si>
  <si>
    <t xml:space="preserve">Каїрська загальноосвітня школа I ступеня Каланчацької районної ради — реконструкція для створення навчально-виховного комплексу
</t>
  </si>
  <si>
    <t xml:space="preserve">Новокиївська загальноосвітня школа I-III ступеня Каланчацької районної ради — реконструкція приміщень для створення навчально-виховного комплексу
</t>
  </si>
  <si>
    <t xml:space="preserve">Система водопостачання по вулицях Садовій, Українській, Хмельницькій, Будівельників, с. Дудчине Каховського району — капітальний ремонт
</t>
  </si>
  <si>
    <t>№7 від 26.12.2016</t>
  </si>
  <si>
    <t xml:space="preserve">Новотроїцький навчально-виховний комплекс “Загальноосвітня школа I-III ступеня - гімназія”, смт Новотроїцьке — реконструкція покрівлі
</t>
  </si>
  <si>
    <t xml:space="preserve">Дошкільний заклад “Дюймовочка” по вул. Дзержинського, 9, смт Новотроїцьке — реконструкція
</t>
  </si>
  <si>
    <t xml:space="preserve">Нововоронцовський дошкільний навчальний заклад ясла-садок № 1 “Сонечко” по вул. Гагаріна, 46, смт Нововоронцовка — капітальний ремонт фасаду та горища
</t>
  </si>
  <si>
    <t xml:space="preserve">Нововоронцовський дошкільний навчальний заклад ясла-садок № 2 “Колосок” по вул. Комсомольській, 10, смт Нововоронцовка — капітальний ремонт даху та утеплення горища
</t>
  </si>
  <si>
    <t xml:space="preserve">Ясла-садок № 6 “Теремок” по вул. Єлизаветівській (Кірова), 36а, м. Скадовськ — термомодернізація
</t>
  </si>
  <si>
    <t>№2 від 26.12.2016</t>
  </si>
  <si>
    <t xml:space="preserve">Дитячий садок по вул. Миру, 27, с-ще Ювілейне Цюрупинського району — капітальний ремонт системи опалення
</t>
  </si>
  <si>
    <t xml:space="preserve">Ясла-садок № 3 Брилівської селищної ради, смт Брилівка Цюрупинського району — капітальний ремонт
</t>
  </si>
  <si>
    <t xml:space="preserve">Дошкільний навчальний заклад “Малятко” по вул. Грушевського, 58, смт Чаплинка — термомодернізація
</t>
  </si>
  <si>
    <t>ХМЕЛЬНИЦЬКА</t>
  </si>
  <si>
    <r>
      <t xml:space="preserve">Каналізаційні очисні споруди потужністю 400 куб. метрів на добу, смт Білогір’я — будівництво 
</t>
    </r>
    <r>
      <rPr>
        <i/>
        <sz val="14"/>
        <color indexed="8"/>
        <rFont val="Arial"/>
        <family val="2"/>
        <charset val="204"/>
      </rPr>
      <t xml:space="preserve">(погашення кредиторської заборгованості)
</t>
    </r>
  </si>
  <si>
    <t>травень 2016 р.</t>
  </si>
  <si>
    <t>декларація від 04.05.16 №ХМ 1431612300072</t>
  </si>
  <si>
    <r>
      <t xml:space="preserve">Очисні споруди, смт Летичів — реконструкція 
</t>
    </r>
    <r>
      <rPr>
        <i/>
        <sz val="14"/>
        <color indexed="8"/>
        <rFont val="Arial"/>
        <family val="2"/>
        <charset val="204"/>
      </rPr>
      <t xml:space="preserve">(погашення кредиторської заборгованості)
</t>
    </r>
  </si>
  <si>
    <r>
      <t xml:space="preserve">Водогін, с. Браїлівка - смт Нова Ушиця — завершення будівництва 
</t>
    </r>
    <r>
      <rPr>
        <i/>
        <sz val="14"/>
        <color indexed="8"/>
        <rFont val="Arial"/>
        <family val="2"/>
        <charset val="204"/>
      </rPr>
      <t xml:space="preserve">(погашення кредиторської заборгованості)
</t>
    </r>
  </si>
  <si>
    <r>
      <t xml:space="preserve">Очисні споруди каналізації продуктивністю до 5000 куб. метрів на добу, м. Полонне 
</t>
    </r>
    <r>
      <rPr>
        <i/>
        <sz val="14"/>
        <color indexed="8"/>
        <rFont val="Arial"/>
        <family val="2"/>
        <charset val="204"/>
      </rPr>
      <t xml:space="preserve">(погашення кредиторської заборгованості)
</t>
    </r>
  </si>
  <si>
    <t>серпень 2016 р.</t>
  </si>
  <si>
    <t>декларація від 12.08.16 №ХМ 143161321716</t>
  </si>
  <si>
    <t xml:space="preserve">Районний будинок культури по вул. Заславській, 6, у смт Віньківці — капітальний ремонт будівлі
</t>
  </si>
  <si>
    <t>№7 від 26.12.2016, №1 від 28.12.2016</t>
  </si>
  <si>
    <t xml:space="preserve">Хірургічний корпус Волочиської центральної районної лікарні по вул. Незалежності, 68, у м. Волочиську — реконструкція з влаштуванням шатрової покрівлі над приймальним відділенням та перехідною галереєю
</t>
  </si>
  <si>
    <t xml:space="preserve">Лікувальний корпус на 120 ліжок та харчоблок по вул. Шевченка, 40, у м. Городку — будівництво
</t>
  </si>
  <si>
    <t>№32 від 23.12.2016</t>
  </si>
  <si>
    <t xml:space="preserve">Деражнянський навчально-виховний комплекс “Загальноосвітня школа I-III ступеня № 2, гімназія” по вул. Лесі Українки, 9, — реконструкція системи водовідведення
</t>
  </si>
  <si>
    <t>декларація від 26.12.16 №ХМ 141163611231</t>
  </si>
  <si>
    <t xml:space="preserve">Артсвердловина, мікрорайон Трояни, м. Деражня — капітальний ремонт
</t>
  </si>
  <si>
    <t>декларація від 07.11.16 №ХМ 141163110154</t>
  </si>
  <si>
    <t xml:space="preserve">Адміністративно-господарська будівля Смотрицької селищної ради по вул. Радянській, 20, у смт Смотрич Дунаєвецького району — реконструкція під корпус № 2 дошкільного навчального закладу
</t>
  </si>
  <si>
    <t xml:space="preserve">Поліклініка Ізяславської центральної районної лікарні по вул. Б. Хмельницького, 47, у м. Ізяславі — реконструкція приміщення
</t>
  </si>
  <si>
    <t xml:space="preserve">Спортивний комплекс Красилівської районної дитячо-юнацької спортивної школи по вул. Грушевського, 187, у м. Красилові — капітальний ремонт
</t>
  </si>
  <si>
    <t xml:space="preserve">№16 від 28.12.2016, №1 від 28.12.2016 </t>
  </si>
  <si>
    <t xml:space="preserve">Нежитлова будівля по вул. Соборній, 189, у с. Новоселиця Полонського району — реконструкція під амбулаторію загальної практики сімейної медицини
</t>
  </si>
  <si>
    <t>декларація від 28.12.16 №ХМ 142163831754</t>
  </si>
  <si>
    <t xml:space="preserve">Мирутинський навчально-виховний комплекс “Дошкільний навчальний заклад-школа I-III ступеня” по вул. Центральній, 63, Славутський район — капітальний ремонт будівлі (утеплення зовнішніх стін, заміна даху, вікон і дверей)
</t>
  </si>
  <si>
    <t>№5 від 22.12.2016</t>
  </si>
  <si>
    <t xml:space="preserve">Берездівський навчально-виховний комплекс “Дошкільний навчальний заклад-школа I-III ступеня” Берездівської сільської ради по вул. Суворова, 3, Славутський район — капітальний ремонт корпусу навчально-виховного комплексу - школи I-III ступеня
</t>
  </si>
  <si>
    <t xml:space="preserve">Дошкільний навчальний заклад “Пізнайко” по пров. Центральному, 2/1, у с. Григорівка Старокостянтинівського району — реконструкція
</t>
  </si>
  <si>
    <t xml:space="preserve"> №11,12 від 28.12.2016</t>
  </si>
  <si>
    <t xml:space="preserve">Паливна із встановленням твердопаливних котлів потужністю 0,172 Гкал/год для опалення навчально-виховного комплексу по вул. Радісній, 1, у с. Радківці Старокостянтинівського району — будівництво
</t>
  </si>
  <si>
    <t>№11, 12,13 від 08.11.16</t>
  </si>
  <si>
    <t xml:space="preserve">Теофіпольська амбулаторія загальної практики сімейної медицини, Теофіпольський район — капітальний ремонт приміщень
</t>
  </si>
  <si>
    <t>№2 від 27.10.2016</t>
  </si>
  <si>
    <t xml:space="preserve">Комунальний заклад “Теофіпольський центр первинної медико-санітарної допомоги”, смт Теофіполь Теофіпольського району — капітальний ремонт адміністративно-господарських приміщень
</t>
  </si>
  <si>
    <t>декларація від 31.10.16 №ХМ 142163030033</t>
  </si>
  <si>
    <t xml:space="preserve">Загальноосвітня школа I-III ступеня, с. Грузевиця Хмельницького району — будівництво (добудова харчоблоку до будівлі, влаштування внутрішніх санвузлів та комп’ютерного класу)
</t>
  </si>
  <si>
    <t>декларація від 27.12.16 №ХМ 142163621201</t>
  </si>
  <si>
    <t xml:space="preserve">Водопровідні мережі по вулицях Пушкіна та Медвецького у смт Чемерівці — реконструкція
</t>
  </si>
  <si>
    <t xml:space="preserve">Ярмолинецький навчально-виховний комплекс “Загальноосвітня школа I-III ступеня № 1 і гімназія” по вул. Пушкіна, 6, Ярмолинецький район — капітальний ремонт фасаду
</t>
  </si>
  <si>
    <t>№6 від 28.12.2016</t>
  </si>
  <si>
    <t xml:space="preserve">Котельня з переобладнанням котлів на альтернативні види палива по вул. Жукова, 2, у м. Кам’янці-Подільському — реконструкція (друга черга)
</t>
  </si>
  <si>
    <t xml:space="preserve">Водопровід (мережі водопостачання об’єкта цивільного призначення: водозабезпечення) у садибній забудові, м. Нетішин — будівництво
</t>
  </si>
  <si>
    <t>2006-2016</t>
  </si>
  <si>
    <t>декларація від 28.12.16 №ХМ 143163633144</t>
  </si>
  <si>
    <t xml:space="preserve">Дитячо-юнацька спортивна школа по просп. Миру, 26а, у м. Шепетівці — капітальний ремонт
</t>
  </si>
  <si>
    <t xml:space="preserve">Загальноосвітня школа I-III ступеня № 1 по вул. Гната Кузовкова, 12, у м. Славуті — капітальний ремонт будівлі навчального корпусу
</t>
  </si>
  <si>
    <t>№10 від 27.12.2016</t>
  </si>
  <si>
    <t xml:space="preserve">Легкоатлетичне ядро на спортивному комплексі “Поділля” дитячо-юнацької спортивної школи № 1 по вул. Проскурівській, 81, у м. Хмельницькому — реконструкція
</t>
  </si>
  <si>
    <t>декларація від 29.12.16 №ХМ 143163641036</t>
  </si>
  <si>
    <t xml:space="preserve">Славутський обласний спеціалізований ліцей-інтернат поглибленої підготовки учнів у галузі науки по вул. Князів Сангушків, 8, у м. Славуті — реконструкція з добудовою існуючої будівлі під гуртожиток
</t>
  </si>
  <si>
    <t xml:space="preserve">Музичне училище в комплексі з музичною школою по вул. Прибузькій, 8, у м. Хмельницькому — будівництво
</t>
  </si>
  <si>
    <t>№47 від 28.12.2016</t>
  </si>
  <si>
    <t xml:space="preserve">Адміністративний будинок (центр надання адміністративних послуг) по вул. Чернавіна, 52а, у смт Ямпіль Білогірського району — капітальний ремонт
</t>
  </si>
  <si>
    <t>№3 від 19.12.2016</t>
  </si>
  <si>
    <t xml:space="preserve">Загальноосвітня школа I-III ступеня по вул. Миру, 33/1, у смт Вовковинці Деражнянського району — капітальний ремонт системи опалення
</t>
  </si>
  <si>
    <t xml:space="preserve">Очисні споруди та напірний колектор, м. Дунаївці — реконструкція (друга черга - напірний колектор, піскоуловлювачі, каналізаційна насосна станція)
</t>
  </si>
  <si>
    <t xml:space="preserve">Підвідний газопровід середнього тиску до сіл Суржа, Нагоряни, Лісківці, Рихта, Слобідка-Рихтівська, Вільне, Залісся Перше, Параївка, Чорнокозинці, Мілівці, Кудринці, Кізя-Кудринецька, Завалля, Червона Діброва, Вітківці, Добровілля, Кізя, Адамівка, Нововолодимирівка, Шустівці, Ніверка, Підпилип’я, Подоляни, Кам’янець-Подільський район — будівництво
</t>
  </si>
  <si>
    <t>листопад 2017 р.</t>
  </si>
  <si>
    <t xml:space="preserve"> №7, 8 від 23.12.2016</t>
  </si>
  <si>
    <t xml:space="preserve">Підрозділ місцевої пожежної охорони, с. Ходорівці Кам’янець-Подільського району — утворення для забезпечення доступності послуг у сфері надання пожежної допомоги на території сільських населених пунктів новоствореної Колибаївської сільської об’єднаної територіальної громади
</t>
  </si>
  <si>
    <t>накл.№РН-0027 від 12.12.2016</t>
  </si>
  <si>
    <t xml:space="preserve">Школа на 274 учні та сільський клуб на 400 відвідувачів, с. Новолабунь Полонського району — будівництво
</t>
  </si>
  <si>
    <t xml:space="preserve">№4 від 23.12.2016 </t>
  </si>
  <si>
    <t xml:space="preserve">Підрозділ місцевої пожежної охорони, смт Понінка Полонського району — утворення для забезпечення доступності послуг у сфері надання пожежної допомоги на території сільських населених пунктів новоствореної Понінківської сільської об’єднаної територіальної громади
</t>
  </si>
  <si>
    <t>накл.№РН-0030 від 19.12.2016</t>
  </si>
  <si>
    <t xml:space="preserve">Підрозділ місцевої пожежної охорони, с. Берездів Славутського району — утворення для забезпечення доступності послуг у сфері надання пожежної допомоги на території сільських населених пунктів новоствореної Берездівської сільської об’єднаної територіальної громади
</t>
  </si>
  <si>
    <t>накл.№РН-0021 від 09.11.2016</t>
  </si>
  <si>
    <t xml:space="preserve">Підрозділ місцевої пожежної охорони, с Аркадіївці Хмельницького району — утворення для забезпечення доступності послуг у сфері надання пожежної допомоги на території сільських населених пунктів новоствореної Лісовогринівецької сільської об’єднаної територіальної громади
</t>
  </si>
  <si>
    <t>накл. від 10.11.2016 №РН-0022</t>
  </si>
  <si>
    <t xml:space="preserve">Дитяче відділення на 60 ліжок з поліклінікою на 300 відвідувачів на добу по вул. В. Котика, 85, у м. Шепетівці — завершення будівництва
</t>
  </si>
  <si>
    <t>1998-2017</t>
  </si>
  <si>
    <t>№7/1 від 28.12.2016</t>
  </si>
  <si>
    <t xml:space="preserve">Очисні споруди та мережі каналізації житлового мікрорайону другого залізничного вокзалу, м. Старокостянтинів — реконструкція
</t>
  </si>
  <si>
    <t>№32 від 28.12.2016</t>
  </si>
  <si>
    <t xml:space="preserve">Котельня по вул. Тимірязєва, 123, м. Кам’янець-Подільський — реконструкція з встановленням твердопаливного котла
</t>
  </si>
  <si>
    <t>ЧЕРКАСЬКА</t>
  </si>
  <si>
    <t xml:space="preserve">Зовнішні мережі водопостачання, м. Золотоноша — реконструкція
</t>
  </si>
  <si>
    <t xml:space="preserve">Канівська загальноосвітня школа I-III ступеня № 1 Канівської міської ради по вул. 1 Травня, 72, — реконструкція котельні на твердому паливі
</t>
  </si>
  <si>
    <t>№1, №2 від 08.2016 р., №3 від 10.2016 р., №4 від 11.2016</t>
  </si>
  <si>
    <t>декларація від 28.11.16 №ЧК 143163331264</t>
  </si>
  <si>
    <t xml:space="preserve">Загальноосвітня школа I-III ступеня № 1, м. Кам’янка — реконструкція теплогенераторної з розширенням та встановленням двох твердопаливних котлів загальною потужністю 0,85 МВт
</t>
  </si>
  <si>
    <t>№193 від 16.06.2016; №1 від 25.08.2016; №34 від 19.10.2016; №33 від 11.10.2016; №5 від 13.09.2016</t>
  </si>
  <si>
    <t>декларація від 16.11.16 №ЧК 143163210313</t>
  </si>
  <si>
    <t xml:space="preserve">Лисянська загальноосвітня школа I-III ступеня по вул. Котовського, 10, смт Лисянка Лисянського району — реконструкція котельні із встановленням твердопаливного котла
</t>
  </si>
  <si>
    <t>№1, №2 від 08.2016 р., №3, №4 від 09.2016</t>
  </si>
  <si>
    <t>декларація від 18.11.16 №ЧК 143163231866</t>
  </si>
  <si>
    <t xml:space="preserve">Лисянська центральна районна лікарня по вул. Петровського, 51, смт Лисянка Лисянського району — реконструкція котельні зі встановленням твердопаливного котла
</t>
  </si>
  <si>
    <t>№1 від 18.08.2016; №2 від 19.08.2016; №3 від 26.09.2016; №4 від 27.09.2016; №5 від 20.12.2016</t>
  </si>
  <si>
    <t>декларація від 20.12.16 №ЧК 143163553475</t>
  </si>
  <si>
    <t xml:space="preserve">Водогін, с-ще Верхнячка Христинівського району (друга черга) — будівництво
</t>
  </si>
  <si>
    <t>№1, №2 від 10.2016 р.</t>
  </si>
  <si>
    <t>декларація від 09.11.16 №ЧК 143163142314</t>
  </si>
  <si>
    <t xml:space="preserve">Недіюча група дошкільного навчального закладу, с. Білозір’я Черкаського району — капітальний ремонт
</t>
  </si>
  <si>
    <t xml:space="preserve">Будівництво контрольного центру і встановлення на скважинах нових насосів та додаткового водогону для збільшення пропускної здатності, м. Чигирин
</t>
  </si>
  <si>
    <t>№5 від 08.08.2016; №6 від 18.08.2016; №7 від 26.09.2016; №8 від 11.11.2016</t>
  </si>
  <si>
    <t>декларація від 29.11.16 №ЧК 143163341857</t>
  </si>
  <si>
    <t xml:space="preserve">Критий басейн гімназії імені С.Д. Скляренка по вул. Черкаській, 54, м. Золотоноша — будівництво
</t>
  </si>
  <si>
    <t xml:space="preserve">Комунальне підприємство “Центральний стадіон” по вул. Смілянській, 78, м. Черкаси — реконструкція запасного футбольного поля
</t>
  </si>
  <si>
    <t xml:space="preserve">Ліплявський навчально-виховний комплекс “Дошкільний навчальний заклад загальноосвітня школа I-III ступеня Канівської районної ради”, с. Ліпляве Канівського району — реконструкція
</t>
  </si>
  <si>
    <t xml:space="preserve">Дитячий садок, смт Єрки Катеринопільського району — капітальний ремонт (заміна вікон та дверей за енергозберігаючими технологіями)
</t>
  </si>
  <si>
    <t>№1 від 21.10.2016; №2 від 02.11.2016; №3 від 08.12.2016; №4 від 19.12.2016</t>
  </si>
  <si>
    <t>декларація від 23.12.16 №ЧК 143163581935</t>
  </si>
  <si>
    <t xml:space="preserve">Створення додаткових умов для забезпечення реабілітації учасників антитерористичної операції та осіб з обмеженими фізичними можливостями в амбулаторії загальної практики сімейної медицини, с. Мокра Калигірка Катеринопільського району
</t>
  </si>
  <si>
    <t xml:space="preserve">дог.№1/11, №2/11, №3/11 від 08.11.2016 </t>
  </si>
  <si>
    <t xml:space="preserve">Дошкільний навчальний заклад “Веселка”, с. Леськи Черкаського району — реконструкція
</t>
  </si>
  <si>
    <t>№1 від 01.08.2016; №2 від 18.08.2016; №3 від 18.08.2016; №4 від 14.09.2016; №1, №2 від 28.12.2016</t>
  </si>
  <si>
    <t>декларація від 28.12.16 №ЧК 143163633957</t>
  </si>
  <si>
    <t xml:space="preserve">Придбання техніки та обладнання комунальному підприємству “Господарське управління Будинку рад” Чигиринської районної ради для збору та вивезення твердих побутових відходів
</t>
  </si>
  <si>
    <t>накл.№ Ч-5935 від 23.09.2016; №54 від 23.12.2016</t>
  </si>
  <si>
    <t xml:space="preserve">Закупівля флюорографів для медичних установ Черкаської області
</t>
  </si>
  <si>
    <t>накл.№1135 від 19.12.2016; накл.№1134 від 13.12.2016; накл.№1137 від 23.12.2016; накл.№1120 від 02.12.2016; накл.№1124 від 06.12.2016; накл.№1136 від 20.12.2016; накл.№1121 від 02.12.2016; накл.№1138 від 23.12.2016</t>
  </si>
  <si>
    <t xml:space="preserve">Придбання реанімаційного обладнання для перинатального центру комунального закладу “Черкаська обласна лікарня Черкаської обласної ради” по вул. Менделєєва, 3, м. Черкаси
</t>
  </si>
  <si>
    <t xml:space="preserve">Закупівля сценічного обладнання для комунального закладу “Черкаська обласна філармонія Черкаської обласної ради”, м. Черкаси
</t>
  </si>
  <si>
    <t>накл.№64 від 16.12.2016; №387 від 16.12.2016; №388 від 20.12.2016; №389 від 23.12.2016</t>
  </si>
  <si>
    <t xml:space="preserve">Черкаський академічний обласний український музично-драматичний театр імені Т.Г. Шевченка по бульв. Шевченка, 234, м. Черкаси — першочергові аварійно-відбудовні роботи, пов’язані з ліквідацією наслідків надзвичайної ситуації, що склалася внаслідок пожежі 1 липня 2015 року
</t>
  </si>
  <si>
    <t xml:space="preserve">Приміщення по вул. Незалежності, 168, в с. Білозір’я Черкаського району — капітальний ремонт під центр надання адміністративних послуг Білозірської об’єднаної територіальної громади
</t>
  </si>
  <si>
    <t>№1 від 27.12.2016; №2 від 23.12.2016</t>
  </si>
  <si>
    <t>декларація від 22.12.16 №ЧК 142163572160</t>
  </si>
  <si>
    <t xml:space="preserve">Мережа водопостачання в с. Сичівка Христинівського району — будівництво
</t>
  </si>
  <si>
    <t>ЧЕРНІВЕЦЬКА</t>
  </si>
  <si>
    <t xml:space="preserve">Приміщення онкологічного диспансеру по вул. Героїв Майдану, 242, м. Чернівці — реконструкція з добудовою патолого-анатомічного корпусу
</t>
  </si>
  <si>
    <t xml:space="preserve">Харчоблок, пансіонат, бальнеологічне відділення обласного центру медико-соціальної реабілітації дітей (обласний центр реабілітації дитини) по бульв. Героїв Сталінграда, 11, м. Чернівці — будівництво
</t>
  </si>
  <si>
    <t xml:space="preserve">Добудова навчального корпусу школи до спортивного залу клубу, с. Мошанець Кельменецького району — будівництво
</t>
  </si>
  <si>
    <t>1999-2016</t>
  </si>
  <si>
    <t>б/н від 18.10.2016</t>
  </si>
  <si>
    <t>декларація від 18.10.16 №ЧВ 143162920531</t>
  </si>
  <si>
    <t xml:space="preserve">Приміщення відділення другої хірургії (7 поверх) обласної комунальної установи “Лікарня швидкої медичної допомоги” по вул. Фастівській, 2, м. Чернівці — капітальний ремонт
</t>
  </si>
  <si>
    <t>б/н від 12.10.2016</t>
  </si>
  <si>
    <t>декларація від 12.10.16 №ЧВ 143162862971</t>
  </si>
  <si>
    <t xml:space="preserve">Корпус № 2 по вул. Луковецькій, 2-4, м. Чернівці — реконструкція для проживання матерів-одиначок з дітьми віком до 18 місяців
</t>
  </si>
  <si>
    <t xml:space="preserve">Друга нитка водогону смт Лужани - м. Кіцмань — будівництво
</t>
  </si>
  <si>
    <t xml:space="preserve">Загальноосвітня школа I-III ступеня на 240 учнівських місць по вул. Центральній, с. Усть-Путила Путильського району — будівництво
</t>
  </si>
  <si>
    <t xml:space="preserve">Обласний протитуберкульозний санаторій, смт Красноїльськ Сторожинецького району — реконструкція
</t>
  </si>
  <si>
    <t xml:space="preserve">Корпус № 1 Черешського психоневрологічного будинку-інтернату Сторожинецького району — реконструкція під відділення денного перебування
</t>
  </si>
  <si>
    <t xml:space="preserve">Пологове відділення (акушерський корпус), м Хотин — будівництво
</t>
  </si>
  <si>
    <t xml:space="preserve">Дошкільний навчальний заклад, с. Карапчів Вижницького району — будівництво
</t>
  </si>
  <si>
    <t>серпень 2018 р.</t>
  </si>
  <si>
    <t xml:space="preserve">Зовнішні мережі водопостачання та водовідведення, смт Кельменці — реконструкція
</t>
  </si>
  <si>
    <t xml:space="preserve">Каналізаційний колектор по вулицях Спортивній, Кіцманській, Колганова, м. Заставна — будівництво
</t>
  </si>
  <si>
    <t xml:space="preserve">Водогін та водонапірні башти, м. Хотин — будівництво
</t>
  </si>
  <si>
    <t xml:space="preserve">Загальноосвітня школа I-III ступеня, с. Рідківці Новоселицького району — будівництво
</t>
  </si>
  <si>
    <t>ЧЕРНІГІВСЬКА</t>
  </si>
  <si>
    <t xml:space="preserve">Існуючий клуб загальноосвітньої школи-інтернату I-III ступеня, с. Черешеньки Коропського району — реконструкція
</t>
  </si>
  <si>
    <t xml:space="preserve">Водопровідний ввод від вул. Михалевича до підключення внутрішньоплощадочних мереж лікарні по вул. Волковича, 25, м. Чернігів — заміна (реконструкція)
</t>
  </si>
  <si>
    <t>декларація від 15.11.16 №ЧГ 143163201725</t>
  </si>
  <si>
    <t xml:space="preserve">Хірургічний корпус комунального лікувально-профілактичного закладу “Чернігівська обласна лікарня” (хірургічне відділення) по вул. Волковича, 25, м. Чернігів — реконструкція
</t>
  </si>
  <si>
    <t>декларація від 27.12.16 №ЧГ 143163620639</t>
  </si>
  <si>
    <t xml:space="preserve">Господарсько-побутовий корпус комунального лікувально-профілактичного закладу “Чернігівський обласний протитуберкульозний диспансер” по просп. Миру, м. Чернігів — реконструкція будівлі
</t>
  </si>
  <si>
    <t xml:space="preserve">Будівля променевої терапії (радіологія) комунального лікувально-профілактичного закладу “Чернігівський обласний онкологічний диспансер” по просп. Миру, 211, м. Чернігів — реконструкція покрівлі
</t>
  </si>
  <si>
    <t>№1 від 21.11.2016, №2 від 15.12.2016, №3 від 28.12.2016</t>
  </si>
  <si>
    <t xml:space="preserve">Будівля головного корпусу (старого) комунального лікувально-профілактичного закладу “Чернігівський обласний онкологічний диспансер” по просп. Миру, 211, м. Чернігів — реконструкція фасаду
</t>
  </si>
  <si>
    <t>№1 від 04.11.2016, №2 від 12.12.2016, №3 від 15.12.2016</t>
  </si>
  <si>
    <t xml:space="preserve">Комунальний лікувально-профілактичний заклад “Чернігівська обласна дитяча лікарня” по просп. Миру, 44, м. Чернігів — реконструкція інфекційного відділення
</t>
  </si>
  <si>
    <t xml:space="preserve">Приміщення свинарника і матеріального складу підсобного господарства Козелецького геріатричного пансіонату, с. Часнівці Козелецького району — капітальний ремонт
</t>
  </si>
  <si>
    <t>№2 від 17.11.2016</t>
  </si>
  <si>
    <t>декларація від 15.11.16 №ЧГ 143163201356</t>
  </si>
  <si>
    <t xml:space="preserve">Приміщення корівника підсобного господарства Козелецького геріатричного пансіонату, с. Часнівці Козелецького району — капітальний ремонт
</t>
  </si>
  <si>
    <t>декларація від 15.11.16 №ЧГ 143163201379</t>
  </si>
  <si>
    <t xml:space="preserve">Районний Будинок культури по вул. Соборності, 59, м. Бахмач — реконструкція фасаду із заміною покрівлі даху та благоустроєм прилеглої території
</t>
  </si>
  <si>
    <t>ІІ квартал 2018 р.</t>
  </si>
  <si>
    <t xml:space="preserve">Старобиківський навчально-виховний комплекс “Загальноосвітній навчальний заклад I-II ступеня - дошкільний навчальний заклад” по вул. Акімова, с. Старий Биків Бобровицького району — реконструкція системи теплопостачання з установкою твердопаливних котлів
</t>
  </si>
  <si>
    <t>декларація від 14.12.16 №ЧГ 142163491748</t>
  </si>
  <si>
    <t xml:space="preserve">Загальноосвітня школа I-III ступеня по вул. Незалежності, 1, с. Озеряни Бобровицького району — реконструкція системи теплопостачання з установкою твердопаливного котла
</t>
  </si>
  <si>
    <t>декларація від 29.11.16 №ЧГ 142163341610</t>
  </si>
  <si>
    <t xml:space="preserve">Загальноосвітня школа I-III ступеня по вул. Гагаріна, 10, с. Вороньки Бобровицького району — реконструкція системи теплопостачання з установкою твердопаливного котла
</t>
  </si>
  <si>
    <t xml:space="preserve">декларація від 12.2016 №ЧГ 142163641194 </t>
  </si>
  <si>
    <t xml:space="preserve">Їдальня Борзнянської загальноосвітньої школи I-III ступеня імені Х. Алчевської по вул. Б. Хмельницького, 3, м. Борзна — реконструкція частини приміщень
</t>
  </si>
  <si>
    <t>декларація від 04.11.16 №ЧГ 142163091077</t>
  </si>
  <si>
    <t xml:space="preserve">Загальноосвітня школа I-III ступеня по вул. Леніна, 9, с. Шаповалівка Борзнянського району — капітальний ремонт приміщення
</t>
  </si>
  <si>
    <t>декларація від 08.12.16 №ЧГ 143163432735</t>
  </si>
  <si>
    <t xml:space="preserve">Загальноосвітня школа I-III ступеня по вул. Шевченка, 93, с. Оленівка Борзнянського району — реконструкція існуючої котельні (заміна котла)
</t>
  </si>
  <si>
    <t xml:space="preserve">Районна бібліотека, смт Варва — капітальний ремонт покрівлі
</t>
  </si>
  <si>
    <t xml:space="preserve">Будівля головного корпусу комунального лікувально-профілактичного закладу “Варвинська центральна районна лікарня” по вул. 9 Травня, 2а, смт Варва — капітальний ремонт (заміна вікон)
</t>
  </si>
  <si>
    <t xml:space="preserve">Комунальний лікувально-профілактичний заклад “Варвинська центральна районна лікарня”, смт Варва — реконструкція поліклінічного відділення
</t>
  </si>
  <si>
    <t xml:space="preserve">Загальноосвітня школа I-III ступеня по вул. Чернігівській, 36, с. Тупичів Городнянського району — реконструкція котельні із застосуванням енергоефективного джерела
</t>
  </si>
  <si>
    <t xml:space="preserve">декларація від 12.2016 №ЧГ 143163641025 </t>
  </si>
  <si>
    <t xml:space="preserve">Будівля ясел-садка № 4 по вул. Свято-Миколаївській, 4, м. Городня — капітальний ремонт системи опалення
</t>
  </si>
  <si>
    <t xml:space="preserve">Резервуар № 2 для питної води ємністю 400 куб. метрів на центральному водозаборі по вул. Жадьківській, 77а, м. Ічня — реконструкція
</t>
  </si>
  <si>
    <t>декларація від 06.12.16 №ЧГ 141163411056</t>
  </si>
  <si>
    <t xml:space="preserve">Школа мистецтв по вул. Героїв Майдану, 4, м. Ічня — капітальний ремонт (заміна вікон)
</t>
  </si>
  <si>
    <t xml:space="preserve">Дорогинський навчально-виховний комплекс “Загальноосвітня школа I-III ступеня - дошкільний навчальний заклад” по вул. Набережній, 3, с. Дорогинка Ічнянського району — капітальний ремонт (заміна вікон)
</t>
  </si>
  <si>
    <t>№1 від 28.10.2016, №2 від 14.12.2016, №3 від 28.12.2016</t>
  </si>
  <si>
    <t xml:space="preserve">Загальноосвітня школа I-III ступеня, с. Атюша Коропського району — реконструкція приміщень
</t>
  </si>
  <si>
    <t xml:space="preserve">Територіальний центр соціального обслуговування (надання соціальних послуг) Коропської райдержадміністрації, с. Нехаївка Коропського району — капітальний ремонт покрівлі
</t>
  </si>
  <si>
    <t xml:space="preserve">декларація від 12.2016 №ЧГ 142163641222 </t>
  </si>
  <si>
    <t xml:space="preserve">Водозабірний вузол “Стан” для водопостачання населення, с. Вишеньки Коропського району — реконструкція
</t>
  </si>
  <si>
    <t>декларація від 23.11.16 №ЧГ 143163281089</t>
  </si>
  <si>
    <t xml:space="preserve">Загальноосвітня школа I-III ступеня по вул. Центральній, 85, смт Холми Корюківського району — реконструкція котельні із встановленням твердопаливних котлів
</t>
  </si>
  <si>
    <t>декларація від 02.12.16 №ЧГ 142163370836</t>
  </si>
  <si>
    <t xml:space="preserve">Загальноосвітня школа I-III ступеня № 1 по вул. Шевченка, 54, м. Корюківка — реконструкція покрівлі
</t>
  </si>
  <si>
    <t>декларація від 23.11.16 №ЧГ 142163281002</t>
  </si>
  <si>
    <t xml:space="preserve">Загальноосвітня школа I-III ступеня по вул. Шкільній, 4, с. Савинки Корюківського району — реконструкція котельні із встановленням твердопаливних котлів
</t>
  </si>
  <si>
    <t>декларація від 02.12.16 №ЧГ 142163370732</t>
  </si>
  <si>
    <t xml:space="preserve">Корюківська центральна районна лікарня по вул. Шевченка, 101, м. Корюківка — реконструкція приміщення поліклінічного відділення
</t>
  </si>
  <si>
    <t xml:space="preserve">Центральний водозабір, смт Куликівка — реконструкція водонапірної башти
</t>
  </si>
  <si>
    <t>№1 від 03.08.2016, №2 від 28.09.2016, №3 від 21.10.2016, №4 від 20.12.2016</t>
  </si>
  <si>
    <t xml:space="preserve">Загальноосвітня школа I-II ступеня по вул. Шевченка, 34, с. Дроздівка Куликівського району — реконструкція існуючої котельні із заміною двох котлів “Універсал” на твердопаливні котли “КПВ-200” сумарною потужністю 400 кВт для опалення приміщення
</t>
  </si>
  <si>
    <t xml:space="preserve">Блочно-модульна твердопаливна котельня розрахунковою потужністю 400 кВт по вул. Миру, 80, с. Горбове Куликівського району — будівництво
</t>
  </si>
  <si>
    <t>№1 від 13.09.2016, №2 від 05.10.2016, №3 від 28.11.2016</t>
  </si>
  <si>
    <t xml:space="preserve">Комунальний заклад “Менський районний будинок культури” по вул. Червона Площа, 3, м. Мена — реконструкція покрівлі
</t>
  </si>
  <si>
    <t>№87 від 26.12.2016, №87/1 від 26.12.2016</t>
  </si>
  <si>
    <t xml:space="preserve">Менська гімназія по вул. Шевченка, 56, м. Мена — реконструкція із встановленням шатрової покрівлі, заміною вхідних дверей та вікон (перша черга)
</t>
  </si>
  <si>
    <t xml:space="preserve">Вуличне освітлення, м. Мена (в межах КТП 204) — реконструкція
</t>
  </si>
  <si>
    <t xml:space="preserve">Ніжинська центральна районна лікарня по вул. Семашка, 1, м. Ніжин — капітальний ремонт із заміною вікон, тепло реновація
</t>
  </si>
  <si>
    <t>декларація від 30.12.16 № ЧГ 143163651527</t>
  </si>
  <si>
    <t xml:space="preserve">Загальноосвітня школа I-III ступеня по вул. Кірова, 4, смт Лосинівка Ніжинського району — капітальний ремонт, теплореновація (заміна вікон на металопластикові)
</t>
  </si>
  <si>
    <t>декларація від 22.12.16 № ЧГ 143163571435</t>
  </si>
  <si>
    <t xml:space="preserve">Будівля № 2 загальноосвітньої школи I-II ступеня по вул. Леніна, 82, с. Григоро-Іванівка Ніжинського району — реконструкція під дошкільний навчальний заклад “ясла-сад”
</t>
  </si>
  <si>
    <t xml:space="preserve">Загальноосвітня школа I-III ступеня, с. Грем’яч Новгород-Сіверського району — реконструкція даху і приміщення
</t>
  </si>
  <si>
    <t xml:space="preserve">Будівля Ладанської гімназії по вул. Миру, 114, смт Ладан Прилуцького району — реконструкція приміщень із заміною вікон друга черга - спортивний зал з навчальними кабінетами та іншими приміщеннями
</t>
  </si>
  <si>
    <t xml:space="preserve">Буріння водозабірних свердловин для господарсько-питного водопостачання, с. Голубівка Прилуцького району (перша черга)
</t>
  </si>
  <si>
    <t xml:space="preserve">Гуртожиток по вул. Попудренка, 14, смт Ріпки — капітальний ремонт покрівлі
</t>
  </si>
  <si>
    <t>декларація від 29.12.16 №ЧГ 143163640968</t>
  </si>
  <si>
    <t xml:space="preserve">Дитячий садок по вул. Преображенській, 13а, смт Любеч — капітальний ремонт частини приміщень (заміна вікон та дверей)
</t>
  </si>
  <si>
    <t>№1 від 29.11.2016</t>
  </si>
  <si>
    <t xml:space="preserve">Блочно-модульна котельня на твердому паливі для опалення загальноосвітньої школи I-III ступеня, с. Жадове Семенівського району — будівництво
</t>
  </si>
  <si>
    <t xml:space="preserve">Встановлення станції підйому води другого рівня у мікрорайоні п’ятиповерхової забудови, м. Семенівка
</t>
  </si>
  <si>
    <t xml:space="preserve">Гімназія імені О. П. Довженка, смт Сосниця — реконструкція із застосуванням системи енергозбереження
</t>
  </si>
  <si>
    <t xml:space="preserve">Загальноосвітня школа I-III ступеня, с. Сокиринці Срібнянського району — капітальний ремонт
</t>
  </si>
  <si>
    <t xml:space="preserve">Загальноосвітня школа I-III ступеня по вул. Шкільній, 19, с. Гурбинці Срібнянського району — капітальний ремонт приміщення з облаштуванням внутрішніх туалетів
</t>
  </si>
  <si>
    <t>декларація від 14.12.16 №ЧГ 143163491958</t>
  </si>
  <si>
    <t xml:space="preserve">Загальноосвітня школа I-II ступеня, с. Поділ Срібнянського району — капітальний ремонт
</t>
  </si>
  <si>
    <t>декларація від 14.12.16 №ЧГ 142163492074</t>
  </si>
  <si>
    <t xml:space="preserve">Дільнича лікарня на 100 ліжок з поліклінікою на 200 відвідувань, смт Талалаївка — будівництво
</t>
  </si>
  <si>
    <t xml:space="preserve">Будівля Хмільницького навчально-виховного комплексу по вул. Шкільній, 1, с. Хмільниця Чернігівського району — реконструкція
</t>
  </si>
  <si>
    <t>№1 від 12.12.2016</t>
  </si>
  <si>
    <t xml:space="preserve">Гімназія по вул. Танкістів, 82а, смт Гончарівське Чернігівського району — реконструкція (заміна вікон і дверей)
</t>
  </si>
  <si>
    <t xml:space="preserve">Дитячий навчальний заклад “Веселка” Смолинської сільської ради Чернігівського району — реконструкція системи опалення
</t>
  </si>
  <si>
    <t>декларація від 12.01.16 №ЧГ 143170121619</t>
  </si>
  <si>
    <t xml:space="preserve">Будівля Седнівської лікарської амбулаторії загальної практики сімейної медицини по вул. Я. Лизогуба, 4е, смт Седнів Чернігівського району — реконструкція
</t>
  </si>
  <si>
    <t>декларація від 12.01.16 №ЧГ 143170121734</t>
  </si>
  <si>
    <t xml:space="preserve">Каналізаційно-насосна станція Хмільницького навчально-виховного комплексу по вул. Шкільній, 1, с. Хмільниця Чернігівського району — реконструкція
</t>
  </si>
  <si>
    <t>декларація від 12.01.16 №ЧГ 142170121652</t>
  </si>
  <si>
    <t xml:space="preserve">Загальноосвітня школа I-III ступеня № 1 по вул. Стрілецької Дивізії, 35, м. Щорс — капітальний ремонт приміщення котельні з установкою твердопаливних котлів Т300
</t>
  </si>
  <si>
    <t>№1 від 31.10.2016, №2 від 31.10.2016, №3 від 20.12.2016, №4 від 20.12.2016</t>
  </si>
  <si>
    <t xml:space="preserve">Трибуни стадіону Щорської районної організації Всеукраїнського фізкультурно-спортивного товариства “Колос” агропромислового комплексу України по вул. Горького, 22а, м. Щорс — реконструкція (перша та друга черги)
</t>
  </si>
  <si>
    <t xml:space="preserve">накл.№1/1 від 14.12.16  </t>
  </si>
  <si>
    <t xml:space="preserve">Блок “В” пологового будинку по вул. Московській, 21а, м. Ніжин — реконструкція
</t>
  </si>
  <si>
    <t xml:space="preserve">Кінотеатр ”Літній” по вул. Б. Майстренка, 8, м. Новгород-Сіверський — реконструкція під спортивну залу
</t>
  </si>
  <si>
    <t xml:space="preserve">Будівництво корпусу № 2 школи-гімназії та реконструкція існуючого по вул. Київській, 190, м. Прилуки
</t>
  </si>
  <si>
    <t xml:space="preserve">Енергоефективна реновація загальноосвітнього навчального закладу № 11 (реконструкція) по просп. Миру, 137, м. Чернігів
</t>
  </si>
  <si>
    <t xml:space="preserve">Дитячий садок-ясла в мікрорайоні № 1 “Масани”, м. Чернігів — будівництво
</t>
  </si>
  <si>
    <t xml:space="preserve">Школа № 5 на 520 місць по вул. Вокзальній в м. Носівці — будівництво
</t>
  </si>
  <si>
    <t xml:space="preserve">Теплотраса Козелецького геріатричного пансіонату в с. Часнівці Козелецького району — капітальний ремонт
</t>
  </si>
  <si>
    <t xml:space="preserve">Чернігівський геріатричний пансіонат по вул. Беспалова, 12, м. Чернігів — реконструкція (заміна вікон та дверей в першому корпусі, переході (галерея) та бібліотеці)
</t>
  </si>
  <si>
    <t xml:space="preserve">Гімназія по вул. Зайцева, 94, м. Остер Козелецького району — капітальний ремонт
</t>
  </si>
  <si>
    <t>№1 від 27.12.2016, №2 від 27.12.2016</t>
  </si>
  <si>
    <t xml:space="preserve">Лінія електропостачання по вул. Арвата, вул. Афганців, вул. П. Морозова, м. Ніжин — будівництво з встановленням комплектної трансформаторної підстанції
</t>
  </si>
  <si>
    <t xml:space="preserve">Житловий будинок Куликівської селищної ради по вул. Щорса, 45а, смт Куликівка — реконструкція покрівлі та внутрішньодомової дощової каналізації
</t>
  </si>
  <si>
    <t>№1 від 20.12.2016, №2 від 21.12.2016</t>
  </si>
  <si>
    <t xml:space="preserve">Будівлі комунального лікувально-профілактичного закладу “Чернігівська обласна психоневрологічна лікарня” 4-й км Гомельського шосе, 6, Халявинська сільська рада, Чернігівський район — капітальний ремонт покрівель
</t>
  </si>
  <si>
    <t xml:space="preserve">Будівля одноповерхового палатного корпусу комунального лікувально-профілактичного закладу “Чернігівська обласна психоневрологічна лікарня” по вул. Щорса, 3, м. Чернігів — капітальний ремонт покрівлі
</t>
  </si>
  <si>
    <t xml:space="preserve">Будівля Бірківської сільської лікарської амбулаторії загальної практики сімейної медицини, с. Бірківка Менського району — реконструкція системи теплопостачання з встановленням твердопаливного котла
</t>
  </si>
  <si>
    <t xml:space="preserve">Мережа вуличного освітлення по вулицях Радянській, Щорса, Польовій, Перемоги, Зарічній, Калініна, Довженка, Деснянка, Перевертуна, с. Шаболтасівка Сосницького району — капітальний ремонт
</t>
  </si>
  <si>
    <t>№162 від 27.12.2016</t>
  </si>
  <si>
    <t xml:space="preserve">Авдіївський дошкільний навчальний заклад “Ромашка” по вул. Сіверська, с. Авдіївка Сосницького району — реконструкція (термосанація)”
</t>
  </si>
  <si>
    <t>м. КИЇВ</t>
  </si>
  <si>
    <t xml:space="preserve">Друга нитка Головного міського каналізаційного колектора — будівництво
</t>
  </si>
  <si>
    <t>1993-2017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</si>
</sst>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37" x14ac:knownFonts="1">
    <font>
      <sz val="11"/>
      <color theme="1"/>
      <name val="Calibri"/>
      <family val="2"/>
      <charset val="204"/>
      <scheme val="minor"/>
    </font>
    <font>
      <sz val="11"/>
      <color theme="1"/>
      <name val="Arial"/>
      <family val="2"/>
      <charset val="204"/>
    </font>
    <font>
      <b/>
      <sz val="26"/>
      <name val="Arial"/>
      <family val="2"/>
      <charset val="204"/>
    </font>
    <font>
      <sz val="26"/>
      <name val="Arial"/>
      <family val="2"/>
      <charset val="204"/>
    </font>
    <font>
      <sz val="10"/>
      <name val="Arial"/>
      <family val="2"/>
      <charset val="204"/>
    </font>
    <font>
      <b/>
      <sz val="20"/>
      <name val="Arial"/>
      <family val="2"/>
      <charset val="204"/>
    </font>
    <font>
      <sz val="20"/>
      <name val="Arial"/>
      <family val="2"/>
      <charset val="204"/>
    </font>
    <font>
      <i/>
      <sz val="18"/>
      <name val="Arial"/>
      <family val="2"/>
      <charset val="204"/>
    </font>
    <font>
      <sz val="18"/>
      <name val="Arial"/>
      <family val="2"/>
      <charset val="204"/>
    </font>
    <font>
      <b/>
      <i/>
      <sz val="18"/>
      <name val="Arial"/>
      <family val="2"/>
      <charset val="204"/>
    </font>
    <font>
      <b/>
      <sz val="11"/>
      <color indexed="8"/>
      <name val="Arial"/>
      <family val="2"/>
      <charset val="204"/>
    </font>
    <font>
      <sz val="12"/>
      <name val="Arial"/>
      <family val="2"/>
      <charset val="204"/>
    </font>
    <font>
      <i/>
      <sz val="14"/>
      <name val="Arial"/>
      <family val="2"/>
      <charset val="204"/>
    </font>
    <font>
      <sz val="13.5"/>
      <name val="Arial"/>
      <family val="2"/>
      <charset val="204"/>
    </font>
    <font>
      <i/>
      <sz val="15"/>
      <name val="Arial"/>
      <family val="2"/>
      <charset val="204"/>
    </font>
    <font>
      <sz val="11.5"/>
      <name val="Arial"/>
      <family val="2"/>
      <charset val="204"/>
    </font>
    <font>
      <b/>
      <sz val="11.5"/>
      <name val="Arial"/>
      <family val="2"/>
      <charset val="204"/>
    </font>
    <font>
      <sz val="11.5"/>
      <color indexed="8"/>
      <name val="Arial"/>
      <family val="2"/>
      <charset val="204"/>
    </font>
    <font>
      <sz val="11"/>
      <name val="Arial"/>
      <family val="2"/>
      <charset val="204"/>
    </font>
    <font>
      <b/>
      <sz val="12"/>
      <name val="Arial"/>
      <family val="2"/>
      <charset val="204"/>
    </font>
    <font>
      <b/>
      <sz val="14"/>
      <name val="Arial"/>
      <family val="2"/>
      <charset val="204"/>
    </font>
    <font>
      <b/>
      <sz val="13"/>
      <name val="Arial"/>
      <family val="2"/>
      <charset val="204"/>
    </font>
    <font>
      <b/>
      <sz val="13.5"/>
      <name val="Arial"/>
      <family val="2"/>
      <charset val="204"/>
    </font>
    <font>
      <sz val="14"/>
      <color rgb="FF000000"/>
      <name val="Arial"/>
      <family val="2"/>
      <charset val="204"/>
    </font>
    <font>
      <sz val="14"/>
      <name val="Arial"/>
      <family val="2"/>
      <charset val="204"/>
    </font>
    <font>
      <sz val="14"/>
      <color theme="1"/>
      <name val="Arial"/>
      <family val="2"/>
      <charset val="204"/>
    </font>
    <font>
      <sz val="12"/>
      <color theme="1"/>
      <name val="Arial"/>
      <family val="2"/>
      <charset val="204"/>
    </font>
    <font>
      <sz val="13.5"/>
      <color theme="1"/>
      <name val="Arial"/>
      <family val="2"/>
      <charset val="204"/>
    </font>
    <font>
      <i/>
      <sz val="14"/>
      <color indexed="8"/>
      <name val="Arial"/>
      <family val="2"/>
      <charset val="204"/>
    </font>
    <font>
      <sz val="11"/>
      <color theme="0"/>
      <name val="Arial"/>
      <family val="2"/>
      <charset val="204"/>
    </font>
    <font>
      <sz val="12"/>
      <color theme="0"/>
      <name val="Arial"/>
      <family val="2"/>
      <charset val="204"/>
    </font>
    <font>
      <sz val="10"/>
      <color theme="0"/>
      <name val="Arial"/>
      <family val="2"/>
      <charset val="204"/>
    </font>
    <font>
      <sz val="14"/>
      <color rgb="FF000000"/>
      <name val="Times New Roman"/>
      <family val="1"/>
      <charset val="204"/>
    </font>
    <font>
      <sz val="14"/>
      <name val="Times New Roman"/>
      <family val="1"/>
      <charset val="204"/>
    </font>
    <font>
      <sz val="13.5"/>
      <name val="Times New Roman"/>
      <family val="1"/>
      <charset val="204"/>
    </font>
    <font>
      <sz val="12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9FF99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4">
    <xf numFmtId="0" fontId="0" fillId="0" borderId="0" xfId="0"/>
    <xf numFmtId="0" fontId="1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11" fillId="0" borderId="0" xfId="0" applyFont="1"/>
    <xf numFmtId="0" fontId="12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3" fillId="0" borderId="0" xfId="0" applyFont="1"/>
    <xf numFmtId="0" fontId="14" fillId="0" borderId="0" xfId="0" applyFont="1" applyAlignment="1">
      <alignment horizontal="center"/>
    </xf>
    <xf numFmtId="0" fontId="11" fillId="0" borderId="24" xfId="0" applyFont="1" applyBorder="1" applyAlignment="1">
      <alignment horizontal="center" vertical="top" wrapText="1"/>
    </xf>
    <xf numFmtId="0" fontId="18" fillId="0" borderId="9" xfId="0" applyFont="1" applyBorder="1" applyAlignment="1">
      <alignment horizontal="center" vertical="top" wrapText="1"/>
    </xf>
    <xf numFmtId="0" fontId="18" fillId="0" borderId="20" xfId="0" applyFont="1" applyBorder="1" applyAlignment="1">
      <alignment horizontal="center" vertical="top" wrapText="1"/>
    </xf>
    <xf numFmtId="0" fontId="18" fillId="0" borderId="21" xfId="0" applyFont="1" applyBorder="1" applyAlignment="1">
      <alignment horizontal="center" vertical="top" wrapText="1"/>
    </xf>
    <xf numFmtId="0" fontId="18" fillId="0" borderId="22" xfId="0" applyFont="1" applyBorder="1" applyAlignment="1">
      <alignment horizontal="center" vertical="top" wrapText="1"/>
    </xf>
    <xf numFmtId="0" fontId="18" fillId="0" borderId="25" xfId="0" applyFont="1" applyBorder="1" applyAlignment="1">
      <alignment horizontal="center" vertical="top" wrapText="1"/>
    </xf>
    <xf numFmtId="3" fontId="19" fillId="3" borderId="26" xfId="0" applyNumberFormat="1" applyFont="1" applyFill="1" applyBorder="1" applyAlignment="1">
      <alignment horizontal="center" vertical="center" wrapText="1"/>
    </xf>
    <xf numFmtId="49" fontId="20" fillId="3" borderId="27" xfId="0" applyNumberFormat="1" applyFont="1" applyFill="1" applyBorder="1" applyAlignment="1">
      <alignment horizontal="left" vertical="center" wrapText="1"/>
    </xf>
    <xf numFmtId="49" fontId="20" fillId="3" borderId="27" xfId="0" applyNumberFormat="1" applyFont="1" applyFill="1" applyBorder="1" applyAlignment="1">
      <alignment horizontal="center" vertical="center" wrapText="1"/>
    </xf>
    <xf numFmtId="4" fontId="21" fillId="3" borderId="27" xfId="0" applyNumberFormat="1" applyFont="1" applyFill="1" applyBorder="1" applyAlignment="1">
      <alignment horizontal="center" vertical="center" wrapText="1"/>
    </xf>
    <xf numFmtId="164" fontId="21" fillId="3" borderId="27" xfId="0" applyNumberFormat="1" applyFont="1" applyFill="1" applyBorder="1" applyAlignment="1">
      <alignment horizontal="center" vertical="center" wrapText="1"/>
    </xf>
    <xf numFmtId="49" fontId="22" fillId="3" borderId="27" xfId="0" applyNumberFormat="1" applyFont="1" applyFill="1" applyBorder="1" applyAlignment="1">
      <alignment horizontal="center" vertical="center" wrapText="1"/>
    </xf>
    <xf numFmtId="49" fontId="20" fillId="3" borderId="28" xfId="0" applyNumberFormat="1" applyFont="1" applyFill="1" applyBorder="1" applyAlignment="1">
      <alignment horizontal="center" vertical="center" wrapText="1"/>
    </xf>
    <xf numFmtId="3" fontId="19" fillId="0" borderId="29" xfId="0" applyNumberFormat="1" applyFont="1" applyBorder="1" applyAlignment="1">
      <alignment horizontal="center" vertical="center" wrapText="1"/>
    </xf>
    <xf numFmtId="49" fontId="20" fillId="0" borderId="6" xfId="0" applyNumberFormat="1" applyFont="1" applyBorder="1" applyAlignment="1">
      <alignment horizontal="left" vertical="center" wrapText="1"/>
    </xf>
    <xf numFmtId="49" fontId="20" fillId="0" borderId="6" xfId="0" applyNumberFormat="1" applyFont="1" applyBorder="1" applyAlignment="1">
      <alignment horizontal="center" vertical="center" wrapText="1"/>
    </xf>
    <xf numFmtId="164" fontId="21" fillId="0" borderId="6" xfId="0" applyNumberFormat="1" applyFont="1" applyBorder="1" applyAlignment="1">
      <alignment horizontal="center" vertical="center" wrapText="1"/>
    </xf>
    <xf numFmtId="49" fontId="22" fillId="0" borderId="6" xfId="0" applyNumberFormat="1" applyFont="1" applyBorder="1" applyAlignment="1">
      <alignment horizontal="center" vertical="center" wrapText="1"/>
    </xf>
    <xf numFmtId="49" fontId="20" fillId="0" borderId="30" xfId="0" applyNumberFormat="1" applyFont="1" applyBorder="1" applyAlignment="1">
      <alignment horizontal="center" vertical="center" wrapText="1"/>
    </xf>
    <xf numFmtId="3" fontId="19" fillId="0" borderId="31" xfId="0" applyNumberFormat="1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left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4" fontId="21" fillId="0" borderId="32" xfId="0" applyNumberFormat="1" applyFont="1" applyBorder="1" applyAlignment="1">
      <alignment horizontal="center" vertical="center" wrapText="1"/>
    </xf>
    <xf numFmtId="164" fontId="21" fillId="0" borderId="32" xfId="0" applyNumberFormat="1" applyFont="1" applyBorder="1" applyAlignment="1">
      <alignment horizontal="center" vertical="center" wrapText="1"/>
    </xf>
    <xf numFmtId="49" fontId="22" fillId="0" borderId="32" xfId="0" applyNumberFormat="1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164" fontId="20" fillId="0" borderId="6" xfId="0" applyNumberFormat="1" applyFont="1" applyBorder="1" applyAlignment="1">
      <alignment horizontal="center" vertical="center" wrapText="1"/>
    </xf>
    <xf numFmtId="164" fontId="20" fillId="2" borderId="6" xfId="0" applyNumberFormat="1" applyFont="1" applyFill="1" applyBorder="1" applyAlignment="1">
      <alignment horizontal="center" vertical="center" wrapText="1"/>
    </xf>
    <xf numFmtId="3" fontId="11" fillId="0" borderId="29" xfId="0" applyNumberFormat="1" applyFont="1" applyBorder="1" applyAlignment="1">
      <alignment horizontal="center" vertical="center" wrapText="1"/>
    </xf>
    <xf numFmtId="0" fontId="23" fillId="5" borderId="6" xfId="0" applyFont="1" applyFill="1" applyBorder="1" applyAlignment="1">
      <alignment horizontal="left" vertical="top" wrapText="1"/>
    </xf>
    <xf numFmtId="49" fontId="24" fillId="0" borderId="6" xfId="0" applyNumberFormat="1" applyFont="1" applyBorder="1" applyAlignment="1">
      <alignment horizontal="center" vertical="center" wrapText="1"/>
    </xf>
    <xf numFmtId="164" fontId="24" fillId="2" borderId="6" xfId="0" applyNumberFormat="1" applyFont="1" applyFill="1" applyBorder="1" applyAlignment="1">
      <alignment horizontal="center" vertical="center" wrapText="1"/>
    </xf>
    <xf numFmtId="164" fontId="24" fillId="0" borderId="6" xfId="0" applyNumberFormat="1" applyFont="1" applyBorder="1" applyAlignment="1">
      <alignment horizontal="center" vertical="center" wrapText="1"/>
    </xf>
    <xf numFmtId="49" fontId="13" fillId="2" borderId="6" xfId="0" applyNumberFormat="1" applyFont="1" applyFill="1" applyBorder="1" applyAlignment="1">
      <alignment horizontal="center" vertical="center" wrapText="1"/>
    </xf>
    <xf numFmtId="49" fontId="11" fillId="0" borderId="6" xfId="0" applyNumberFormat="1" applyFont="1" applyBorder="1" applyAlignment="1">
      <alignment horizontal="center" vertical="center" wrapText="1"/>
    </xf>
    <xf numFmtId="49" fontId="11" fillId="0" borderId="30" xfId="0" applyNumberFormat="1" applyFont="1" applyBorder="1" applyAlignment="1">
      <alignment horizontal="center" vertical="center" wrapText="1"/>
    </xf>
    <xf numFmtId="3" fontId="11" fillId="6" borderId="29" xfId="0" applyNumberFormat="1" applyFont="1" applyFill="1" applyBorder="1" applyAlignment="1">
      <alignment horizontal="center" vertical="center" wrapText="1"/>
    </xf>
    <xf numFmtId="164" fontId="25" fillId="0" borderId="6" xfId="0" applyNumberFormat="1" applyFont="1" applyBorder="1" applyAlignment="1">
      <alignment horizontal="center" vertical="center" wrapText="1"/>
    </xf>
    <xf numFmtId="49" fontId="25" fillId="0" borderId="6" xfId="0" applyNumberFormat="1" applyFont="1" applyBorder="1" applyAlignment="1">
      <alignment horizontal="center" vertical="center" wrapText="1"/>
    </xf>
    <xf numFmtId="164" fontId="25" fillId="2" borderId="6" xfId="0" applyNumberFormat="1" applyFont="1" applyFill="1" applyBorder="1" applyAlignment="1">
      <alignment horizontal="center" vertical="center" wrapText="1"/>
    </xf>
    <xf numFmtId="49" fontId="26" fillId="0" borderId="6" xfId="0" applyNumberFormat="1" applyFont="1" applyBorder="1" applyAlignment="1">
      <alignment horizontal="center" vertical="center" wrapText="1"/>
    </xf>
    <xf numFmtId="49" fontId="26" fillId="0" borderId="30" xfId="0" applyNumberFormat="1" applyFont="1" applyBorder="1" applyAlignment="1">
      <alignment horizontal="center" vertical="center" wrapText="1"/>
    </xf>
    <xf numFmtId="3" fontId="11" fillId="0" borderId="31" xfId="0" applyNumberFormat="1" applyFont="1" applyBorder="1" applyAlignment="1">
      <alignment horizontal="center" vertical="center" wrapText="1"/>
    </xf>
    <xf numFmtId="0" fontId="23" fillId="5" borderId="32" xfId="0" applyFont="1" applyFill="1" applyBorder="1" applyAlignment="1">
      <alignment horizontal="left" vertical="top" wrapText="1"/>
    </xf>
    <xf numFmtId="49" fontId="24" fillId="0" borderId="32" xfId="0" applyNumberFormat="1" applyFont="1" applyBorder="1" applyAlignment="1">
      <alignment horizontal="center" vertical="center" wrapText="1"/>
    </xf>
    <xf numFmtId="164" fontId="25" fillId="2" borderId="32" xfId="0" applyNumberFormat="1" applyFont="1" applyFill="1" applyBorder="1" applyAlignment="1">
      <alignment horizontal="center" vertical="center" wrapText="1"/>
    </xf>
    <xf numFmtId="164" fontId="25" fillId="0" borderId="32" xfId="0" applyNumberFormat="1" applyFont="1" applyBorder="1" applyAlignment="1">
      <alignment horizontal="center" vertical="center" wrapText="1"/>
    </xf>
    <xf numFmtId="49" fontId="13" fillId="2" borderId="32" xfId="0" applyNumberFormat="1" applyFont="1" applyFill="1" applyBorder="1" applyAlignment="1">
      <alignment horizontal="center" vertical="center" wrapText="1"/>
    </xf>
    <xf numFmtId="3" fontId="11" fillId="0" borderId="37" xfId="0" applyNumberFormat="1" applyFont="1" applyBorder="1" applyAlignment="1">
      <alignment horizontal="center" vertical="center" wrapText="1"/>
    </xf>
    <xf numFmtId="0" fontId="23" fillId="5" borderId="38" xfId="0" applyFont="1" applyFill="1" applyBorder="1" applyAlignment="1">
      <alignment horizontal="left" vertical="top" wrapText="1"/>
    </xf>
    <xf numFmtId="49" fontId="25" fillId="0" borderId="38" xfId="0" applyNumberFormat="1" applyFont="1" applyBorder="1" applyAlignment="1">
      <alignment horizontal="center" vertical="center" wrapText="1"/>
    </xf>
    <xf numFmtId="164" fontId="25" fillId="2" borderId="38" xfId="0" applyNumberFormat="1" applyFont="1" applyFill="1" applyBorder="1" applyAlignment="1">
      <alignment horizontal="center" vertical="center" wrapText="1"/>
    </xf>
    <xf numFmtId="164" fontId="25" fillId="0" borderId="38" xfId="0" applyNumberFormat="1" applyFont="1" applyBorder="1" applyAlignment="1">
      <alignment horizontal="center" vertical="center" wrapText="1"/>
    </xf>
    <xf numFmtId="49" fontId="27" fillId="2" borderId="38" xfId="0" applyNumberFormat="1" applyFont="1" applyFill="1" applyBorder="1" applyAlignment="1">
      <alignment horizontal="center" vertical="center" wrapText="1"/>
    </xf>
    <xf numFmtId="49" fontId="26" fillId="0" borderId="38" xfId="0" applyNumberFormat="1" applyFont="1" applyBorder="1" applyAlignment="1">
      <alignment horizontal="center" vertical="center" wrapText="1"/>
    </xf>
    <xf numFmtId="49" fontId="26" fillId="0" borderId="39" xfId="0" applyNumberFormat="1" applyFont="1" applyBorder="1" applyAlignment="1">
      <alignment horizontal="center" vertical="center" wrapText="1"/>
    </xf>
    <xf numFmtId="49" fontId="13" fillId="0" borderId="6" xfId="0" applyNumberFormat="1" applyFont="1" applyBorder="1" applyAlignment="1">
      <alignment horizontal="center" vertical="center" wrapText="1"/>
    </xf>
    <xf numFmtId="49" fontId="11" fillId="0" borderId="32" xfId="0" applyNumberFormat="1" applyFont="1" applyBorder="1" applyAlignment="1">
      <alignment horizontal="center" vertical="center" wrapText="1"/>
    </xf>
    <xf numFmtId="3" fontId="11" fillId="6" borderId="37" xfId="0" applyNumberFormat="1" applyFont="1" applyFill="1" applyBorder="1" applyAlignment="1">
      <alignment horizontal="center" vertical="center" wrapText="1"/>
    </xf>
    <xf numFmtId="49" fontId="24" fillId="0" borderId="38" xfId="0" applyNumberFormat="1" applyFont="1" applyBorder="1" applyAlignment="1">
      <alignment horizontal="center" vertical="center" wrapText="1"/>
    </xf>
    <xf numFmtId="164" fontId="24" fillId="0" borderId="38" xfId="0" applyNumberFormat="1" applyFont="1" applyBorder="1" applyAlignment="1">
      <alignment horizontal="center" vertical="center" wrapText="1"/>
    </xf>
    <xf numFmtId="164" fontId="24" fillId="2" borderId="38" xfId="0" applyNumberFormat="1" applyFont="1" applyFill="1" applyBorder="1" applyAlignment="1">
      <alignment horizontal="center" vertical="center" wrapText="1"/>
    </xf>
    <xf numFmtId="49" fontId="13" fillId="0" borderId="38" xfId="0" applyNumberFormat="1" applyFont="1" applyBorder="1" applyAlignment="1">
      <alignment horizontal="center" vertical="center" wrapText="1"/>
    </xf>
    <xf numFmtId="49" fontId="11" fillId="0" borderId="38" xfId="0" applyNumberFormat="1" applyFont="1" applyBorder="1" applyAlignment="1">
      <alignment horizontal="center" vertical="center" wrapText="1"/>
    </xf>
    <xf numFmtId="49" fontId="11" fillId="0" borderId="39" xfId="0" applyNumberFormat="1" applyFont="1" applyBorder="1" applyAlignment="1">
      <alignment horizontal="center" vertical="center" wrapText="1"/>
    </xf>
    <xf numFmtId="49" fontId="11" fillId="2" borderId="6" xfId="0" applyNumberFormat="1" applyFont="1" applyFill="1" applyBorder="1" applyAlignment="1">
      <alignment horizontal="center" vertical="center" wrapText="1"/>
    </xf>
    <xf numFmtId="49" fontId="29" fillId="0" borderId="6" xfId="0" applyNumberFormat="1" applyFont="1" applyBorder="1" applyAlignment="1">
      <alignment horizontal="center" vertical="center" wrapText="1"/>
    </xf>
    <xf numFmtId="49" fontId="29" fillId="2" borderId="6" xfId="0" applyNumberFormat="1" applyFont="1" applyFill="1" applyBorder="1" applyAlignment="1">
      <alignment horizontal="center" vertical="center" wrapText="1"/>
    </xf>
    <xf numFmtId="49" fontId="18" fillId="0" borderId="6" xfId="0" applyNumberFormat="1" applyFont="1" applyBorder="1" applyAlignment="1">
      <alignment horizontal="center" vertical="center" wrapText="1"/>
    </xf>
    <xf numFmtId="49" fontId="30" fillId="0" borderId="6" xfId="0" applyNumberFormat="1" applyFont="1" applyBorder="1" applyAlignment="1">
      <alignment horizontal="center" vertical="center" wrapText="1"/>
    </xf>
    <xf numFmtId="49" fontId="13" fillId="2" borderId="38" xfId="0" applyNumberFormat="1" applyFont="1" applyFill="1" applyBorder="1" applyAlignment="1">
      <alignment horizontal="center" vertical="center" wrapText="1"/>
    </xf>
    <xf numFmtId="0" fontId="23" fillId="2" borderId="6" xfId="0" applyFont="1" applyFill="1" applyBorder="1" applyAlignment="1">
      <alignment horizontal="left" vertical="top" wrapText="1"/>
    </xf>
    <xf numFmtId="0" fontId="23" fillId="2" borderId="38" xfId="0" applyFont="1" applyFill="1" applyBorder="1" applyAlignment="1">
      <alignment horizontal="left" vertical="top" wrapText="1"/>
    </xf>
    <xf numFmtId="49" fontId="11" fillId="2" borderId="30" xfId="0" applyNumberFormat="1" applyFont="1" applyFill="1" applyBorder="1" applyAlignment="1">
      <alignment horizontal="center" vertical="center" wrapText="1"/>
    </xf>
    <xf numFmtId="3" fontId="11" fillId="6" borderId="31" xfId="0" applyNumberFormat="1" applyFont="1" applyFill="1" applyBorder="1" applyAlignment="1">
      <alignment horizontal="center" vertical="center" wrapText="1"/>
    </xf>
    <xf numFmtId="0" fontId="23" fillId="2" borderId="32" xfId="0" applyFont="1" applyFill="1" applyBorder="1" applyAlignment="1">
      <alignment horizontal="left" vertical="top" wrapText="1"/>
    </xf>
    <xf numFmtId="164" fontId="24" fillId="0" borderId="32" xfId="0" applyNumberFormat="1" applyFont="1" applyBorder="1" applyAlignment="1">
      <alignment horizontal="center" vertical="center" wrapText="1"/>
    </xf>
    <xf numFmtId="164" fontId="24" fillId="2" borderId="32" xfId="0" applyNumberFormat="1" applyFont="1" applyFill="1" applyBorder="1" applyAlignment="1">
      <alignment horizontal="center" vertical="center" wrapText="1"/>
    </xf>
    <xf numFmtId="49" fontId="11" fillId="2" borderId="39" xfId="0" applyNumberFormat="1" applyFont="1" applyFill="1" applyBorder="1" applyAlignment="1">
      <alignment horizontal="center" vertical="center" wrapText="1"/>
    </xf>
    <xf numFmtId="49" fontId="30" fillId="0" borderId="32" xfId="0" applyNumberFormat="1" applyFont="1" applyBorder="1" applyAlignment="1">
      <alignment horizontal="center" vertical="center" wrapText="1"/>
    </xf>
    <xf numFmtId="49" fontId="11" fillId="0" borderId="33" xfId="0" applyNumberFormat="1" applyFont="1" applyBorder="1" applyAlignment="1">
      <alignment horizontal="center" vertical="center" wrapText="1"/>
    </xf>
    <xf numFmtId="49" fontId="13" fillId="0" borderId="32" xfId="0" applyNumberFormat="1" applyFont="1" applyBorder="1" applyAlignment="1">
      <alignment horizontal="center" vertical="center" wrapText="1"/>
    </xf>
    <xf numFmtId="49" fontId="15" fillId="0" borderId="6" xfId="0" applyNumberFormat="1" applyFont="1" applyBorder="1" applyAlignment="1">
      <alignment horizontal="center" vertical="center" wrapText="1"/>
    </xf>
    <xf numFmtId="49" fontId="18" fillId="0" borderId="38" xfId="0" applyNumberFormat="1" applyFont="1" applyBorder="1" applyAlignment="1">
      <alignment horizontal="center" vertical="center" wrapText="1"/>
    </xf>
    <xf numFmtId="49" fontId="24" fillId="2" borderId="6" xfId="0" applyNumberFormat="1" applyFont="1" applyFill="1" applyBorder="1" applyAlignment="1">
      <alignment horizontal="center" vertical="center" wrapText="1"/>
    </xf>
    <xf numFmtId="49" fontId="4" fillId="0" borderId="30" xfId="0" applyNumberFormat="1" applyFont="1" applyBorder="1" applyAlignment="1">
      <alignment horizontal="center" vertical="center" wrapText="1"/>
    </xf>
    <xf numFmtId="49" fontId="18" fillId="2" borderId="6" xfId="0" applyNumberFormat="1" applyFont="1" applyFill="1" applyBorder="1" applyAlignment="1">
      <alignment horizontal="center" vertical="center" wrapText="1"/>
    </xf>
    <xf numFmtId="49" fontId="4" fillId="0" borderId="6" xfId="0" applyNumberFormat="1" applyFont="1" applyBorder="1" applyAlignment="1">
      <alignment horizontal="center" vertical="center" wrapText="1"/>
    </xf>
    <xf numFmtId="49" fontId="31" fillId="0" borderId="6" xfId="0" applyNumberFormat="1" applyFont="1" applyBorder="1" applyAlignment="1">
      <alignment horizontal="center" vertical="center" wrapText="1"/>
    </xf>
    <xf numFmtId="49" fontId="30" fillId="2" borderId="6" xfId="0" applyNumberFormat="1" applyFont="1" applyFill="1" applyBorder="1" applyAlignment="1">
      <alignment horizontal="center" vertical="center" wrapText="1"/>
    </xf>
    <xf numFmtId="49" fontId="18" fillId="0" borderId="32" xfId="0" applyNumberFormat="1" applyFont="1" applyBorder="1" applyAlignment="1">
      <alignment horizontal="center" vertical="center" wrapText="1"/>
    </xf>
    <xf numFmtId="0" fontId="32" fillId="5" borderId="0" xfId="0" applyFont="1" applyFill="1" applyAlignment="1">
      <alignment horizontal="left" vertical="top" wrapText="1"/>
    </xf>
    <xf numFmtId="49" fontId="33" fillId="0" borderId="0" xfId="0" applyNumberFormat="1" applyFont="1" applyAlignment="1">
      <alignment horizontal="center" vertical="center" wrapText="1"/>
    </xf>
    <xf numFmtId="164" fontId="33" fillId="2" borderId="0" xfId="0" applyNumberFormat="1" applyFont="1" applyFill="1" applyAlignment="1">
      <alignment horizontal="center" vertical="center" wrapText="1"/>
    </xf>
    <xf numFmtId="164" fontId="33" fillId="0" borderId="0" xfId="0" applyNumberFormat="1" applyFont="1" applyAlignment="1">
      <alignment horizontal="center" vertical="center" wrapText="1"/>
    </xf>
    <xf numFmtId="49" fontId="34" fillId="0" borderId="0" xfId="0" applyNumberFormat="1" applyFont="1" applyAlignment="1">
      <alignment horizontal="center" vertical="center" wrapText="1"/>
    </xf>
    <xf numFmtId="49" fontId="35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6" fillId="0" borderId="0" xfId="0" applyFont="1"/>
    <xf numFmtId="3" fontId="35" fillId="0" borderId="0" xfId="0" applyNumberFormat="1" applyFont="1" applyAlignment="1">
      <alignment horizontal="center" vertical="center" wrapText="1"/>
    </xf>
    <xf numFmtId="49" fontId="11" fillId="2" borderId="32" xfId="0" applyNumberFormat="1" applyFont="1" applyFill="1" applyBorder="1" applyAlignment="1">
      <alignment horizontal="center" vertical="center" wrapText="1"/>
    </xf>
    <xf numFmtId="0" fontId="20" fillId="4" borderId="34" xfId="0" applyFont="1" applyFill="1" applyBorder="1" applyAlignment="1">
      <alignment horizontal="left" vertical="center" wrapText="1"/>
    </xf>
    <xf numFmtId="0" fontId="20" fillId="4" borderId="35" xfId="0" applyFont="1" applyFill="1" applyBorder="1" applyAlignment="1">
      <alignment horizontal="left" vertical="center" wrapText="1"/>
    </xf>
    <xf numFmtId="0" fontId="20" fillId="4" borderId="36" xfId="0" applyFont="1" applyFill="1" applyBorder="1" applyAlignment="1">
      <alignment horizontal="left" vertical="center" wrapText="1"/>
    </xf>
    <xf numFmtId="0" fontId="15" fillId="0" borderId="16" xfId="0" applyFont="1" applyBorder="1" applyAlignment="1">
      <alignment horizontal="center" vertical="center" wrapText="1"/>
    </xf>
    <xf numFmtId="0" fontId="15" fillId="0" borderId="22" xfId="0" applyFont="1" applyBorder="1" applyAlignment="1">
      <alignment horizontal="center" vertical="center" wrapText="1"/>
    </xf>
    <xf numFmtId="0" fontId="17" fillId="0" borderId="14" xfId="0" applyFont="1" applyBorder="1" applyAlignment="1">
      <alignment horizontal="center" vertical="center" wrapText="1"/>
    </xf>
    <xf numFmtId="0" fontId="17" fillId="0" borderId="20" xfId="0" applyFont="1" applyBorder="1" applyAlignment="1">
      <alignment horizontal="center" vertical="center" wrapText="1"/>
    </xf>
    <xf numFmtId="0" fontId="17" fillId="0" borderId="16" xfId="0" applyFont="1" applyBorder="1" applyAlignment="1">
      <alignment horizontal="center" vertical="center" wrapText="1"/>
    </xf>
    <xf numFmtId="0" fontId="17" fillId="0" borderId="22" xfId="0" applyFont="1" applyBorder="1" applyAlignment="1">
      <alignment horizontal="center" vertical="center" wrapText="1"/>
    </xf>
    <xf numFmtId="0" fontId="15" fillId="0" borderId="15" xfId="0" applyFont="1" applyBorder="1" applyAlignment="1">
      <alignment horizontal="center" vertical="center" wrapText="1"/>
    </xf>
    <xf numFmtId="0" fontId="15" fillId="0" borderId="21" xfId="0" applyFont="1" applyBorder="1" applyAlignment="1">
      <alignment horizontal="center" vertical="center" wrapText="1"/>
    </xf>
    <xf numFmtId="0" fontId="15" fillId="0" borderId="14" xfId="0" applyFont="1" applyBorder="1" applyAlignment="1">
      <alignment horizontal="center" vertical="center" wrapText="1"/>
    </xf>
    <xf numFmtId="0" fontId="15" fillId="0" borderId="20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0" fontId="15" fillId="0" borderId="10" xfId="0" applyFont="1" applyBorder="1" applyAlignment="1">
      <alignment horizontal="center" vertical="center" wrapText="1"/>
    </xf>
    <xf numFmtId="0" fontId="15" fillId="0" borderId="23" xfId="0" applyFont="1" applyBorder="1"/>
    <xf numFmtId="0" fontId="2" fillId="0" borderId="0" xfId="0" applyFont="1" applyAlignment="1">
      <alignment horizontal="center"/>
    </xf>
    <xf numFmtId="0" fontId="3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6" fillId="0" borderId="0" xfId="0" applyFont="1"/>
    <xf numFmtId="0" fontId="7" fillId="0" borderId="0" xfId="0" applyFont="1" applyAlignment="1">
      <alignment horizontal="center"/>
    </xf>
    <xf numFmtId="0" fontId="7" fillId="0" borderId="0" xfId="0" applyFont="1"/>
    <xf numFmtId="0" fontId="8" fillId="0" borderId="0" xfId="0" applyFont="1"/>
    <xf numFmtId="0" fontId="9" fillId="0" borderId="0" xfId="0" applyFont="1" applyAlignment="1">
      <alignment horizontal="center"/>
    </xf>
    <xf numFmtId="0" fontId="10" fillId="0" borderId="0" xfId="0" applyFont="1"/>
    <xf numFmtId="0" fontId="15" fillId="0" borderId="1" xfId="0" applyFont="1" applyBorder="1" applyAlignment="1">
      <alignment horizontal="center" vertical="center" wrapText="1"/>
    </xf>
    <xf numFmtId="0" fontId="15" fillId="0" borderId="7" xfId="0" applyFont="1" applyBorder="1" applyAlignment="1">
      <alignment horizontal="center" vertical="center" wrapText="1"/>
    </xf>
    <xf numFmtId="0" fontId="15" fillId="0" borderId="12" xfId="0" applyFont="1" applyBorder="1" applyAlignment="1">
      <alignment horizontal="center" vertical="center" wrapText="1"/>
    </xf>
    <xf numFmtId="0" fontId="15" fillId="0" borderId="17" xfId="0" applyFont="1" applyBorder="1" applyAlignment="1">
      <alignment horizontal="center" vertical="center" wrapText="1"/>
    </xf>
    <xf numFmtId="0" fontId="15" fillId="0" borderId="8" xfId="0" applyFont="1" applyBorder="1" applyAlignment="1">
      <alignment horizontal="center" vertical="center" wrapText="1"/>
    </xf>
    <xf numFmtId="0" fontId="15" fillId="0" borderId="18" xfId="0" applyFont="1" applyBorder="1" applyAlignment="1">
      <alignment horizontal="center" vertical="center" wrapText="1"/>
    </xf>
    <xf numFmtId="0" fontId="15" fillId="0" borderId="13" xfId="0" applyFont="1" applyBorder="1" applyAlignment="1">
      <alignment horizontal="center" vertical="center" wrapText="1"/>
    </xf>
    <xf numFmtId="0" fontId="15" fillId="0" borderId="19" xfId="0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/>
    </xf>
    <xf numFmtId="0" fontId="16" fillId="0" borderId="4" xfId="0" applyFont="1" applyBorder="1" applyAlignment="1">
      <alignment horizontal="center" vertical="center" wrapText="1"/>
    </xf>
    <xf numFmtId="0" fontId="15" fillId="0" borderId="5" xfId="0" applyFont="1" applyBorder="1"/>
    <xf numFmtId="0" fontId="15" fillId="0" borderId="10" xfId="0" applyFont="1" applyBorder="1"/>
    <xf numFmtId="0" fontId="15" fillId="0" borderId="11" xfId="0" applyFont="1" applyBorder="1"/>
  </cellXfs>
  <cellStyles count="1"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Офіс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5E513-E2B5-43E9-A336-CA65A0F7DC37}">
  <sheetPr>
    <tabColor rgb="FFFFC000"/>
    <pageSetUpPr fitToPage="1"/>
  </sheetPr>
  <dimension ref="A1:HZ924"/>
  <sheetViews>
    <sheetView tabSelected="1" view="pageBreakPreview" zoomScale="57" zoomScaleNormal="57" zoomScaleSheetLayoutView="57" workbookViewId="0">
      <pane xSplit="3" ySplit="11" topLeftCell="D387" activePane="bottomRight" state="frozen"/>
      <selection pane="topRight" activeCell="D1" sqref="D1"/>
      <selection pane="bottomLeft" activeCell="A12" sqref="A12"/>
      <selection pane="bottomRight" activeCell="A11" sqref="A11:XFD11"/>
    </sheetView>
  </sheetViews>
  <sheetFormatPr defaultRowHeight="15" x14ac:dyDescent="0.25"/>
  <cols>
    <col min="1" max="2" width="3.85546875" customWidth="1"/>
    <col min="3" max="3" width="70.5703125" customWidth="1"/>
    <col min="4" max="4" width="15.140625" customWidth="1"/>
    <col min="5" max="6" width="17.28515625" customWidth="1"/>
    <col min="7" max="9" width="19" customWidth="1"/>
    <col min="10" max="10" width="14.85546875" customWidth="1"/>
    <col min="11" max="11" width="13.5703125" customWidth="1"/>
    <col min="12" max="12" width="15.28515625" customWidth="1"/>
    <col min="13" max="13" width="17.5703125" customWidth="1"/>
    <col min="236" max="237" width="3.85546875" customWidth="1"/>
    <col min="238" max="238" width="70.5703125" customWidth="1"/>
    <col min="239" max="239" width="15.140625" customWidth="1"/>
    <col min="240" max="241" width="17.28515625" customWidth="1"/>
    <col min="242" max="244" width="19" customWidth="1"/>
    <col min="245" max="245" width="14.85546875" customWidth="1"/>
    <col min="246" max="248" width="16.5703125" customWidth="1"/>
    <col min="249" max="249" width="13.85546875" customWidth="1"/>
    <col min="250" max="252" width="16.5703125" customWidth="1"/>
    <col min="253" max="253" width="13.5703125" customWidth="1"/>
    <col min="254" max="254" width="15.28515625" customWidth="1"/>
    <col min="255" max="255" width="17.5703125" customWidth="1"/>
    <col min="256" max="256" width="4.140625" customWidth="1"/>
    <col min="257" max="257" width="10.85546875" customWidth="1"/>
    <col min="258" max="258" width="24.28515625" customWidth="1"/>
    <col min="259" max="259" width="20.5703125" customWidth="1"/>
    <col min="260" max="260" width="59.7109375" customWidth="1"/>
    <col min="261" max="262" width="20.5703125" customWidth="1"/>
    <col min="492" max="493" width="3.85546875" customWidth="1"/>
    <col min="494" max="494" width="70.5703125" customWidth="1"/>
    <col min="495" max="495" width="15.140625" customWidth="1"/>
    <col min="496" max="497" width="17.28515625" customWidth="1"/>
    <col min="498" max="500" width="19" customWidth="1"/>
    <col min="501" max="501" width="14.85546875" customWidth="1"/>
    <col min="502" max="504" width="16.5703125" customWidth="1"/>
    <col min="505" max="505" width="13.85546875" customWidth="1"/>
    <col min="506" max="508" width="16.5703125" customWidth="1"/>
    <col min="509" max="509" width="13.5703125" customWidth="1"/>
    <col min="510" max="510" width="15.28515625" customWidth="1"/>
    <col min="511" max="511" width="17.5703125" customWidth="1"/>
    <col min="512" max="512" width="4.140625" customWidth="1"/>
    <col min="513" max="513" width="10.85546875" customWidth="1"/>
    <col min="514" max="514" width="24.28515625" customWidth="1"/>
    <col min="515" max="515" width="20.5703125" customWidth="1"/>
    <col min="516" max="516" width="59.7109375" customWidth="1"/>
    <col min="517" max="518" width="20.5703125" customWidth="1"/>
    <col min="748" max="749" width="3.85546875" customWidth="1"/>
    <col min="750" max="750" width="70.5703125" customWidth="1"/>
    <col min="751" max="751" width="15.140625" customWidth="1"/>
    <col min="752" max="753" width="17.28515625" customWidth="1"/>
    <col min="754" max="756" width="19" customWidth="1"/>
    <col min="757" max="757" width="14.85546875" customWidth="1"/>
    <col min="758" max="760" width="16.5703125" customWidth="1"/>
    <col min="761" max="761" width="13.85546875" customWidth="1"/>
    <col min="762" max="764" width="16.5703125" customWidth="1"/>
    <col min="765" max="765" width="13.5703125" customWidth="1"/>
    <col min="766" max="766" width="15.28515625" customWidth="1"/>
    <col min="767" max="767" width="17.5703125" customWidth="1"/>
    <col min="768" max="768" width="4.140625" customWidth="1"/>
    <col min="769" max="769" width="10.85546875" customWidth="1"/>
    <col min="770" max="770" width="24.28515625" customWidth="1"/>
    <col min="771" max="771" width="20.5703125" customWidth="1"/>
    <col min="772" max="772" width="59.7109375" customWidth="1"/>
    <col min="773" max="774" width="20.5703125" customWidth="1"/>
    <col min="1004" max="1005" width="3.85546875" customWidth="1"/>
    <col min="1006" max="1006" width="70.5703125" customWidth="1"/>
    <col min="1007" max="1007" width="15.140625" customWidth="1"/>
    <col min="1008" max="1009" width="17.28515625" customWidth="1"/>
    <col min="1010" max="1012" width="19" customWidth="1"/>
    <col min="1013" max="1013" width="14.85546875" customWidth="1"/>
    <col min="1014" max="1016" width="16.5703125" customWidth="1"/>
    <col min="1017" max="1017" width="13.85546875" customWidth="1"/>
    <col min="1018" max="1020" width="16.5703125" customWidth="1"/>
    <col min="1021" max="1021" width="13.5703125" customWidth="1"/>
    <col min="1022" max="1022" width="15.28515625" customWidth="1"/>
    <col min="1023" max="1023" width="17.5703125" customWidth="1"/>
    <col min="1024" max="1024" width="4.140625" customWidth="1"/>
    <col min="1025" max="1025" width="10.85546875" customWidth="1"/>
    <col min="1026" max="1026" width="24.28515625" customWidth="1"/>
    <col min="1027" max="1027" width="20.5703125" customWidth="1"/>
    <col min="1028" max="1028" width="59.7109375" customWidth="1"/>
    <col min="1029" max="1030" width="20.5703125" customWidth="1"/>
    <col min="1260" max="1261" width="3.85546875" customWidth="1"/>
    <col min="1262" max="1262" width="70.5703125" customWidth="1"/>
    <col min="1263" max="1263" width="15.140625" customWidth="1"/>
    <col min="1264" max="1265" width="17.28515625" customWidth="1"/>
    <col min="1266" max="1268" width="19" customWidth="1"/>
    <col min="1269" max="1269" width="14.85546875" customWidth="1"/>
    <col min="1270" max="1272" width="16.5703125" customWidth="1"/>
    <col min="1273" max="1273" width="13.85546875" customWidth="1"/>
    <col min="1274" max="1276" width="16.5703125" customWidth="1"/>
    <col min="1277" max="1277" width="13.5703125" customWidth="1"/>
    <col min="1278" max="1278" width="15.28515625" customWidth="1"/>
    <col min="1279" max="1279" width="17.5703125" customWidth="1"/>
    <col min="1280" max="1280" width="4.140625" customWidth="1"/>
    <col min="1281" max="1281" width="10.85546875" customWidth="1"/>
    <col min="1282" max="1282" width="24.28515625" customWidth="1"/>
    <col min="1283" max="1283" width="20.5703125" customWidth="1"/>
    <col min="1284" max="1284" width="59.7109375" customWidth="1"/>
    <col min="1285" max="1286" width="20.5703125" customWidth="1"/>
    <col min="1516" max="1517" width="3.85546875" customWidth="1"/>
    <col min="1518" max="1518" width="70.5703125" customWidth="1"/>
    <col min="1519" max="1519" width="15.140625" customWidth="1"/>
    <col min="1520" max="1521" width="17.28515625" customWidth="1"/>
    <col min="1522" max="1524" width="19" customWidth="1"/>
    <col min="1525" max="1525" width="14.85546875" customWidth="1"/>
    <col min="1526" max="1528" width="16.5703125" customWidth="1"/>
    <col min="1529" max="1529" width="13.85546875" customWidth="1"/>
    <col min="1530" max="1532" width="16.5703125" customWidth="1"/>
    <col min="1533" max="1533" width="13.5703125" customWidth="1"/>
    <col min="1534" max="1534" width="15.28515625" customWidth="1"/>
    <col min="1535" max="1535" width="17.5703125" customWidth="1"/>
    <col min="1536" max="1536" width="4.140625" customWidth="1"/>
    <col min="1537" max="1537" width="10.85546875" customWidth="1"/>
    <col min="1538" max="1538" width="24.28515625" customWidth="1"/>
    <col min="1539" max="1539" width="20.5703125" customWidth="1"/>
    <col min="1540" max="1540" width="59.7109375" customWidth="1"/>
    <col min="1541" max="1542" width="20.5703125" customWidth="1"/>
    <col min="1772" max="1773" width="3.85546875" customWidth="1"/>
    <col min="1774" max="1774" width="70.5703125" customWidth="1"/>
    <col min="1775" max="1775" width="15.140625" customWidth="1"/>
    <col min="1776" max="1777" width="17.28515625" customWidth="1"/>
    <col min="1778" max="1780" width="19" customWidth="1"/>
    <col min="1781" max="1781" width="14.85546875" customWidth="1"/>
    <col min="1782" max="1784" width="16.5703125" customWidth="1"/>
    <col min="1785" max="1785" width="13.85546875" customWidth="1"/>
    <col min="1786" max="1788" width="16.5703125" customWidth="1"/>
    <col min="1789" max="1789" width="13.5703125" customWidth="1"/>
    <col min="1790" max="1790" width="15.28515625" customWidth="1"/>
    <col min="1791" max="1791" width="17.5703125" customWidth="1"/>
    <col min="1792" max="1792" width="4.140625" customWidth="1"/>
    <col min="1793" max="1793" width="10.85546875" customWidth="1"/>
    <col min="1794" max="1794" width="24.28515625" customWidth="1"/>
    <col min="1795" max="1795" width="20.5703125" customWidth="1"/>
    <col min="1796" max="1796" width="59.7109375" customWidth="1"/>
    <col min="1797" max="1798" width="20.5703125" customWidth="1"/>
    <col min="2028" max="2029" width="3.85546875" customWidth="1"/>
    <col min="2030" max="2030" width="70.5703125" customWidth="1"/>
    <col min="2031" max="2031" width="15.140625" customWidth="1"/>
    <col min="2032" max="2033" width="17.28515625" customWidth="1"/>
    <col min="2034" max="2036" width="19" customWidth="1"/>
    <col min="2037" max="2037" width="14.85546875" customWidth="1"/>
    <col min="2038" max="2040" width="16.5703125" customWidth="1"/>
    <col min="2041" max="2041" width="13.85546875" customWidth="1"/>
    <col min="2042" max="2044" width="16.5703125" customWidth="1"/>
    <col min="2045" max="2045" width="13.5703125" customWidth="1"/>
    <col min="2046" max="2046" width="15.28515625" customWidth="1"/>
    <col min="2047" max="2047" width="17.5703125" customWidth="1"/>
    <col min="2048" max="2048" width="4.140625" customWidth="1"/>
    <col min="2049" max="2049" width="10.85546875" customWidth="1"/>
    <col min="2050" max="2050" width="24.28515625" customWidth="1"/>
    <col min="2051" max="2051" width="20.5703125" customWidth="1"/>
    <col min="2052" max="2052" width="59.7109375" customWidth="1"/>
    <col min="2053" max="2054" width="20.5703125" customWidth="1"/>
    <col min="2284" max="2285" width="3.85546875" customWidth="1"/>
    <col min="2286" max="2286" width="70.5703125" customWidth="1"/>
    <col min="2287" max="2287" width="15.140625" customWidth="1"/>
    <col min="2288" max="2289" width="17.28515625" customWidth="1"/>
    <col min="2290" max="2292" width="19" customWidth="1"/>
    <col min="2293" max="2293" width="14.85546875" customWidth="1"/>
    <col min="2294" max="2296" width="16.5703125" customWidth="1"/>
    <col min="2297" max="2297" width="13.85546875" customWidth="1"/>
    <col min="2298" max="2300" width="16.5703125" customWidth="1"/>
    <col min="2301" max="2301" width="13.5703125" customWidth="1"/>
    <col min="2302" max="2302" width="15.28515625" customWidth="1"/>
    <col min="2303" max="2303" width="17.5703125" customWidth="1"/>
    <col min="2304" max="2304" width="4.140625" customWidth="1"/>
    <col min="2305" max="2305" width="10.85546875" customWidth="1"/>
    <col min="2306" max="2306" width="24.28515625" customWidth="1"/>
    <col min="2307" max="2307" width="20.5703125" customWidth="1"/>
    <col min="2308" max="2308" width="59.7109375" customWidth="1"/>
    <col min="2309" max="2310" width="20.5703125" customWidth="1"/>
    <col min="2540" max="2541" width="3.85546875" customWidth="1"/>
    <col min="2542" max="2542" width="70.5703125" customWidth="1"/>
    <col min="2543" max="2543" width="15.140625" customWidth="1"/>
    <col min="2544" max="2545" width="17.28515625" customWidth="1"/>
    <col min="2546" max="2548" width="19" customWidth="1"/>
    <col min="2549" max="2549" width="14.85546875" customWidth="1"/>
    <col min="2550" max="2552" width="16.5703125" customWidth="1"/>
    <col min="2553" max="2553" width="13.85546875" customWidth="1"/>
    <col min="2554" max="2556" width="16.5703125" customWidth="1"/>
    <col min="2557" max="2557" width="13.5703125" customWidth="1"/>
    <col min="2558" max="2558" width="15.28515625" customWidth="1"/>
    <col min="2559" max="2559" width="17.5703125" customWidth="1"/>
    <col min="2560" max="2560" width="4.140625" customWidth="1"/>
    <col min="2561" max="2561" width="10.85546875" customWidth="1"/>
    <col min="2562" max="2562" width="24.28515625" customWidth="1"/>
    <col min="2563" max="2563" width="20.5703125" customWidth="1"/>
    <col min="2564" max="2564" width="59.7109375" customWidth="1"/>
    <col min="2565" max="2566" width="20.5703125" customWidth="1"/>
    <col min="2796" max="2797" width="3.85546875" customWidth="1"/>
    <col min="2798" max="2798" width="70.5703125" customWidth="1"/>
    <col min="2799" max="2799" width="15.140625" customWidth="1"/>
    <col min="2800" max="2801" width="17.28515625" customWidth="1"/>
    <col min="2802" max="2804" width="19" customWidth="1"/>
    <col min="2805" max="2805" width="14.85546875" customWidth="1"/>
    <col min="2806" max="2808" width="16.5703125" customWidth="1"/>
    <col min="2809" max="2809" width="13.85546875" customWidth="1"/>
    <col min="2810" max="2812" width="16.5703125" customWidth="1"/>
    <col min="2813" max="2813" width="13.5703125" customWidth="1"/>
    <col min="2814" max="2814" width="15.28515625" customWidth="1"/>
    <col min="2815" max="2815" width="17.5703125" customWidth="1"/>
    <col min="2816" max="2816" width="4.140625" customWidth="1"/>
    <col min="2817" max="2817" width="10.85546875" customWidth="1"/>
    <col min="2818" max="2818" width="24.28515625" customWidth="1"/>
    <col min="2819" max="2819" width="20.5703125" customWidth="1"/>
    <col min="2820" max="2820" width="59.7109375" customWidth="1"/>
    <col min="2821" max="2822" width="20.5703125" customWidth="1"/>
    <col min="3052" max="3053" width="3.85546875" customWidth="1"/>
    <col min="3054" max="3054" width="70.5703125" customWidth="1"/>
    <col min="3055" max="3055" width="15.140625" customWidth="1"/>
    <col min="3056" max="3057" width="17.28515625" customWidth="1"/>
    <col min="3058" max="3060" width="19" customWidth="1"/>
    <col min="3061" max="3061" width="14.85546875" customWidth="1"/>
    <col min="3062" max="3064" width="16.5703125" customWidth="1"/>
    <col min="3065" max="3065" width="13.85546875" customWidth="1"/>
    <col min="3066" max="3068" width="16.5703125" customWidth="1"/>
    <col min="3069" max="3069" width="13.5703125" customWidth="1"/>
    <col min="3070" max="3070" width="15.28515625" customWidth="1"/>
    <col min="3071" max="3071" width="17.5703125" customWidth="1"/>
    <col min="3072" max="3072" width="4.140625" customWidth="1"/>
    <col min="3073" max="3073" width="10.85546875" customWidth="1"/>
    <col min="3074" max="3074" width="24.28515625" customWidth="1"/>
    <col min="3075" max="3075" width="20.5703125" customWidth="1"/>
    <col min="3076" max="3076" width="59.7109375" customWidth="1"/>
    <col min="3077" max="3078" width="20.5703125" customWidth="1"/>
    <col min="3308" max="3309" width="3.85546875" customWidth="1"/>
    <col min="3310" max="3310" width="70.5703125" customWidth="1"/>
    <col min="3311" max="3311" width="15.140625" customWidth="1"/>
    <col min="3312" max="3313" width="17.28515625" customWidth="1"/>
    <col min="3314" max="3316" width="19" customWidth="1"/>
    <col min="3317" max="3317" width="14.85546875" customWidth="1"/>
    <col min="3318" max="3320" width="16.5703125" customWidth="1"/>
    <col min="3321" max="3321" width="13.85546875" customWidth="1"/>
    <col min="3322" max="3324" width="16.5703125" customWidth="1"/>
    <col min="3325" max="3325" width="13.5703125" customWidth="1"/>
    <col min="3326" max="3326" width="15.28515625" customWidth="1"/>
    <col min="3327" max="3327" width="17.5703125" customWidth="1"/>
    <col min="3328" max="3328" width="4.140625" customWidth="1"/>
    <col min="3329" max="3329" width="10.85546875" customWidth="1"/>
    <col min="3330" max="3330" width="24.28515625" customWidth="1"/>
    <col min="3331" max="3331" width="20.5703125" customWidth="1"/>
    <col min="3332" max="3332" width="59.7109375" customWidth="1"/>
    <col min="3333" max="3334" width="20.5703125" customWidth="1"/>
    <col min="3564" max="3565" width="3.85546875" customWidth="1"/>
    <col min="3566" max="3566" width="70.5703125" customWidth="1"/>
    <col min="3567" max="3567" width="15.140625" customWidth="1"/>
    <col min="3568" max="3569" width="17.28515625" customWidth="1"/>
    <col min="3570" max="3572" width="19" customWidth="1"/>
    <col min="3573" max="3573" width="14.85546875" customWidth="1"/>
    <col min="3574" max="3576" width="16.5703125" customWidth="1"/>
    <col min="3577" max="3577" width="13.85546875" customWidth="1"/>
    <col min="3578" max="3580" width="16.5703125" customWidth="1"/>
    <col min="3581" max="3581" width="13.5703125" customWidth="1"/>
    <col min="3582" max="3582" width="15.28515625" customWidth="1"/>
    <col min="3583" max="3583" width="17.5703125" customWidth="1"/>
    <col min="3584" max="3584" width="4.140625" customWidth="1"/>
    <col min="3585" max="3585" width="10.85546875" customWidth="1"/>
    <col min="3586" max="3586" width="24.28515625" customWidth="1"/>
    <col min="3587" max="3587" width="20.5703125" customWidth="1"/>
    <col min="3588" max="3588" width="59.7109375" customWidth="1"/>
    <col min="3589" max="3590" width="20.5703125" customWidth="1"/>
    <col min="3820" max="3821" width="3.85546875" customWidth="1"/>
    <col min="3822" max="3822" width="70.5703125" customWidth="1"/>
    <col min="3823" max="3823" width="15.140625" customWidth="1"/>
    <col min="3824" max="3825" width="17.28515625" customWidth="1"/>
    <col min="3826" max="3828" width="19" customWidth="1"/>
    <col min="3829" max="3829" width="14.85546875" customWidth="1"/>
    <col min="3830" max="3832" width="16.5703125" customWidth="1"/>
    <col min="3833" max="3833" width="13.85546875" customWidth="1"/>
    <col min="3834" max="3836" width="16.5703125" customWidth="1"/>
    <col min="3837" max="3837" width="13.5703125" customWidth="1"/>
    <col min="3838" max="3838" width="15.28515625" customWidth="1"/>
    <col min="3839" max="3839" width="17.5703125" customWidth="1"/>
    <col min="3840" max="3840" width="4.140625" customWidth="1"/>
    <col min="3841" max="3841" width="10.85546875" customWidth="1"/>
    <col min="3842" max="3842" width="24.28515625" customWidth="1"/>
    <col min="3843" max="3843" width="20.5703125" customWidth="1"/>
    <col min="3844" max="3844" width="59.7109375" customWidth="1"/>
    <col min="3845" max="3846" width="20.5703125" customWidth="1"/>
    <col min="4076" max="4077" width="3.85546875" customWidth="1"/>
    <col min="4078" max="4078" width="70.5703125" customWidth="1"/>
    <col min="4079" max="4079" width="15.140625" customWidth="1"/>
    <col min="4080" max="4081" width="17.28515625" customWidth="1"/>
    <col min="4082" max="4084" width="19" customWidth="1"/>
    <col min="4085" max="4085" width="14.85546875" customWidth="1"/>
    <col min="4086" max="4088" width="16.5703125" customWidth="1"/>
    <col min="4089" max="4089" width="13.85546875" customWidth="1"/>
    <col min="4090" max="4092" width="16.5703125" customWidth="1"/>
    <col min="4093" max="4093" width="13.5703125" customWidth="1"/>
    <col min="4094" max="4094" width="15.28515625" customWidth="1"/>
    <col min="4095" max="4095" width="17.5703125" customWidth="1"/>
    <col min="4096" max="4096" width="4.140625" customWidth="1"/>
    <col min="4097" max="4097" width="10.85546875" customWidth="1"/>
    <col min="4098" max="4098" width="24.28515625" customWidth="1"/>
    <col min="4099" max="4099" width="20.5703125" customWidth="1"/>
    <col min="4100" max="4100" width="59.7109375" customWidth="1"/>
    <col min="4101" max="4102" width="20.5703125" customWidth="1"/>
    <col min="4332" max="4333" width="3.85546875" customWidth="1"/>
    <col min="4334" max="4334" width="70.5703125" customWidth="1"/>
    <col min="4335" max="4335" width="15.140625" customWidth="1"/>
    <col min="4336" max="4337" width="17.28515625" customWidth="1"/>
    <col min="4338" max="4340" width="19" customWidth="1"/>
    <col min="4341" max="4341" width="14.85546875" customWidth="1"/>
    <col min="4342" max="4344" width="16.5703125" customWidth="1"/>
    <col min="4345" max="4345" width="13.85546875" customWidth="1"/>
    <col min="4346" max="4348" width="16.5703125" customWidth="1"/>
    <col min="4349" max="4349" width="13.5703125" customWidth="1"/>
    <col min="4350" max="4350" width="15.28515625" customWidth="1"/>
    <col min="4351" max="4351" width="17.5703125" customWidth="1"/>
    <col min="4352" max="4352" width="4.140625" customWidth="1"/>
    <col min="4353" max="4353" width="10.85546875" customWidth="1"/>
    <col min="4354" max="4354" width="24.28515625" customWidth="1"/>
    <col min="4355" max="4355" width="20.5703125" customWidth="1"/>
    <col min="4356" max="4356" width="59.7109375" customWidth="1"/>
    <col min="4357" max="4358" width="20.5703125" customWidth="1"/>
    <col min="4588" max="4589" width="3.85546875" customWidth="1"/>
    <col min="4590" max="4590" width="70.5703125" customWidth="1"/>
    <col min="4591" max="4591" width="15.140625" customWidth="1"/>
    <col min="4592" max="4593" width="17.28515625" customWidth="1"/>
    <col min="4594" max="4596" width="19" customWidth="1"/>
    <col min="4597" max="4597" width="14.85546875" customWidth="1"/>
    <col min="4598" max="4600" width="16.5703125" customWidth="1"/>
    <col min="4601" max="4601" width="13.85546875" customWidth="1"/>
    <col min="4602" max="4604" width="16.5703125" customWidth="1"/>
    <col min="4605" max="4605" width="13.5703125" customWidth="1"/>
    <col min="4606" max="4606" width="15.28515625" customWidth="1"/>
    <col min="4607" max="4607" width="17.5703125" customWidth="1"/>
    <col min="4608" max="4608" width="4.140625" customWidth="1"/>
    <col min="4609" max="4609" width="10.85546875" customWidth="1"/>
    <col min="4610" max="4610" width="24.28515625" customWidth="1"/>
    <col min="4611" max="4611" width="20.5703125" customWidth="1"/>
    <col min="4612" max="4612" width="59.7109375" customWidth="1"/>
    <col min="4613" max="4614" width="20.5703125" customWidth="1"/>
    <col min="4844" max="4845" width="3.85546875" customWidth="1"/>
    <col min="4846" max="4846" width="70.5703125" customWidth="1"/>
    <col min="4847" max="4847" width="15.140625" customWidth="1"/>
    <col min="4848" max="4849" width="17.28515625" customWidth="1"/>
    <col min="4850" max="4852" width="19" customWidth="1"/>
    <col min="4853" max="4853" width="14.85546875" customWidth="1"/>
    <col min="4854" max="4856" width="16.5703125" customWidth="1"/>
    <col min="4857" max="4857" width="13.85546875" customWidth="1"/>
    <col min="4858" max="4860" width="16.5703125" customWidth="1"/>
    <col min="4861" max="4861" width="13.5703125" customWidth="1"/>
    <col min="4862" max="4862" width="15.28515625" customWidth="1"/>
    <col min="4863" max="4863" width="17.5703125" customWidth="1"/>
    <col min="4864" max="4864" width="4.140625" customWidth="1"/>
    <col min="4865" max="4865" width="10.85546875" customWidth="1"/>
    <col min="4866" max="4866" width="24.28515625" customWidth="1"/>
    <col min="4867" max="4867" width="20.5703125" customWidth="1"/>
    <col min="4868" max="4868" width="59.7109375" customWidth="1"/>
    <col min="4869" max="4870" width="20.5703125" customWidth="1"/>
    <col min="5100" max="5101" width="3.85546875" customWidth="1"/>
    <col min="5102" max="5102" width="70.5703125" customWidth="1"/>
    <col min="5103" max="5103" width="15.140625" customWidth="1"/>
    <col min="5104" max="5105" width="17.28515625" customWidth="1"/>
    <col min="5106" max="5108" width="19" customWidth="1"/>
    <col min="5109" max="5109" width="14.85546875" customWidth="1"/>
    <col min="5110" max="5112" width="16.5703125" customWidth="1"/>
    <col min="5113" max="5113" width="13.85546875" customWidth="1"/>
    <col min="5114" max="5116" width="16.5703125" customWidth="1"/>
    <col min="5117" max="5117" width="13.5703125" customWidth="1"/>
    <col min="5118" max="5118" width="15.28515625" customWidth="1"/>
    <col min="5119" max="5119" width="17.5703125" customWidth="1"/>
    <col min="5120" max="5120" width="4.140625" customWidth="1"/>
    <col min="5121" max="5121" width="10.85546875" customWidth="1"/>
    <col min="5122" max="5122" width="24.28515625" customWidth="1"/>
    <col min="5123" max="5123" width="20.5703125" customWidth="1"/>
    <col min="5124" max="5124" width="59.7109375" customWidth="1"/>
    <col min="5125" max="5126" width="20.5703125" customWidth="1"/>
    <col min="5356" max="5357" width="3.85546875" customWidth="1"/>
    <col min="5358" max="5358" width="70.5703125" customWidth="1"/>
    <col min="5359" max="5359" width="15.140625" customWidth="1"/>
    <col min="5360" max="5361" width="17.28515625" customWidth="1"/>
    <col min="5362" max="5364" width="19" customWidth="1"/>
    <col min="5365" max="5365" width="14.85546875" customWidth="1"/>
    <col min="5366" max="5368" width="16.5703125" customWidth="1"/>
    <col min="5369" max="5369" width="13.85546875" customWidth="1"/>
    <col min="5370" max="5372" width="16.5703125" customWidth="1"/>
    <col min="5373" max="5373" width="13.5703125" customWidth="1"/>
    <col min="5374" max="5374" width="15.28515625" customWidth="1"/>
    <col min="5375" max="5375" width="17.5703125" customWidth="1"/>
    <col min="5376" max="5376" width="4.140625" customWidth="1"/>
    <col min="5377" max="5377" width="10.85546875" customWidth="1"/>
    <col min="5378" max="5378" width="24.28515625" customWidth="1"/>
    <col min="5379" max="5379" width="20.5703125" customWidth="1"/>
    <col min="5380" max="5380" width="59.7109375" customWidth="1"/>
    <col min="5381" max="5382" width="20.5703125" customWidth="1"/>
    <col min="5612" max="5613" width="3.85546875" customWidth="1"/>
    <col min="5614" max="5614" width="70.5703125" customWidth="1"/>
    <col min="5615" max="5615" width="15.140625" customWidth="1"/>
    <col min="5616" max="5617" width="17.28515625" customWidth="1"/>
    <col min="5618" max="5620" width="19" customWidth="1"/>
    <col min="5621" max="5621" width="14.85546875" customWidth="1"/>
    <col min="5622" max="5624" width="16.5703125" customWidth="1"/>
    <col min="5625" max="5625" width="13.85546875" customWidth="1"/>
    <col min="5626" max="5628" width="16.5703125" customWidth="1"/>
    <col min="5629" max="5629" width="13.5703125" customWidth="1"/>
    <col min="5630" max="5630" width="15.28515625" customWidth="1"/>
    <col min="5631" max="5631" width="17.5703125" customWidth="1"/>
    <col min="5632" max="5632" width="4.140625" customWidth="1"/>
    <col min="5633" max="5633" width="10.85546875" customWidth="1"/>
    <col min="5634" max="5634" width="24.28515625" customWidth="1"/>
    <col min="5635" max="5635" width="20.5703125" customWidth="1"/>
    <col min="5636" max="5636" width="59.7109375" customWidth="1"/>
    <col min="5637" max="5638" width="20.5703125" customWidth="1"/>
    <col min="5868" max="5869" width="3.85546875" customWidth="1"/>
    <col min="5870" max="5870" width="70.5703125" customWidth="1"/>
    <col min="5871" max="5871" width="15.140625" customWidth="1"/>
    <col min="5872" max="5873" width="17.28515625" customWidth="1"/>
    <col min="5874" max="5876" width="19" customWidth="1"/>
    <col min="5877" max="5877" width="14.85546875" customWidth="1"/>
    <col min="5878" max="5880" width="16.5703125" customWidth="1"/>
    <col min="5881" max="5881" width="13.85546875" customWidth="1"/>
    <col min="5882" max="5884" width="16.5703125" customWidth="1"/>
    <col min="5885" max="5885" width="13.5703125" customWidth="1"/>
    <col min="5886" max="5886" width="15.28515625" customWidth="1"/>
    <col min="5887" max="5887" width="17.5703125" customWidth="1"/>
    <col min="5888" max="5888" width="4.140625" customWidth="1"/>
    <col min="5889" max="5889" width="10.85546875" customWidth="1"/>
    <col min="5890" max="5890" width="24.28515625" customWidth="1"/>
    <col min="5891" max="5891" width="20.5703125" customWidth="1"/>
    <col min="5892" max="5892" width="59.7109375" customWidth="1"/>
    <col min="5893" max="5894" width="20.5703125" customWidth="1"/>
    <col min="6124" max="6125" width="3.85546875" customWidth="1"/>
    <col min="6126" max="6126" width="70.5703125" customWidth="1"/>
    <col min="6127" max="6127" width="15.140625" customWidth="1"/>
    <col min="6128" max="6129" width="17.28515625" customWidth="1"/>
    <col min="6130" max="6132" width="19" customWidth="1"/>
    <col min="6133" max="6133" width="14.85546875" customWidth="1"/>
    <col min="6134" max="6136" width="16.5703125" customWidth="1"/>
    <col min="6137" max="6137" width="13.85546875" customWidth="1"/>
    <col min="6138" max="6140" width="16.5703125" customWidth="1"/>
    <col min="6141" max="6141" width="13.5703125" customWidth="1"/>
    <col min="6142" max="6142" width="15.28515625" customWidth="1"/>
    <col min="6143" max="6143" width="17.5703125" customWidth="1"/>
    <col min="6144" max="6144" width="4.140625" customWidth="1"/>
    <col min="6145" max="6145" width="10.85546875" customWidth="1"/>
    <col min="6146" max="6146" width="24.28515625" customWidth="1"/>
    <col min="6147" max="6147" width="20.5703125" customWidth="1"/>
    <col min="6148" max="6148" width="59.7109375" customWidth="1"/>
    <col min="6149" max="6150" width="20.5703125" customWidth="1"/>
    <col min="6380" max="6381" width="3.85546875" customWidth="1"/>
    <col min="6382" max="6382" width="70.5703125" customWidth="1"/>
    <col min="6383" max="6383" width="15.140625" customWidth="1"/>
    <col min="6384" max="6385" width="17.28515625" customWidth="1"/>
    <col min="6386" max="6388" width="19" customWidth="1"/>
    <col min="6389" max="6389" width="14.85546875" customWidth="1"/>
    <col min="6390" max="6392" width="16.5703125" customWidth="1"/>
    <col min="6393" max="6393" width="13.85546875" customWidth="1"/>
    <col min="6394" max="6396" width="16.5703125" customWidth="1"/>
    <col min="6397" max="6397" width="13.5703125" customWidth="1"/>
    <col min="6398" max="6398" width="15.28515625" customWidth="1"/>
    <col min="6399" max="6399" width="17.5703125" customWidth="1"/>
    <col min="6400" max="6400" width="4.140625" customWidth="1"/>
    <col min="6401" max="6401" width="10.85546875" customWidth="1"/>
    <col min="6402" max="6402" width="24.28515625" customWidth="1"/>
    <col min="6403" max="6403" width="20.5703125" customWidth="1"/>
    <col min="6404" max="6404" width="59.7109375" customWidth="1"/>
    <col min="6405" max="6406" width="20.5703125" customWidth="1"/>
    <col min="6636" max="6637" width="3.85546875" customWidth="1"/>
    <col min="6638" max="6638" width="70.5703125" customWidth="1"/>
    <col min="6639" max="6639" width="15.140625" customWidth="1"/>
    <col min="6640" max="6641" width="17.28515625" customWidth="1"/>
    <col min="6642" max="6644" width="19" customWidth="1"/>
    <col min="6645" max="6645" width="14.85546875" customWidth="1"/>
    <col min="6646" max="6648" width="16.5703125" customWidth="1"/>
    <col min="6649" max="6649" width="13.85546875" customWidth="1"/>
    <col min="6650" max="6652" width="16.5703125" customWidth="1"/>
    <col min="6653" max="6653" width="13.5703125" customWidth="1"/>
    <col min="6654" max="6654" width="15.28515625" customWidth="1"/>
    <col min="6655" max="6655" width="17.5703125" customWidth="1"/>
    <col min="6656" max="6656" width="4.140625" customWidth="1"/>
    <col min="6657" max="6657" width="10.85546875" customWidth="1"/>
    <col min="6658" max="6658" width="24.28515625" customWidth="1"/>
    <col min="6659" max="6659" width="20.5703125" customWidth="1"/>
    <col min="6660" max="6660" width="59.7109375" customWidth="1"/>
    <col min="6661" max="6662" width="20.5703125" customWidth="1"/>
    <col min="6892" max="6893" width="3.85546875" customWidth="1"/>
    <col min="6894" max="6894" width="70.5703125" customWidth="1"/>
    <col min="6895" max="6895" width="15.140625" customWidth="1"/>
    <col min="6896" max="6897" width="17.28515625" customWidth="1"/>
    <col min="6898" max="6900" width="19" customWidth="1"/>
    <col min="6901" max="6901" width="14.85546875" customWidth="1"/>
    <col min="6902" max="6904" width="16.5703125" customWidth="1"/>
    <col min="6905" max="6905" width="13.85546875" customWidth="1"/>
    <col min="6906" max="6908" width="16.5703125" customWidth="1"/>
    <col min="6909" max="6909" width="13.5703125" customWidth="1"/>
    <col min="6910" max="6910" width="15.28515625" customWidth="1"/>
    <col min="6911" max="6911" width="17.5703125" customWidth="1"/>
    <col min="6912" max="6912" width="4.140625" customWidth="1"/>
    <col min="6913" max="6913" width="10.85546875" customWidth="1"/>
    <col min="6914" max="6914" width="24.28515625" customWidth="1"/>
    <col min="6915" max="6915" width="20.5703125" customWidth="1"/>
    <col min="6916" max="6916" width="59.7109375" customWidth="1"/>
    <col min="6917" max="6918" width="20.5703125" customWidth="1"/>
    <col min="7148" max="7149" width="3.85546875" customWidth="1"/>
    <col min="7150" max="7150" width="70.5703125" customWidth="1"/>
    <col min="7151" max="7151" width="15.140625" customWidth="1"/>
    <col min="7152" max="7153" width="17.28515625" customWidth="1"/>
    <col min="7154" max="7156" width="19" customWidth="1"/>
    <col min="7157" max="7157" width="14.85546875" customWidth="1"/>
    <col min="7158" max="7160" width="16.5703125" customWidth="1"/>
    <col min="7161" max="7161" width="13.85546875" customWidth="1"/>
    <col min="7162" max="7164" width="16.5703125" customWidth="1"/>
    <col min="7165" max="7165" width="13.5703125" customWidth="1"/>
    <col min="7166" max="7166" width="15.28515625" customWidth="1"/>
    <col min="7167" max="7167" width="17.5703125" customWidth="1"/>
    <col min="7168" max="7168" width="4.140625" customWidth="1"/>
    <col min="7169" max="7169" width="10.85546875" customWidth="1"/>
    <col min="7170" max="7170" width="24.28515625" customWidth="1"/>
    <col min="7171" max="7171" width="20.5703125" customWidth="1"/>
    <col min="7172" max="7172" width="59.7109375" customWidth="1"/>
    <col min="7173" max="7174" width="20.5703125" customWidth="1"/>
    <col min="7404" max="7405" width="3.85546875" customWidth="1"/>
    <col min="7406" max="7406" width="70.5703125" customWidth="1"/>
    <col min="7407" max="7407" width="15.140625" customWidth="1"/>
    <col min="7408" max="7409" width="17.28515625" customWidth="1"/>
    <col min="7410" max="7412" width="19" customWidth="1"/>
    <col min="7413" max="7413" width="14.85546875" customWidth="1"/>
    <col min="7414" max="7416" width="16.5703125" customWidth="1"/>
    <col min="7417" max="7417" width="13.85546875" customWidth="1"/>
    <col min="7418" max="7420" width="16.5703125" customWidth="1"/>
    <col min="7421" max="7421" width="13.5703125" customWidth="1"/>
    <col min="7422" max="7422" width="15.28515625" customWidth="1"/>
    <col min="7423" max="7423" width="17.5703125" customWidth="1"/>
    <col min="7424" max="7424" width="4.140625" customWidth="1"/>
    <col min="7425" max="7425" width="10.85546875" customWidth="1"/>
    <col min="7426" max="7426" width="24.28515625" customWidth="1"/>
    <col min="7427" max="7427" width="20.5703125" customWidth="1"/>
    <col min="7428" max="7428" width="59.7109375" customWidth="1"/>
    <col min="7429" max="7430" width="20.5703125" customWidth="1"/>
    <col min="7660" max="7661" width="3.85546875" customWidth="1"/>
    <col min="7662" max="7662" width="70.5703125" customWidth="1"/>
    <col min="7663" max="7663" width="15.140625" customWidth="1"/>
    <col min="7664" max="7665" width="17.28515625" customWidth="1"/>
    <col min="7666" max="7668" width="19" customWidth="1"/>
    <col min="7669" max="7669" width="14.85546875" customWidth="1"/>
    <col min="7670" max="7672" width="16.5703125" customWidth="1"/>
    <col min="7673" max="7673" width="13.85546875" customWidth="1"/>
    <col min="7674" max="7676" width="16.5703125" customWidth="1"/>
    <col min="7677" max="7677" width="13.5703125" customWidth="1"/>
    <col min="7678" max="7678" width="15.28515625" customWidth="1"/>
    <col min="7679" max="7679" width="17.5703125" customWidth="1"/>
    <col min="7680" max="7680" width="4.140625" customWidth="1"/>
    <col min="7681" max="7681" width="10.85546875" customWidth="1"/>
    <col min="7682" max="7682" width="24.28515625" customWidth="1"/>
    <col min="7683" max="7683" width="20.5703125" customWidth="1"/>
    <col min="7684" max="7684" width="59.7109375" customWidth="1"/>
    <col min="7685" max="7686" width="20.5703125" customWidth="1"/>
    <col min="7916" max="7917" width="3.85546875" customWidth="1"/>
    <col min="7918" max="7918" width="70.5703125" customWidth="1"/>
    <col min="7919" max="7919" width="15.140625" customWidth="1"/>
    <col min="7920" max="7921" width="17.28515625" customWidth="1"/>
    <col min="7922" max="7924" width="19" customWidth="1"/>
    <col min="7925" max="7925" width="14.85546875" customWidth="1"/>
    <col min="7926" max="7928" width="16.5703125" customWidth="1"/>
    <col min="7929" max="7929" width="13.85546875" customWidth="1"/>
    <col min="7930" max="7932" width="16.5703125" customWidth="1"/>
    <col min="7933" max="7933" width="13.5703125" customWidth="1"/>
    <col min="7934" max="7934" width="15.28515625" customWidth="1"/>
    <col min="7935" max="7935" width="17.5703125" customWidth="1"/>
    <col min="7936" max="7936" width="4.140625" customWidth="1"/>
    <col min="7937" max="7937" width="10.85546875" customWidth="1"/>
    <col min="7938" max="7938" width="24.28515625" customWidth="1"/>
    <col min="7939" max="7939" width="20.5703125" customWidth="1"/>
    <col min="7940" max="7940" width="59.7109375" customWidth="1"/>
    <col min="7941" max="7942" width="20.5703125" customWidth="1"/>
    <col min="8172" max="8173" width="3.85546875" customWidth="1"/>
    <col min="8174" max="8174" width="70.5703125" customWidth="1"/>
    <col min="8175" max="8175" width="15.140625" customWidth="1"/>
    <col min="8176" max="8177" width="17.28515625" customWidth="1"/>
    <col min="8178" max="8180" width="19" customWidth="1"/>
    <col min="8181" max="8181" width="14.85546875" customWidth="1"/>
    <col min="8182" max="8184" width="16.5703125" customWidth="1"/>
    <col min="8185" max="8185" width="13.85546875" customWidth="1"/>
    <col min="8186" max="8188" width="16.5703125" customWidth="1"/>
    <col min="8189" max="8189" width="13.5703125" customWidth="1"/>
    <col min="8190" max="8190" width="15.28515625" customWidth="1"/>
    <col min="8191" max="8191" width="17.5703125" customWidth="1"/>
    <col min="8192" max="8192" width="4.140625" customWidth="1"/>
    <col min="8193" max="8193" width="10.85546875" customWidth="1"/>
    <col min="8194" max="8194" width="24.28515625" customWidth="1"/>
    <col min="8195" max="8195" width="20.5703125" customWidth="1"/>
    <col min="8196" max="8196" width="59.7109375" customWidth="1"/>
    <col min="8197" max="8198" width="20.5703125" customWidth="1"/>
    <col min="8428" max="8429" width="3.85546875" customWidth="1"/>
    <col min="8430" max="8430" width="70.5703125" customWidth="1"/>
    <col min="8431" max="8431" width="15.140625" customWidth="1"/>
    <col min="8432" max="8433" width="17.28515625" customWidth="1"/>
    <col min="8434" max="8436" width="19" customWidth="1"/>
    <col min="8437" max="8437" width="14.85546875" customWidth="1"/>
    <col min="8438" max="8440" width="16.5703125" customWidth="1"/>
    <col min="8441" max="8441" width="13.85546875" customWidth="1"/>
    <col min="8442" max="8444" width="16.5703125" customWidth="1"/>
    <col min="8445" max="8445" width="13.5703125" customWidth="1"/>
    <col min="8446" max="8446" width="15.28515625" customWidth="1"/>
    <col min="8447" max="8447" width="17.5703125" customWidth="1"/>
    <col min="8448" max="8448" width="4.140625" customWidth="1"/>
    <col min="8449" max="8449" width="10.85546875" customWidth="1"/>
    <col min="8450" max="8450" width="24.28515625" customWidth="1"/>
    <col min="8451" max="8451" width="20.5703125" customWidth="1"/>
    <col min="8452" max="8452" width="59.7109375" customWidth="1"/>
    <col min="8453" max="8454" width="20.5703125" customWidth="1"/>
    <col min="8684" max="8685" width="3.85546875" customWidth="1"/>
    <col min="8686" max="8686" width="70.5703125" customWidth="1"/>
    <col min="8687" max="8687" width="15.140625" customWidth="1"/>
    <col min="8688" max="8689" width="17.28515625" customWidth="1"/>
    <col min="8690" max="8692" width="19" customWidth="1"/>
    <col min="8693" max="8693" width="14.85546875" customWidth="1"/>
    <col min="8694" max="8696" width="16.5703125" customWidth="1"/>
    <col min="8697" max="8697" width="13.85546875" customWidth="1"/>
    <col min="8698" max="8700" width="16.5703125" customWidth="1"/>
    <col min="8701" max="8701" width="13.5703125" customWidth="1"/>
    <col min="8702" max="8702" width="15.28515625" customWidth="1"/>
    <col min="8703" max="8703" width="17.5703125" customWidth="1"/>
    <col min="8704" max="8704" width="4.140625" customWidth="1"/>
    <col min="8705" max="8705" width="10.85546875" customWidth="1"/>
    <col min="8706" max="8706" width="24.28515625" customWidth="1"/>
    <col min="8707" max="8707" width="20.5703125" customWidth="1"/>
    <col min="8708" max="8708" width="59.7109375" customWidth="1"/>
    <col min="8709" max="8710" width="20.5703125" customWidth="1"/>
    <col min="8940" max="8941" width="3.85546875" customWidth="1"/>
    <col min="8942" max="8942" width="70.5703125" customWidth="1"/>
    <col min="8943" max="8943" width="15.140625" customWidth="1"/>
    <col min="8944" max="8945" width="17.28515625" customWidth="1"/>
    <col min="8946" max="8948" width="19" customWidth="1"/>
    <col min="8949" max="8949" width="14.85546875" customWidth="1"/>
    <col min="8950" max="8952" width="16.5703125" customWidth="1"/>
    <col min="8953" max="8953" width="13.85546875" customWidth="1"/>
    <col min="8954" max="8956" width="16.5703125" customWidth="1"/>
    <col min="8957" max="8957" width="13.5703125" customWidth="1"/>
    <col min="8958" max="8958" width="15.28515625" customWidth="1"/>
    <col min="8959" max="8959" width="17.5703125" customWidth="1"/>
    <col min="8960" max="8960" width="4.140625" customWidth="1"/>
    <col min="8961" max="8961" width="10.85546875" customWidth="1"/>
    <col min="8962" max="8962" width="24.28515625" customWidth="1"/>
    <col min="8963" max="8963" width="20.5703125" customWidth="1"/>
    <col min="8964" max="8964" width="59.7109375" customWidth="1"/>
    <col min="8965" max="8966" width="20.5703125" customWidth="1"/>
    <col min="9196" max="9197" width="3.85546875" customWidth="1"/>
    <col min="9198" max="9198" width="70.5703125" customWidth="1"/>
    <col min="9199" max="9199" width="15.140625" customWidth="1"/>
    <col min="9200" max="9201" width="17.28515625" customWidth="1"/>
    <col min="9202" max="9204" width="19" customWidth="1"/>
    <col min="9205" max="9205" width="14.85546875" customWidth="1"/>
    <col min="9206" max="9208" width="16.5703125" customWidth="1"/>
    <col min="9209" max="9209" width="13.85546875" customWidth="1"/>
    <col min="9210" max="9212" width="16.5703125" customWidth="1"/>
    <col min="9213" max="9213" width="13.5703125" customWidth="1"/>
    <col min="9214" max="9214" width="15.28515625" customWidth="1"/>
    <col min="9215" max="9215" width="17.5703125" customWidth="1"/>
    <col min="9216" max="9216" width="4.140625" customWidth="1"/>
    <col min="9217" max="9217" width="10.85546875" customWidth="1"/>
    <col min="9218" max="9218" width="24.28515625" customWidth="1"/>
    <col min="9219" max="9219" width="20.5703125" customWidth="1"/>
    <col min="9220" max="9220" width="59.7109375" customWidth="1"/>
    <col min="9221" max="9222" width="20.5703125" customWidth="1"/>
    <col min="9452" max="9453" width="3.85546875" customWidth="1"/>
    <col min="9454" max="9454" width="70.5703125" customWidth="1"/>
    <col min="9455" max="9455" width="15.140625" customWidth="1"/>
    <col min="9456" max="9457" width="17.28515625" customWidth="1"/>
    <col min="9458" max="9460" width="19" customWidth="1"/>
    <col min="9461" max="9461" width="14.85546875" customWidth="1"/>
    <col min="9462" max="9464" width="16.5703125" customWidth="1"/>
    <col min="9465" max="9465" width="13.85546875" customWidth="1"/>
    <col min="9466" max="9468" width="16.5703125" customWidth="1"/>
    <col min="9469" max="9469" width="13.5703125" customWidth="1"/>
    <col min="9470" max="9470" width="15.28515625" customWidth="1"/>
    <col min="9471" max="9471" width="17.5703125" customWidth="1"/>
    <col min="9472" max="9472" width="4.140625" customWidth="1"/>
    <col min="9473" max="9473" width="10.85546875" customWidth="1"/>
    <col min="9474" max="9474" width="24.28515625" customWidth="1"/>
    <col min="9475" max="9475" width="20.5703125" customWidth="1"/>
    <col min="9476" max="9476" width="59.7109375" customWidth="1"/>
    <col min="9477" max="9478" width="20.5703125" customWidth="1"/>
    <col min="9708" max="9709" width="3.85546875" customWidth="1"/>
    <col min="9710" max="9710" width="70.5703125" customWidth="1"/>
    <col min="9711" max="9711" width="15.140625" customWidth="1"/>
    <col min="9712" max="9713" width="17.28515625" customWidth="1"/>
    <col min="9714" max="9716" width="19" customWidth="1"/>
    <col min="9717" max="9717" width="14.85546875" customWidth="1"/>
    <col min="9718" max="9720" width="16.5703125" customWidth="1"/>
    <col min="9721" max="9721" width="13.85546875" customWidth="1"/>
    <col min="9722" max="9724" width="16.5703125" customWidth="1"/>
    <col min="9725" max="9725" width="13.5703125" customWidth="1"/>
    <col min="9726" max="9726" width="15.28515625" customWidth="1"/>
    <col min="9727" max="9727" width="17.5703125" customWidth="1"/>
    <col min="9728" max="9728" width="4.140625" customWidth="1"/>
    <col min="9729" max="9729" width="10.85546875" customWidth="1"/>
    <col min="9730" max="9730" width="24.28515625" customWidth="1"/>
    <col min="9731" max="9731" width="20.5703125" customWidth="1"/>
    <col min="9732" max="9732" width="59.7109375" customWidth="1"/>
    <col min="9733" max="9734" width="20.5703125" customWidth="1"/>
    <col min="9964" max="9965" width="3.85546875" customWidth="1"/>
    <col min="9966" max="9966" width="70.5703125" customWidth="1"/>
    <col min="9967" max="9967" width="15.140625" customWidth="1"/>
    <col min="9968" max="9969" width="17.28515625" customWidth="1"/>
    <col min="9970" max="9972" width="19" customWidth="1"/>
    <col min="9973" max="9973" width="14.85546875" customWidth="1"/>
    <col min="9974" max="9976" width="16.5703125" customWidth="1"/>
    <col min="9977" max="9977" width="13.85546875" customWidth="1"/>
    <col min="9978" max="9980" width="16.5703125" customWidth="1"/>
    <col min="9981" max="9981" width="13.5703125" customWidth="1"/>
    <col min="9982" max="9982" width="15.28515625" customWidth="1"/>
    <col min="9983" max="9983" width="17.5703125" customWidth="1"/>
    <col min="9984" max="9984" width="4.140625" customWidth="1"/>
    <col min="9985" max="9985" width="10.85546875" customWidth="1"/>
    <col min="9986" max="9986" width="24.28515625" customWidth="1"/>
    <col min="9987" max="9987" width="20.5703125" customWidth="1"/>
    <col min="9988" max="9988" width="59.7109375" customWidth="1"/>
    <col min="9989" max="9990" width="20.5703125" customWidth="1"/>
    <col min="10220" max="10221" width="3.85546875" customWidth="1"/>
    <col min="10222" max="10222" width="70.5703125" customWidth="1"/>
    <col min="10223" max="10223" width="15.140625" customWidth="1"/>
    <col min="10224" max="10225" width="17.28515625" customWidth="1"/>
    <col min="10226" max="10228" width="19" customWidth="1"/>
    <col min="10229" max="10229" width="14.85546875" customWidth="1"/>
    <col min="10230" max="10232" width="16.5703125" customWidth="1"/>
    <col min="10233" max="10233" width="13.85546875" customWidth="1"/>
    <col min="10234" max="10236" width="16.5703125" customWidth="1"/>
    <col min="10237" max="10237" width="13.5703125" customWidth="1"/>
    <col min="10238" max="10238" width="15.28515625" customWidth="1"/>
    <col min="10239" max="10239" width="17.5703125" customWidth="1"/>
    <col min="10240" max="10240" width="4.140625" customWidth="1"/>
    <col min="10241" max="10241" width="10.85546875" customWidth="1"/>
    <col min="10242" max="10242" width="24.28515625" customWidth="1"/>
    <col min="10243" max="10243" width="20.5703125" customWidth="1"/>
    <col min="10244" max="10244" width="59.7109375" customWidth="1"/>
    <col min="10245" max="10246" width="20.5703125" customWidth="1"/>
    <col min="10476" max="10477" width="3.85546875" customWidth="1"/>
    <col min="10478" max="10478" width="70.5703125" customWidth="1"/>
    <col min="10479" max="10479" width="15.140625" customWidth="1"/>
    <col min="10480" max="10481" width="17.28515625" customWidth="1"/>
    <col min="10482" max="10484" width="19" customWidth="1"/>
    <col min="10485" max="10485" width="14.85546875" customWidth="1"/>
    <col min="10486" max="10488" width="16.5703125" customWidth="1"/>
    <col min="10489" max="10489" width="13.85546875" customWidth="1"/>
    <col min="10490" max="10492" width="16.5703125" customWidth="1"/>
    <col min="10493" max="10493" width="13.5703125" customWidth="1"/>
    <col min="10494" max="10494" width="15.28515625" customWidth="1"/>
    <col min="10495" max="10495" width="17.5703125" customWidth="1"/>
    <col min="10496" max="10496" width="4.140625" customWidth="1"/>
    <col min="10497" max="10497" width="10.85546875" customWidth="1"/>
    <col min="10498" max="10498" width="24.28515625" customWidth="1"/>
    <col min="10499" max="10499" width="20.5703125" customWidth="1"/>
    <col min="10500" max="10500" width="59.7109375" customWidth="1"/>
    <col min="10501" max="10502" width="20.5703125" customWidth="1"/>
    <col min="10732" max="10733" width="3.85546875" customWidth="1"/>
    <col min="10734" max="10734" width="70.5703125" customWidth="1"/>
    <col min="10735" max="10735" width="15.140625" customWidth="1"/>
    <col min="10736" max="10737" width="17.28515625" customWidth="1"/>
    <col min="10738" max="10740" width="19" customWidth="1"/>
    <col min="10741" max="10741" width="14.85546875" customWidth="1"/>
    <col min="10742" max="10744" width="16.5703125" customWidth="1"/>
    <col min="10745" max="10745" width="13.85546875" customWidth="1"/>
    <col min="10746" max="10748" width="16.5703125" customWidth="1"/>
    <col min="10749" max="10749" width="13.5703125" customWidth="1"/>
    <col min="10750" max="10750" width="15.28515625" customWidth="1"/>
    <col min="10751" max="10751" width="17.5703125" customWidth="1"/>
    <col min="10752" max="10752" width="4.140625" customWidth="1"/>
    <col min="10753" max="10753" width="10.85546875" customWidth="1"/>
    <col min="10754" max="10754" width="24.28515625" customWidth="1"/>
    <col min="10755" max="10755" width="20.5703125" customWidth="1"/>
    <col min="10756" max="10756" width="59.7109375" customWidth="1"/>
    <col min="10757" max="10758" width="20.5703125" customWidth="1"/>
    <col min="10988" max="10989" width="3.85546875" customWidth="1"/>
    <col min="10990" max="10990" width="70.5703125" customWidth="1"/>
    <col min="10991" max="10991" width="15.140625" customWidth="1"/>
    <col min="10992" max="10993" width="17.28515625" customWidth="1"/>
    <col min="10994" max="10996" width="19" customWidth="1"/>
    <col min="10997" max="10997" width="14.85546875" customWidth="1"/>
    <col min="10998" max="11000" width="16.5703125" customWidth="1"/>
    <col min="11001" max="11001" width="13.85546875" customWidth="1"/>
    <col min="11002" max="11004" width="16.5703125" customWidth="1"/>
    <col min="11005" max="11005" width="13.5703125" customWidth="1"/>
    <col min="11006" max="11006" width="15.28515625" customWidth="1"/>
    <col min="11007" max="11007" width="17.5703125" customWidth="1"/>
    <col min="11008" max="11008" width="4.140625" customWidth="1"/>
    <col min="11009" max="11009" width="10.85546875" customWidth="1"/>
    <col min="11010" max="11010" width="24.28515625" customWidth="1"/>
    <col min="11011" max="11011" width="20.5703125" customWidth="1"/>
    <col min="11012" max="11012" width="59.7109375" customWidth="1"/>
    <col min="11013" max="11014" width="20.5703125" customWidth="1"/>
    <col min="11244" max="11245" width="3.85546875" customWidth="1"/>
    <col min="11246" max="11246" width="70.5703125" customWidth="1"/>
    <col min="11247" max="11247" width="15.140625" customWidth="1"/>
    <col min="11248" max="11249" width="17.28515625" customWidth="1"/>
    <col min="11250" max="11252" width="19" customWidth="1"/>
    <col min="11253" max="11253" width="14.85546875" customWidth="1"/>
    <col min="11254" max="11256" width="16.5703125" customWidth="1"/>
    <col min="11257" max="11257" width="13.85546875" customWidth="1"/>
    <col min="11258" max="11260" width="16.5703125" customWidth="1"/>
    <col min="11261" max="11261" width="13.5703125" customWidth="1"/>
    <col min="11262" max="11262" width="15.28515625" customWidth="1"/>
    <col min="11263" max="11263" width="17.5703125" customWidth="1"/>
    <col min="11264" max="11264" width="4.140625" customWidth="1"/>
    <col min="11265" max="11265" width="10.85546875" customWidth="1"/>
    <col min="11266" max="11266" width="24.28515625" customWidth="1"/>
    <col min="11267" max="11267" width="20.5703125" customWidth="1"/>
    <col min="11268" max="11268" width="59.7109375" customWidth="1"/>
    <col min="11269" max="11270" width="20.5703125" customWidth="1"/>
    <col min="11500" max="11501" width="3.85546875" customWidth="1"/>
    <col min="11502" max="11502" width="70.5703125" customWidth="1"/>
    <col min="11503" max="11503" width="15.140625" customWidth="1"/>
    <col min="11504" max="11505" width="17.28515625" customWidth="1"/>
    <col min="11506" max="11508" width="19" customWidth="1"/>
    <col min="11509" max="11509" width="14.85546875" customWidth="1"/>
    <col min="11510" max="11512" width="16.5703125" customWidth="1"/>
    <col min="11513" max="11513" width="13.85546875" customWidth="1"/>
    <col min="11514" max="11516" width="16.5703125" customWidth="1"/>
    <col min="11517" max="11517" width="13.5703125" customWidth="1"/>
    <col min="11518" max="11518" width="15.28515625" customWidth="1"/>
    <col min="11519" max="11519" width="17.5703125" customWidth="1"/>
    <col min="11520" max="11520" width="4.140625" customWidth="1"/>
    <col min="11521" max="11521" width="10.85546875" customWidth="1"/>
    <col min="11522" max="11522" width="24.28515625" customWidth="1"/>
    <col min="11523" max="11523" width="20.5703125" customWidth="1"/>
    <col min="11524" max="11524" width="59.7109375" customWidth="1"/>
    <col min="11525" max="11526" width="20.5703125" customWidth="1"/>
    <col min="11756" max="11757" width="3.85546875" customWidth="1"/>
    <col min="11758" max="11758" width="70.5703125" customWidth="1"/>
    <col min="11759" max="11759" width="15.140625" customWidth="1"/>
    <col min="11760" max="11761" width="17.28515625" customWidth="1"/>
    <col min="11762" max="11764" width="19" customWidth="1"/>
    <col min="11765" max="11765" width="14.85546875" customWidth="1"/>
    <col min="11766" max="11768" width="16.5703125" customWidth="1"/>
    <col min="11769" max="11769" width="13.85546875" customWidth="1"/>
    <col min="11770" max="11772" width="16.5703125" customWidth="1"/>
    <col min="11773" max="11773" width="13.5703125" customWidth="1"/>
    <col min="11774" max="11774" width="15.28515625" customWidth="1"/>
    <col min="11775" max="11775" width="17.5703125" customWidth="1"/>
    <col min="11776" max="11776" width="4.140625" customWidth="1"/>
    <col min="11777" max="11777" width="10.85546875" customWidth="1"/>
    <col min="11778" max="11778" width="24.28515625" customWidth="1"/>
    <col min="11779" max="11779" width="20.5703125" customWidth="1"/>
    <col min="11780" max="11780" width="59.7109375" customWidth="1"/>
    <col min="11781" max="11782" width="20.5703125" customWidth="1"/>
    <col min="12012" max="12013" width="3.85546875" customWidth="1"/>
    <col min="12014" max="12014" width="70.5703125" customWidth="1"/>
    <col min="12015" max="12015" width="15.140625" customWidth="1"/>
    <col min="12016" max="12017" width="17.28515625" customWidth="1"/>
    <col min="12018" max="12020" width="19" customWidth="1"/>
    <col min="12021" max="12021" width="14.85546875" customWidth="1"/>
    <col min="12022" max="12024" width="16.5703125" customWidth="1"/>
    <col min="12025" max="12025" width="13.85546875" customWidth="1"/>
    <col min="12026" max="12028" width="16.5703125" customWidth="1"/>
    <col min="12029" max="12029" width="13.5703125" customWidth="1"/>
    <col min="12030" max="12030" width="15.28515625" customWidth="1"/>
    <col min="12031" max="12031" width="17.5703125" customWidth="1"/>
    <col min="12032" max="12032" width="4.140625" customWidth="1"/>
    <col min="12033" max="12033" width="10.85546875" customWidth="1"/>
    <col min="12034" max="12034" width="24.28515625" customWidth="1"/>
    <col min="12035" max="12035" width="20.5703125" customWidth="1"/>
    <col min="12036" max="12036" width="59.7109375" customWidth="1"/>
    <col min="12037" max="12038" width="20.5703125" customWidth="1"/>
    <col min="12268" max="12269" width="3.85546875" customWidth="1"/>
    <col min="12270" max="12270" width="70.5703125" customWidth="1"/>
    <col min="12271" max="12271" width="15.140625" customWidth="1"/>
    <col min="12272" max="12273" width="17.28515625" customWidth="1"/>
    <col min="12274" max="12276" width="19" customWidth="1"/>
    <col min="12277" max="12277" width="14.85546875" customWidth="1"/>
    <col min="12278" max="12280" width="16.5703125" customWidth="1"/>
    <col min="12281" max="12281" width="13.85546875" customWidth="1"/>
    <col min="12282" max="12284" width="16.5703125" customWidth="1"/>
    <col min="12285" max="12285" width="13.5703125" customWidth="1"/>
    <col min="12286" max="12286" width="15.28515625" customWidth="1"/>
    <col min="12287" max="12287" width="17.5703125" customWidth="1"/>
    <col min="12288" max="12288" width="4.140625" customWidth="1"/>
    <col min="12289" max="12289" width="10.85546875" customWidth="1"/>
    <col min="12290" max="12290" width="24.28515625" customWidth="1"/>
    <col min="12291" max="12291" width="20.5703125" customWidth="1"/>
    <col min="12292" max="12292" width="59.7109375" customWidth="1"/>
    <col min="12293" max="12294" width="20.5703125" customWidth="1"/>
    <col min="12524" max="12525" width="3.85546875" customWidth="1"/>
    <col min="12526" max="12526" width="70.5703125" customWidth="1"/>
    <col min="12527" max="12527" width="15.140625" customWidth="1"/>
    <col min="12528" max="12529" width="17.28515625" customWidth="1"/>
    <col min="12530" max="12532" width="19" customWidth="1"/>
    <col min="12533" max="12533" width="14.85546875" customWidth="1"/>
    <col min="12534" max="12536" width="16.5703125" customWidth="1"/>
    <col min="12537" max="12537" width="13.85546875" customWidth="1"/>
    <col min="12538" max="12540" width="16.5703125" customWidth="1"/>
    <col min="12541" max="12541" width="13.5703125" customWidth="1"/>
    <col min="12542" max="12542" width="15.28515625" customWidth="1"/>
    <col min="12543" max="12543" width="17.5703125" customWidth="1"/>
    <col min="12544" max="12544" width="4.140625" customWidth="1"/>
    <col min="12545" max="12545" width="10.85546875" customWidth="1"/>
    <col min="12546" max="12546" width="24.28515625" customWidth="1"/>
    <col min="12547" max="12547" width="20.5703125" customWidth="1"/>
    <col min="12548" max="12548" width="59.7109375" customWidth="1"/>
    <col min="12549" max="12550" width="20.5703125" customWidth="1"/>
    <col min="12780" max="12781" width="3.85546875" customWidth="1"/>
    <col min="12782" max="12782" width="70.5703125" customWidth="1"/>
    <col min="12783" max="12783" width="15.140625" customWidth="1"/>
    <col min="12784" max="12785" width="17.28515625" customWidth="1"/>
    <col min="12786" max="12788" width="19" customWidth="1"/>
    <col min="12789" max="12789" width="14.85546875" customWidth="1"/>
    <col min="12790" max="12792" width="16.5703125" customWidth="1"/>
    <col min="12793" max="12793" width="13.85546875" customWidth="1"/>
    <col min="12794" max="12796" width="16.5703125" customWidth="1"/>
    <col min="12797" max="12797" width="13.5703125" customWidth="1"/>
    <col min="12798" max="12798" width="15.28515625" customWidth="1"/>
    <col min="12799" max="12799" width="17.5703125" customWidth="1"/>
    <col min="12800" max="12800" width="4.140625" customWidth="1"/>
    <col min="12801" max="12801" width="10.85546875" customWidth="1"/>
    <col min="12802" max="12802" width="24.28515625" customWidth="1"/>
    <col min="12803" max="12803" width="20.5703125" customWidth="1"/>
    <col min="12804" max="12804" width="59.7109375" customWidth="1"/>
    <col min="12805" max="12806" width="20.5703125" customWidth="1"/>
    <col min="13036" max="13037" width="3.85546875" customWidth="1"/>
    <col min="13038" max="13038" width="70.5703125" customWidth="1"/>
    <col min="13039" max="13039" width="15.140625" customWidth="1"/>
    <col min="13040" max="13041" width="17.28515625" customWidth="1"/>
    <col min="13042" max="13044" width="19" customWidth="1"/>
    <col min="13045" max="13045" width="14.85546875" customWidth="1"/>
    <col min="13046" max="13048" width="16.5703125" customWidth="1"/>
    <col min="13049" max="13049" width="13.85546875" customWidth="1"/>
    <col min="13050" max="13052" width="16.5703125" customWidth="1"/>
    <col min="13053" max="13053" width="13.5703125" customWidth="1"/>
    <col min="13054" max="13054" width="15.28515625" customWidth="1"/>
    <col min="13055" max="13055" width="17.5703125" customWidth="1"/>
    <col min="13056" max="13056" width="4.140625" customWidth="1"/>
    <col min="13057" max="13057" width="10.85546875" customWidth="1"/>
    <col min="13058" max="13058" width="24.28515625" customWidth="1"/>
    <col min="13059" max="13059" width="20.5703125" customWidth="1"/>
    <col min="13060" max="13060" width="59.7109375" customWidth="1"/>
    <col min="13061" max="13062" width="20.5703125" customWidth="1"/>
    <col min="13292" max="13293" width="3.85546875" customWidth="1"/>
    <col min="13294" max="13294" width="70.5703125" customWidth="1"/>
    <col min="13295" max="13295" width="15.140625" customWidth="1"/>
    <col min="13296" max="13297" width="17.28515625" customWidth="1"/>
    <col min="13298" max="13300" width="19" customWidth="1"/>
    <col min="13301" max="13301" width="14.85546875" customWidth="1"/>
    <col min="13302" max="13304" width="16.5703125" customWidth="1"/>
    <col min="13305" max="13305" width="13.85546875" customWidth="1"/>
    <col min="13306" max="13308" width="16.5703125" customWidth="1"/>
    <col min="13309" max="13309" width="13.5703125" customWidth="1"/>
    <col min="13310" max="13310" width="15.28515625" customWidth="1"/>
    <col min="13311" max="13311" width="17.5703125" customWidth="1"/>
    <col min="13312" max="13312" width="4.140625" customWidth="1"/>
    <col min="13313" max="13313" width="10.85546875" customWidth="1"/>
    <col min="13314" max="13314" width="24.28515625" customWidth="1"/>
    <col min="13315" max="13315" width="20.5703125" customWidth="1"/>
    <col min="13316" max="13316" width="59.7109375" customWidth="1"/>
    <col min="13317" max="13318" width="20.5703125" customWidth="1"/>
    <col min="13548" max="13549" width="3.85546875" customWidth="1"/>
    <col min="13550" max="13550" width="70.5703125" customWidth="1"/>
    <col min="13551" max="13551" width="15.140625" customWidth="1"/>
    <col min="13552" max="13553" width="17.28515625" customWidth="1"/>
    <col min="13554" max="13556" width="19" customWidth="1"/>
    <col min="13557" max="13557" width="14.85546875" customWidth="1"/>
    <col min="13558" max="13560" width="16.5703125" customWidth="1"/>
    <col min="13561" max="13561" width="13.85546875" customWidth="1"/>
    <col min="13562" max="13564" width="16.5703125" customWidth="1"/>
    <col min="13565" max="13565" width="13.5703125" customWidth="1"/>
    <col min="13566" max="13566" width="15.28515625" customWidth="1"/>
    <col min="13567" max="13567" width="17.5703125" customWidth="1"/>
    <col min="13568" max="13568" width="4.140625" customWidth="1"/>
    <col min="13569" max="13569" width="10.85546875" customWidth="1"/>
    <col min="13570" max="13570" width="24.28515625" customWidth="1"/>
    <col min="13571" max="13571" width="20.5703125" customWidth="1"/>
    <col min="13572" max="13572" width="59.7109375" customWidth="1"/>
    <col min="13573" max="13574" width="20.5703125" customWidth="1"/>
    <col min="13804" max="13805" width="3.85546875" customWidth="1"/>
    <col min="13806" max="13806" width="70.5703125" customWidth="1"/>
    <col min="13807" max="13807" width="15.140625" customWidth="1"/>
    <col min="13808" max="13809" width="17.28515625" customWidth="1"/>
    <col min="13810" max="13812" width="19" customWidth="1"/>
    <col min="13813" max="13813" width="14.85546875" customWidth="1"/>
    <col min="13814" max="13816" width="16.5703125" customWidth="1"/>
    <col min="13817" max="13817" width="13.85546875" customWidth="1"/>
    <col min="13818" max="13820" width="16.5703125" customWidth="1"/>
    <col min="13821" max="13821" width="13.5703125" customWidth="1"/>
    <col min="13822" max="13822" width="15.28515625" customWidth="1"/>
    <col min="13823" max="13823" width="17.5703125" customWidth="1"/>
    <col min="13824" max="13824" width="4.140625" customWidth="1"/>
    <col min="13825" max="13825" width="10.85546875" customWidth="1"/>
    <col min="13826" max="13826" width="24.28515625" customWidth="1"/>
    <col min="13827" max="13827" width="20.5703125" customWidth="1"/>
    <col min="13828" max="13828" width="59.7109375" customWidth="1"/>
    <col min="13829" max="13830" width="20.5703125" customWidth="1"/>
    <col min="14060" max="14061" width="3.85546875" customWidth="1"/>
    <col min="14062" max="14062" width="70.5703125" customWidth="1"/>
    <col min="14063" max="14063" width="15.140625" customWidth="1"/>
    <col min="14064" max="14065" width="17.28515625" customWidth="1"/>
    <col min="14066" max="14068" width="19" customWidth="1"/>
    <col min="14069" max="14069" width="14.85546875" customWidth="1"/>
    <col min="14070" max="14072" width="16.5703125" customWidth="1"/>
    <col min="14073" max="14073" width="13.85546875" customWidth="1"/>
    <col min="14074" max="14076" width="16.5703125" customWidth="1"/>
    <col min="14077" max="14077" width="13.5703125" customWidth="1"/>
    <col min="14078" max="14078" width="15.28515625" customWidth="1"/>
    <col min="14079" max="14079" width="17.5703125" customWidth="1"/>
    <col min="14080" max="14080" width="4.140625" customWidth="1"/>
    <col min="14081" max="14081" width="10.85546875" customWidth="1"/>
    <col min="14082" max="14082" width="24.28515625" customWidth="1"/>
    <col min="14083" max="14083" width="20.5703125" customWidth="1"/>
    <col min="14084" max="14084" width="59.7109375" customWidth="1"/>
    <col min="14085" max="14086" width="20.5703125" customWidth="1"/>
    <col min="14316" max="14317" width="3.85546875" customWidth="1"/>
    <col min="14318" max="14318" width="70.5703125" customWidth="1"/>
    <col min="14319" max="14319" width="15.140625" customWidth="1"/>
    <col min="14320" max="14321" width="17.28515625" customWidth="1"/>
    <col min="14322" max="14324" width="19" customWidth="1"/>
    <col min="14325" max="14325" width="14.85546875" customWidth="1"/>
    <col min="14326" max="14328" width="16.5703125" customWidth="1"/>
    <col min="14329" max="14329" width="13.85546875" customWidth="1"/>
    <col min="14330" max="14332" width="16.5703125" customWidth="1"/>
    <col min="14333" max="14333" width="13.5703125" customWidth="1"/>
    <col min="14334" max="14334" width="15.28515625" customWidth="1"/>
    <col min="14335" max="14335" width="17.5703125" customWidth="1"/>
    <col min="14336" max="14336" width="4.140625" customWidth="1"/>
    <col min="14337" max="14337" width="10.85546875" customWidth="1"/>
    <col min="14338" max="14338" width="24.28515625" customWidth="1"/>
    <col min="14339" max="14339" width="20.5703125" customWidth="1"/>
    <col min="14340" max="14340" width="59.7109375" customWidth="1"/>
    <col min="14341" max="14342" width="20.5703125" customWidth="1"/>
    <col min="14572" max="14573" width="3.85546875" customWidth="1"/>
    <col min="14574" max="14574" width="70.5703125" customWidth="1"/>
    <col min="14575" max="14575" width="15.140625" customWidth="1"/>
    <col min="14576" max="14577" width="17.28515625" customWidth="1"/>
    <col min="14578" max="14580" width="19" customWidth="1"/>
    <col min="14581" max="14581" width="14.85546875" customWidth="1"/>
    <col min="14582" max="14584" width="16.5703125" customWidth="1"/>
    <col min="14585" max="14585" width="13.85546875" customWidth="1"/>
    <col min="14586" max="14588" width="16.5703125" customWidth="1"/>
    <col min="14589" max="14589" width="13.5703125" customWidth="1"/>
    <col min="14590" max="14590" width="15.28515625" customWidth="1"/>
    <col min="14591" max="14591" width="17.5703125" customWidth="1"/>
    <col min="14592" max="14592" width="4.140625" customWidth="1"/>
    <col min="14593" max="14593" width="10.85546875" customWidth="1"/>
    <col min="14594" max="14594" width="24.28515625" customWidth="1"/>
    <col min="14595" max="14595" width="20.5703125" customWidth="1"/>
    <col min="14596" max="14596" width="59.7109375" customWidth="1"/>
    <col min="14597" max="14598" width="20.5703125" customWidth="1"/>
    <col min="14828" max="14829" width="3.85546875" customWidth="1"/>
    <col min="14830" max="14830" width="70.5703125" customWidth="1"/>
    <col min="14831" max="14831" width="15.140625" customWidth="1"/>
    <col min="14832" max="14833" width="17.28515625" customWidth="1"/>
    <col min="14834" max="14836" width="19" customWidth="1"/>
    <col min="14837" max="14837" width="14.85546875" customWidth="1"/>
    <col min="14838" max="14840" width="16.5703125" customWidth="1"/>
    <col min="14841" max="14841" width="13.85546875" customWidth="1"/>
    <col min="14842" max="14844" width="16.5703125" customWidth="1"/>
    <col min="14845" max="14845" width="13.5703125" customWidth="1"/>
    <col min="14846" max="14846" width="15.28515625" customWidth="1"/>
    <col min="14847" max="14847" width="17.5703125" customWidth="1"/>
    <col min="14848" max="14848" width="4.140625" customWidth="1"/>
    <col min="14849" max="14849" width="10.85546875" customWidth="1"/>
    <col min="14850" max="14850" width="24.28515625" customWidth="1"/>
    <col min="14851" max="14851" width="20.5703125" customWidth="1"/>
    <col min="14852" max="14852" width="59.7109375" customWidth="1"/>
    <col min="14853" max="14854" width="20.5703125" customWidth="1"/>
    <col min="15084" max="15085" width="3.85546875" customWidth="1"/>
    <col min="15086" max="15086" width="70.5703125" customWidth="1"/>
    <col min="15087" max="15087" width="15.140625" customWidth="1"/>
    <col min="15088" max="15089" width="17.28515625" customWidth="1"/>
    <col min="15090" max="15092" width="19" customWidth="1"/>
    <col min="15093" max="15093" width="14.85546875" customWidth="1"/>
    <col min="15094" max="15096" width="16.5703125" customWidth="1"/>
    <col min="15097" max="15097" width="13.85546875" customWidth="1"/>
    <col min="15098" max="15100" width="16.5703125" customWidth="1"/>
    <col min="15101" max="15101" width="13.5703125" customWidth="1"/>
    <col min="15102" max="15102" width="15.28515625" customWidth="1"/>
    <col min="15103" max="15103" width="17.5703125" customWidth="1"/>
    <col min="15104" max="15104" width="4.140625" customWidth="1"/>
    <col min="15105" max="15105" width="10.85546875" customWidth="1"/>
    <col min="15106" max="15106" width="24.28515625" customWidth="1"/>
    <col min="15107" max="15107" width="20.5703125" customWidth="1"/>
    <col min="15108" max="15108" width="59.7109375" customWidth="1"/>
    <col min="15109" max="15110" width="20.5703125" customWidth="1"/>
    <col min="15340" max="15341" width="3.85546875" customWidth="1"/>
    <col min="15342" max="15342" width="70.5703125" customWidth="1"/>
    <col min="15343" max="15343" width="15.140625" customWidth="1"/>
    <col min="15344" max="15345" width="17.28515625" customWidth="1"/>
    <col min="15346" max="15348" width="19" customWidth="1"/>
    <col min="15349" max="15349" width="14.85546875" customWidth="1"/>
    <col min="15350" max="15352" width="16.5703125" customWidth="1"/>
    <col min="15353" max="15353" width="13.85546875" customWidth="1"/>
    <col min="15354" max="15356" width="16.5703125" customWidth="1"/>
    <col min="15357" max="15357" width="13.5703125" customWidth="1"/>
    <col min="15358" max="15358" width="15.28515625" customWidth="1"/>
    <col min="15359" max="15359" width="17.5703125" customWidth="1"/>
    <col min="15360" max="15360" width="4.140625" customWidth="1"/>
    <col min="15361" max="15361" width="10.85546875" customWidth="1"/>
    <col min="15362" max="15362" width="24.28515625" customWidth="1"/>
    <col min="15363" max="15363" width="20.5703125" customWidth="1"/>
    <col min="15364" max="15364" width="59.7109375" customWidth="1"/>
    <col min="15365" max="15366" width="20.5703125" customWidth="1"/>
    <col min="15596" max="15597" width="3.85546875" customWidth="1"/>
    <col min="15598" max="15598" width="70.5703125" customWidth="1"/>
    <col min="15599" max="15599" width="15.140625" customWidth="1"/>
    <col min="15600" max="15601" width="17.28515625" customWidth="1"/>
    <col min="15602" max="15604" width="19" customWidth="1"/>
    <col min="15605" max="15605" width="14.85546875" customWidth="1"/>
    <col min="15606" max="15608" width="16.5703125" customWidth="1"/>
    <col min="15609" max="15609" width="13.85546875" customWidth="1"/>
    <col min="15610" max="15612" width="16.5703125" customWidth="1"/>
    <col min="15613" max="15613" width="13.5703125" customWidth="1"/>
    <col min="15614" max="15614" width="15.28515625" customWidth="1"/>
    <col min="15615" max="15615" width="17.5703125" customWidth="1"/>
    <col min="15616" max="15616" width="4.140625" customWidth="1"/>
    <col min="15617" max="15617" width="10.85546875" customWidth="1"/>
    <col min="15618" max="15618" width="24.28515625" customWidth="1"/>
    <col min="15619" max="15619" width="20.5703125" customWidth="1"/>
    <col min="15620" max="15620" width="59.7109375" customWidth="1"/>
    <col min="15621" max="15622" width="20.5703125" customWidth="1"/>
    <col min="15852" max="15853" width="3.85546875" customWidth="1"/>
    <col min="15854" max="15854" width="70.5703125" customWidth="1"/>
    <col min="15855" max="15855" width="15.140625" customWidth="1"/>
    <col min="15856" max="15857" width="17.28515625" customWidth="1"/>
    <col min="15858" max="15860" width="19" customWidth="1"/>
    <col min="15861" max="15861" width="14.85546875" customWidth="1"/>
    <col min="15862" max="15864" width="16.5703125" customWidth="1"/>
    <col min="15865" max="15865" width="13.85546875" customWidth="1"/>
    <col min="15866" max="15868" width="16.5703125" customWidth="1"/>
    <col min="15869" max="15869" width="13.5703125" customWidth="1"/>
    <col min="15870" max="15870" width="15.28515625" customWidth="1"/>
    <col min="15871" max="15871" width="17.5703125" customWidth="1"/>
    <col min="15872" max="15872" width="4.140625" customWidth="1"/>
    <col min="15873" max="15873" width="10.85546875" customWidth="1"/>
    <col min="15874" max="15874" width="24.28515625" customWidth="1"/>
    <col min="15875" max="15875" width="20.5703125" customWidth="1"/>
    <col min="15876" max="15876" width="59.7109375" customWidth="1"/>
    <col min="15877" max="15878" width="20.5703125" customWidth="1"/>
    <col min="16108" max="16109" width="3.85546875" customWidth="1"/>
    <col min="16110" max="16110" width="70.5703125" customWidth="1"/>
    <col min="16111" max="16111" width="15.140625" customWidth="1"/>
    <col min="16112" max="16113" width="17.28515625" customWidth="1"/>
    <col min="16114" max="16116" width="19" customWidth="1"/>
    <col min="16117" max="16117" width="14.85546875" customWidth="1"/>
    <col min="16118" max="16120" width="16.5703125" customWidth="1"/>
    <col min="16121" max="16121" width="13.85546875" customWidth="1"/>
    <col min="16122" max="16124" width="16.5703125" customWidth="1"/>
    <col min="16125" max="16125" width="13.5703125" customWidth="1"/>
    <col min="16126" max="16126" width="15.28515625" customWidth="1"/>
    <col min="16127" max="16127" width="17.5703125" customWidth="1"/>
    <col min="16128" max="16128" width="4.140625" customWidth="1"/>
    <col min="16129" max="16129" width="10.85546875" customWidth="1"/>
    <col min="16130" max="16130" width="24.28515625" customWidth="1"/>
    <col min="16131" max="16131" width="20.5703125" customWidth="1"/>
    <col min="16132" max="16132" width="59.7109375" customWidth="1"/>
    <col min="16133" max="16134" width="20.5703125" customWidth="1"/>
  </cols>
  <sheetData>
    <row r="1" spans="1:13" ht="33.75" x14ac:dyDescent="0.5">
      <c r="A1" s="1"/>
      <c r="B1" s="131" t="s">
        <v>0</v>
      </c>
      <c r="C1" s="132"/>
      <c r="D1" s="132"/>
      <c r="E1" s="132"/>
      <c r="F1" s="132"/>
      <c r="G1" s="132"/>
      <c r="H1" s="132"/>
      <c r="I1" s="132"/>
      <c r="J1" s="132"/>
      <c r="K1" s="132"/>
      <c r="L1" s="133"/>
      <c r="M1" s="133"/>
    </row>
    <row r="2" spans="1:13" ht="26.25" x14ac:dyDescent="0.4">
      <c r="A2" s="1"/>
      <c r="B2" s="134" t="s">
        <v>1</v>
      </c>
      <c r="C2" s="135"/>
      <c r="D2" s="135"/>
      <c r="E2" s="135"/>
      <c r="F2" s="135"/>
      <c r="G2" s="135"/>
      <c r="H2" s="135"/>
      <c r="I2" s="135"/>
      <c r="J2" s="135"/>
      <c r="K2" s="135"/>
      <c r="L2" s="133"/>
      <c r="M2" s="133"/>
    </row>
    <row r="3" spans="1:13" ht="23.25" x14ac:dyDescent="0.35">
      <c r="A3" s="1"/>
      <c r="B3" s="136" t="s">
        <v>2</v>
      </c>
      <c r="C3" s="137"/>
      <c r="D3" s="137"/>
      <c r="E3" s="137"/>
      <c r="F3" s="137"/>
      <c r="G3" s="137"/>
      <c r="H3" s="137"/>
      <c r="I3" s="137"/>
      <c r="J3" s="137"/>
      <c r="K3" s="137"/>
      <c r="L3" s="138"/>
      <c r="M3" s="138"/>
    </row>
    <row r="4" spans="1:13" ht="23.25" x14ac:dyDescent="0.35">
      <c r="A4" s="1"/>
      <c r="B4" s="136" t="s">
        <v>3</v>
      </c>
      <c r="C4" s="133"/>
      <c r="D4" s="133"/>
      <c r="E4" s="133"/>
      <c r="F4" s="133"/>
      <c r="G4" s="133"/>
      <c r="H4" s="133"/>
      <c r="I4" s="133"/>
      <c r="J4" s="133"/>
      <c r="K4" s="133"/>
      <c r="L4" s="133"/>
      <c r="M4" s="133"/>
    </row>
    <row r="5" spans="1:13" ht="23.25" x14ac:dyDescent="0.35">
      <c r="A5" s="1"/>
      <c r="B5" s="139" t="s">
        <v>4</v>
      </c>
      <c r="C5" s="140"/>
      <c r="D5" s="140"/>
      <c r="E5" s="140"/>
      <c r="F5" s="140"/>
      <c r="G5" s="140"/>
      <c r="H5" s="140"/>
      <c r="I5" s="140"/>
      <c r="J5" s="140"/>
      <c r="K5" s="140"/>
      <c r="L5" s="140"/>
      <c r="M5" s="140"/>
    </row>
    <row r="6" spans="1:13" ht="24" thickBot="1" x14ac:dyDescent="0.4">
      <c r="A6" s="1"/>
      <c r="B6" s="3"/>
      <c r="C6" s="4"/>
      <c r="D6" s="5"/>
      <c r="E6" s="5"/>
      <c r="F6" s="5"/>
      <c r="G6" s="5"/>
      <c r="H6" s="5"/>
      <c r="I6" s="5"/>
      <c r="J6" s="5"/>
      <c r="K6" s="6"/>
      <c r="L6" s="2"/>
      <c r="M6" s="7" t="s">
        <v>5</v>
      </c>
    </row>
    <row r="7" spans="1:13" ht="18.75" customHeight="1" thickBot="1" x14ac:dyDescent="0.3">
      <c r="A7" s="1"/>
      <c r="B7" s="141" t="s">
        <v>6</v>
      </c>
      <c r="C7" s="128" t="s">
        <v>7</v>
      </c>
      <c r="D7" s="141" t="s">
        <v>8</v>
      </c>
      <c r="E7" s="149">
        <v>2016</v>
      </c>
      <c r="F7" s="150"/>
      <c r="G7" s="150"/>
      <c r="H7" s="150"/>
      <c r="I7" s="150"/>
      <c r="J7" s="150"/>
      <c r="K7" s="151"/>
      <c r="L7" s="125" t="s">
        <v>9</v>
      </c>
      <c r="M7" s="151"/>
    </row>
    <row r="8" spans="1:13" ht="33.75" customHeight="1" thickBot="1" x14ac:dyDescent="0.3">
      <c r="A8" s="1"/>
      <c r="B8" s="142"/>
      <c r="C8" s="145"/>
      <c r="D8" s="142"/>
      <c r="E8" s="125" t="s">
        <v>10</v>
      </c>
      <c r="F8" s="126"/>
      <c r="G8" s="126"/>
      <c r="H8" s="126"/>
      <c r="I8" s="126"/>
      <c r="J8" s="127"/>
      <c r="K8" s="128" t="s">
        <v>11</v>
      </c>
      <c r="L8" s="152"/>
      <c r="M8" s="153"/>
    </row>
    <row r="9" spans="1:13" ht="29.25" customHeight="1" x14ac:dyDescent="0.25">
      <c r="A9" s="1"/>
      <c r="B9" s="143"/>
      <c r="C9" s="145"/>
      <c r="D9" s="147"/>
      <c r="E9" s="123" t="s">
        <v>12</v>
      </c>
      <c r="F9" s="121" t="s">
        <v>13</v>
      </c>
      <c r="G9" s="121" t="s">
        <v>14</v>
      </c>
      <c r="H9" s="121" t="s">
        <v>15</v>
      </c>
      <c r="I9" s="121" t="s">
        <v>16</v>
      </c>
      <c r="J9" s="115" t="s">
        <v>17</v>
      </c>
      <c r="K9" s="129"/>
      <c r="L9" s="117" t="s">
        <v>18</v>
      </c>
      <c r="M9" s="119" t="s">
        <v>19</v>
      </c>
    </row>
    <row r="10" spans="1:13" ht="64.5" customHeight="1" thickBot="1" x14ac:dyDescent="0.3">
      <c r="A10" s="1"/>
      <c r="B10" s="144"/>
      <c r="C10" s="146"/>
      <c r="D10" s="148"/>
      <c r="E10" s="124"/>
      <c r="F10" s="122"/>
      <c r="G10" s="122"/>
      <c r="H10" s="122" t="s">
        <v>20</v>
      </c>
      <c r="I10" s="122"/>
      <c r="J10" s="116"/>
      <c r="K10" s="130"/>
      <c r="L10" s="118"/>
      <c r="M10" s="120"/>
    </row>
    <row r="11" spans="1:13" ht="15.75" thickBot="1" x14ac:dyDescent="0.3">
      <c r="A11" s="1"/>
      <c r="B11" s="8">
        <v>1</v>
      </c>
      <c r="C11" s="9">
        <v>2</v>
      </c>
      <c r="D11" s="9">
        <v>3</v>
      </c>
      <c r="E11" s="10">
        <v>4</v>
      </c>
      <c r="F11" s="11">
        <v>5</v>
      </c>
      <c r="G11" s="11">
        <v>6</v>
      </c>
      <c r="H11" s="11">
        <v>7</v>
      </c>
      <c r="I11" s="11">
        <v>8</v>
      </c>
      <c r="J11" s="12">
        <v>9</v>
      </c>
      <c r="K11" s="13">
        <v>17</v>
      </c>
      <c r="L11" s="10">
        <v>18</v>
      </c>
      <c r="M11" s="12">
        <v>19</v>
      </c>
    </row>
    <row r="12" spans="1:13" ht="18" x14ac:dyDescent="0.25">
      <c r="A12" s="1"/>
      <c r="B12" s="14"/>
      <c r="C12" s="15" t="s">
        <v>21</v>
      </c>
      <c r="D12" s="16"/>
      <c r="E12" s="17">
        <f>SUM(E16,E42,E68,E82,E124,E169,E263,E279,E309,E332,E352,E408,E490,E516,E523,E544,E559,E632,E689,E718,E753,E798,E823,E842,E921)</f>
        <v>3000000</v>
      </c>
      <c r="F12" s="17">
        <f>SUM(F16,F42,F68,F82,F124,F169,F263,F279,F309,F332,F352,F408,F490,F516,F523,F544,F559,F632,F689,F718,F753,F798,F823,F842,F921)</f>
        <v>3000000</v>
      </c>
      <c r="G12" s="17">
        <f>SUM(G16,G42,G68,G82,G124,G169,G263,G279,G309,G332,G352,G408,G490,G516,G523,G544,G559,G632,G689,G718,G753,G798,G823,G842,G921)</f>
        <v>3000000</v>
      </c>
      <c r="H12" s="18">
        <f>SUM(H16,H42,H68,H82,H124,H169,H263,H279,H309,H332,H352,H408,H490,H516,H523,H544,H559,H632,H689,H718,H753,H798,H823,H842,H921)</f>
        <v>2694540.9338600002</v>
      </c>
      <c r="I12" s="18">
        <f>SUM(I16,I42,I68,I82,I124,I169,I263,I279,I309,I332,I352,I408,I490,I516,I523,I544,I559,I632,I689,I718,I753,I798,I823,I842,I921)</f>
        <v>2662466.7486100006</v>
      </c>
      <c r="J12" s="18">
        <f>(SUM(J16,J42,J68,J82,J124,J169,J263,J279,J309,J332,J352,J408,J490,J516,J523,J544,J559,J632,J689,J718,J753,J798,J823,J842,J921)-SUM(J82,J352,J559,J632,J709))+(SUM(J82,J352,J559,J632,J709)+(-J753)+(J753))</f>
        <v>978.83811999999989</v>
      </c>
      <c r="K12" s="19"/>
      <c r="L12" s="16"/>
      <c r="M12" s="20"/>
    </row>
    <row r="13" spans="1:13" ht="18" x14ac:dyDescent="0.25">
      <c r="A13" s="1"/>
      <c r="B13" s="21"/>
      <c r="C13" s="22" t="s">
        <v>22</v>
      </c>
      <c r="D13" s="23"/>
      <c r="E13" s="24">
        <f t="shared" ref="E13:G14" si="0">SUM(E17,E43,E69,E83,E125,E170,E264,E280,E310,E333,E353,E409,E491,E517,E524,E545,E560,E633,E690,E719,E754,E799,E824,E843,E922)</f>
        <v>0</v>
      </c>
      <c r="F13" s="24">
        <f t="shared" si="0"/>
        <v>0</v>
      </c>
      <c r="G13" s="24">
        <f t="shared" si="0"/>
        <v>25607.62902</v>
      </c>
      <c r="H13" s="24"/>
      <c r="I13" s="24"/>
      <c r="J13" s="24"/>
      <c r="K13" s="25"/>
      <c r="L13" s="23"/>
      <c r="M13" s="26"/>
    </row>
    <row r="14" spans="1:13" ht="36.75" thickBot="1" x14ac:dyDescent="0.3">
      <c r="A14" s="1"/>
      <c r="B14" s="27"/>
      <c r="C14" s="28" t="s">
        <v>23</v>
      </c>
      <c r="D14" s="29"/>
      <c r="E14" s="30">
        <f t="shared" si="0"/>
        <v>3000000</v>
      </c>
      <c r="F14" s="30">
        <f t="shared" si="0"/>
        <v>3000000</v>
      </c>
      <c r="G14" s="31">
        <f t="shared" si="0"/>
        <v>2974392.3709799997</v>
      </c>
      <c r="H14" s="31">
        <f>SUM(H18,H44,H70,H84,H126,H171,H265,H281,H311,H334,H354,H410,H492,H518,H525,H546,H561,H634,H691,H720,H755,H800,H825,H844,H923)</f>
        <v>2694540.9338600002</v>
      </c>
      <c r="I14" s="31">
        <f>SUM(I18,I44,I70,I84,I126,I171,I265,I281,I311,I334,I354,I410,I492,I518,I525,I546,I561,I634,I691,I720,I755,I800,I825,I844,I923)</f>
        <v>2662466.7486100006</v>
      </c>
      <c r="J14" s="31">
        <f>(SUM(J18,J44,J70,J84,J126,J171,J265,J281,J311,J334,J354,J410,J492,J518,J525,J546,J561,J634,J691,J720,J755,J800,J825,J844,J923)-SUM(J84,J354,J561,J634,J691))+(SUM(J84,J354,J561,J634,J691)+(-J755)+(J755))</f>
        <v>978.83811999999989</v>
      </c>
      <c r="K14" s="32"/>
      <c r="L14" s="29"/>
      <c r="M14" s="33"/>
    </row>
    <row r="15" spans="1:13" ht="18" x14ac:dyDescent="0.25">
      <c r="A15" s="1">
        <v>2</v>
      </c>
      <c r="B15" s="112" t="s">
        <v>24</v>
      </c>
      <c r="C15" s="113"/>
      <c r="D15" s="113"/>
      <c r="E15" s="113"/>
      <c r="F15" s="113"/>
      <c r="G15" s="113"/>
      <c r="H15" s="113"/>
      <c r="I15" s="113"/>
      <c r="J15" s="113"/>
      <c r="K15" s="113"/>
      <c r="L15" s="113"/>
      <c r="M15" s="114"/>
    </row>
    <row r="16" spans="1:13" ht="18" x14ac:dyDescent="0.25">
      <c r="A16" s="1">
        <v>2</v>
      </c>
      <c r="B16" s="21"/>
      <c r="C16" s="22" t="s">
        <v>25</v>
      </c>
      <c r="D16" s="23"/>
      <c r="E16" s="34">
        <f t="shared" ref="E16:J16" si="1">SUM(E17,E19:E40)</f>
        <v>140797.31700000001</v>
      </c>
      <c r="F16" s="34">
        <f t="shared" si="1"/>
        <v>140797.31700000001</v>
      </c>
      <c r="G16" s="34">
        <f t="shared" si="1"/>
        <v>140797.31700000001</v>
      </c>
      <c r="H16" s="34">
        <f t="shared" si="1"/>
        <v>139387.90518999999</v>
      </c>
      <c r="I16" s="34">
        <f t="shared" si="1"/>
        <v>139387.90518999999</v>
      </c>
      <c r="J16" s="34">
        <f t="shared" si="1"/>
        <v>0</v>
      </c>
      <c r="K16" s="23"/>
      <c r="L16" s="23"/>
      <c r="M16" s="26"/>
    </row>
    <row r="17" spans="1:13" ht="18" x14ac:dyDescent="0.25">
      <c r="A17" s="1">
        <v>2</v>
      </c>
      <c r="B17" s="21"/>
      <c r="C17" s="22" t="s">
        <v>22</v>
      </c>
      <c r="D17" s="23"/>
      <c r="E17" s="34">
        <v>0</v>
      </c>
      <c r="F17" s="34">
        <v>0</v>
      </c>
      <c r="G17" s="34">
        <v>0</v>
      </c>
      <c r="H17" s="34"/>
      <c r="I17" s="34"/>
      <c r="J17" s="34"/>
      <c r="K17" s="23"/>
      <c r="L17" s="23"/>
      <c r="M17" s="26"/>
    </row>
    <row r="18" spans="1:13" ht="36" x14ac:dyDescent="0.25">
      <c r="A18" s="1">
        <v>2</v>
      </c>
      <c r="B18" s="21"/>
      <c r="C18" s="22" t="s">
        <v>23</v>
      </c>
      <c r="D18" s="23"/>
      <c r="E18" s="34">
        <f t="shared" ref="E18:J18" si="2">SUM(E19:E40)</f>
        <v>140797.31700000001</v>
      </c>
      <c r="F18" s="34">
        <f t="shared" si="2"/>
        <v>140797.31700000001</v>
      </c>
      <c r="G18" s="34">
        <f t="shared" si="2"/>
        <v>140797.31700000001</v>
      </c>
      <c r="H18" s="34">
        <f t="shared" si="2"/>
        <v>139387.90518999999</v>
      </c>
      <c r="I18" s="34">
        <f t="shared" si="2"/>
        <v>139387.90518999999</v>
      </c>
      <c r="J18" s="34">
        <f t="shared" si="2"/>
        <v>0</v>
      </c>
      <c r="K18" s="23"/>
      <c r="L18" s="23"/>
      <c r="M18" s="26"/>
    </row>
    <row r="19" spans="1:13" ht="54" x14ac:dyDescent="0.25">
      <c r="A19" s="1">
        <v>2</v>
      </c>
      <c r="B19" s="36">
        <v>1</v>
      </c>
      <c r="C19" s="37" t="s">
        <v>26</v>
      </c>
      <c r="D19" s="38" t="s">
        <v>27</v>
      </c>
      <c r="E19" s="39">
        <v>36000</v>
      </c>
      <c r="F19" s="40">
        <v>36000</v>
      </c>
      <c r="G19" s="40">
        <v>36000</v>
      </c>
      <c r="H19" s="39">
        <f>35999.646+0.00019</f>
        <v>35999.646189999999</v>
      </c>
      <c r="I19" s="39">
        <f>35999.646+0.00019</f>
        <v>35999.646189999999</v>
      </c>
      <c r="J19" s="40">
        <v>0</v>
      </c>
      <c r="K19" s="41" t="s">
        <v>28</v>
      </c>
      <c r="L19" s="42"/>
      <c r="M19" s="43"/>
    </row>
    <row r="20" spans="1:13" ht="90" x14ac:dyDescent="0.25">
      <c r="A20" s="1">
        <v>2</v>
      </c>
      <c r="B20" s="36">
        <f>B19+1</f>
        <v>2</v>
      </c>
      <c r="C20" s="37" t="s">
        <v>29</v>
      </c>
      <c r="D20" s="38" t="s">
        <v>30</v>
      </c>
      <c r="E20" s="39">
        <v>4540.0169999999998</v>
      </c>
      <c r="F20" s="40">
        <v>4540.0169999999998</v>
      </c>
      <c r="G20" s="40">
        <v>4540.0169999999998</v>
      </c>
      <c r="H20" s="39">
        <v>4503.58</v>
      </c>
      <c r="I20" s="39">
        <v>4503.58</v>
      </c>
      <c r="J20" s="40">
        <v>0</v>
      </c>
      <c r="K20" s="41" t="s">
        <v>31</v>
      </c>
      <c r="L20" s="42"/>
      <c r="M20" s="43"/>
    </row>
    <row r="21" spans="1:13" ht="90" x14ac:dyDescent="0.25">
      <c r="A21" s="1">
        <v>2</v>
      </c>
      <c r="B21" s="36">
        <f t="shared" ref="B21:B40" si="3">B20+1</f>
        <v>3</v>
      </c>
      <c r="C21" s="37" t="s">
        <v>32</v>
      </c>
      <c r="D21" s="38" t="s">
        <v>33</v>
      </c>
      <c r="E21" s="39">
        <v>4850</v>
      </c>
      <c r="F21" s="40">
        <v>4850</v>
      </c>
      <c r="G21" s="40">
        <v>4850</v>
      </c>
      <c r="H21" s="39">
        <v>4715.4799999999996</v>
      </c>
      <c r="I21" s="39">
        <v>4715.4799999999996</v>
      </c>
      <c r="J21" s="39">
        <v>0</v>
      </c>
      <c r="K21" s="41" t="s">
        <v>28</v>
      </c>
      <c r="L21" s="42"/>
      <c r="M21" s="43"/>
    </row>
    <row r="22" spans="1:13" ht="90" x14ac:dyDescent="0.25">
      <c r="A22" s="1">
        <v>2</v>
      </c>
      <c r="B22" s="36">
        <f t="shared" si="3"/>
        <v>4</v>
      </c>
      <c r="C22" s="37" t="s">
        <v>34</v>
      </c>
      <c r="D22" s="38" t="s">
        <v>35</v>
      </c>
      <c r="E22" s="39">
        <v>2500</v>
      </c>
      <c r="F22" s="40">
        <v>2500</v>
      </c>
      <c r="G22" s="40">
        <v>2500</v>
      </c>
      <c r="H22" s="39">
        <v>2326.9810000000002</v>
      </c>
      <c r="I22" s="40">
        <v>2326.9810000000002</v>
      </c>
      <c r="J22" s="39">
        <v>0</v>
      </c>
      <c r="K22" s="41" t="s">
        <v>28</v>
      </c>
      <c r="L22" s="42"/>
      <c r="M22" s="43"/>
    </row>
    <row r="23" spans="1:13" ht="72" x14ac:dyDescent="0.25">
      <c r="A23" s="1">
        <v>2</v>
      </c>
      <c r="B23" s="44">
        <f t="shared" si="3"/>
        <v>5</v>
      </c>
      <c r="C23" s="37" t="s">
        <v>36</v>
      </c>
      <c r="D23" s="38" t="s">
        <v>37</v>
      </c>
      <c r="E23" s="39">
        <v>2224.5</v>
      </c>
      <c r="F23" s="40">
        <v>2224.5</v>
      </c>
      <c r="G23" s="40">
        <v>2224.5</v>
      </c>
      <c r="H23" s="39">
        <v>2138.4699999999998</v>
      </c>
      <c r="I23" s="40">
        <v>2138.4699999999998</v>
      </c>
      <c r="J23" s="39">
        <v>0</v>
      </c>
      <c r="K23" s="41" t="s">
        <v>38</v>
      </c>
      <c r="L23" s="42" t="s">
        <v>39</v>
      </c>
      <c r="M23" s="43"/>
    </row>
    <row r="24" spans="1:13" ht="108" x14ac:dyDescent="0.25">
      <c r="A24" s="1">
        <v>2</v>
      </c>
      <c r="B24" s="36">
        <f t="shared" si="3"/>
        <v>6</v>
      </c>
      <c r="C24" s="37" t="s">
        <v>40</v>
      </c>
      <c r="D24" s="38" t="s">
        <v>41</v>
      </c>
      <c r="E24" s="39">
        <v>2995.5</v>
      </c>
      <c r="F24" s="40">
        <v>2995.5</v>
      </c>
      <c r="G24" s="40">
        <v>2995.5</v>
      </c>
      <c r="H24" s="39">
        <v>2656.7020000000002</v>
      </c>
      <c r="I24" s="40">
        <v>2656.7020000000002</v>
      </c>
      <c r="J24" s="39">
        <v>0</v>
      </c>
      <c r="K24" s="41" t="s">
        <v>28</v>
      </c>
      <c r="L24" s="42"/>
      <c r="M24" s="43"/>
    </row>
    <row r="25" spans="1:13" ht="54" x14ac:dyDescent="0.25">
      <c r="A25" s="1">
        <v>2</v>
      </c>
      <c r="B25" s="36">
        <f t="shared" si="3"/>
        <v>7</v>
      </c>
      <c r="C25" s="37" t="s">
        <v>42</v>
      </c>
      <c r="D25" s="38" t="s">
        <v>41</v>
      </c>
      <c r="E25" s="39">
        <v>574.5</v>
      </c>
      <c r="F25" s="40">
        <v>574.5</v>
      </c>
      <c r="G25" s="40">
        <v>574.5</v>
      </c>
      <c r="H25" s="39">
        <v>344.33300000000003</v>
      </c>
      <c r="I25" s="40">
        <v>344.33300000000003</v>
      </c>
      <c r="J25" s="39">
        <v>0</v>
      </c>
      <c r="K25" s="41" t="s">
        <v>28</v>
      </c>
      <c r="L25" s="42"/>
      <c r="M25" s="43"/>
    </row>
    <row r="26" spans="1:13" ht="54" x14ac:dyDescent="0.25">
      <c r="A26" s="1">
        <v>2</v>
      </c>
      <c r="B26" s="36">
        <f t="shared" si="3"/>
        <v>8</v>
      </c>
      <c r="C26" s="37" t="s">
        <v>43</v>
      </c>
      <c r="D26" s="46" t="s">
        <v>33</v>
      </c>
      <c r="E26" s="39">
        <v>3000</v>
      </c>
      <c r="F26" s="40">
        <v>3000</v>
      </c>
      <c r="G26" s="40">
        <v>3000</v>
      </c>
      <c r="H26" s="39">
        <v>2999.8780000000002</v>
      </c>
      <c r="I26" s="40">
        <v>2999.8780000000002</v>
      </c>
      <c r="J26" s="39">
        <v>0</v>
      </c>
      <c r="K26" s="41" t="s">
        <v>28</v>
      </c>
      <c r="L26" s="42"/>
      <c r="M26" s="43"/>
    </row>
    <row r="27" spans="1:13" ht="54" x14ac:dyDescent="0.25">
      <c r="A27" s="1">
        <v>2</v>
      </c>
      <c r="B27" s="36">
        <f t="shared" si="3"/>
        <v>9</v>
      </c>
      <c r="C27" s="37" t="s">
        <v>44</v>
      </c>
      <c r="D27" s="38" t="s">
        <v>45</v>
      </c>
      <c r="E27" s="39">
        <v>3575.5</v>
      </c>
      <c r="F27" s="40">
        <v>3575.5</v>
      </c>
      <c r="G27" s="40">
        <v>3575.5</v>
      </c>
      <c r="H27" s="39">
        <v>3265.3040000000001</v>
      </c>
      <c r="I27" s="40">
        <v>3265.3040000000001</v>
      </c>
      <c r="J27" s="39">
        <v>0</v>
      </c>
      <c r="K27" s="41" t="s">
        <v>28</v>
      </c>
      <c r="L27" s="42"/>
      <c r="M27" s="43"/>
    </row>
    <row r="28" spans="1:13" ht="54" x14ac:dyDescent="0.25">
      <c r="A28" s="1">
        <v>2</v>
      </c>
      <c r="B28" s="36">
        <f t="shared" si="3"/>
        <v>10</v>
      </c>
      <c r="C28" s="37" t="s">
        <v>46</v>
      </c>
      <c r="D28" s="46" t="s">
        <v>47</v>
      </c>
      <c r="E28" s="47">
        <v>6500</v>
      </c>
      <c r="F28" s="45">
        <v>6500</v>
      </c>
      <c r="G28" s="45">
        <v>6500</v>
      </c>
      <c r="H28" s="47">
        <v>6495.88</v>
      </c>
      <c r="I28" s="45">
        <v>6495.88</v>
      </c>
      <c r="J28" s="45">
        <v>0</v>
      </c>
      <c r="K28" s="41" t="s">
        <v>28</v>
      </c>
      <c r="L28" s="48"/>
      <c r="M28" s="49"/>
    </row>
    <row r="29" spans="1:13" ht="54" x14ac:dyDescent="0.25">
      <c r="A29" s="1">
        <v>2</v>
      </c>
      <c r="B29" s="36">
        <f t="shared" si="3"/>
        <v>11</v>
      </c>
      <c r="C29" s="37" t="s">
        <v>48</v>
      </c>
      <c r="D29" s="46" t="s">
        <v>49</v>
      </c>
      <c r="E29" s="47">
        <v>1300</v>
      </c>
      <c r="F29" s="45">
        <v>1300</v>
      </c>
      <c r="G29" s="45">
        <v>1300</v>
      </c>
      <c r="H29" s="47">
        <v>1300</v>
      </c>
      <c r="I29" s="45">
        <v>1300</v>
      </c>
      <c r="J29" s="45">
        <v>0</v>
      </c>
      <c r="K29" s="41" t="s">
        <v>38</v>
      </c>
      <c r="L29" s="42" t="s">
        <v>39</v>
      </c>
      <c r="M29" s="43"/>
    </row>
    <row r="30" spans="1:13" ht="72" x14ac:dyDescent="0.25">
      <c r="A30" s="1">
        <v>2</v>
      </c>
      <c r="B30" s="36">
        <f t="shared" si="3"/>
        <v>12</v>
      </c>
      <c r="C30" s="37" t="s">
        <v>50</v>
      </c>
      <c r="D30" s="46" t="s">
        <v>51</v>
      </c>
      <c r="E30" s="47">
        <v>6000</v>
      </c>
      <c r="F30" s="45">
        <v>6000</v>
      </c>
      <c r="G30" s="45">
        <v>6000</v>
      </c>
      <c r="H30" s="47">
        <v>5921.491</v>
      </c>
      <c r="I30" s="45">
        <v>5921.491</v>
      </c>
      <c r="J30" s="45">
        <v>0</v>
      </c>
      <c r="K30" s="41" t="s">
        <v>28</v>
      </c>
      <c r="L30" s="48"/>
      <c r="M30" s="49"/>
    </row>
    <row r="31" spans="1:13" ht="108" x14ac:dyDescent="0.25">
      <c r="A31" s="1">
        <v>2</v>
      </c>
      <c r="B31" s="36">
        <f t="shared" si="3"/>
        <v>13</v>
      </c>
      <c r="C31" s="37" t="s">
        <v>52</v>
      </c>
      <c r="D31" s="46" t="s">
        <v>37</v>
      </c>
      <c r="E31" s="47">
        <v>620.1</v>
      </c>
      <c r="F31" s="45">
        <v>620.1</v>
      </c>
      <c r="G31" s="45">
        <v>620.1</v>
      </c>
      <c r="H31" s="47">
        <v>620</v>
      </c>
      <c r="I31" s="45">
        <v>620</v>
      </c>
      <c r="J31" s="45">
        <v>0</v>
      </c>
      <c r="K31" s="41" t="s">
        <v>38</v>
      </c>
      <c r="L31" s="42" t="s">
        <v>53</v>
      </c>
      <c r="M31" s="43" t="s">
        <v>54</v>
      </c>
    </row>
    <row r="32" spans="1:13" ht="90" x14ac:dyDescent="0.25">
      <c r="A32" s="1">
        <v>2</v>
      </c>
      <c r="B32" s="36">
        <f t="shared" si="3"/>
        <v>14</v>
      </c>
      <c r="C32" s="37" t="s">
        <v>55</v>
      </c>
      <c r="D32" s="46" t="s">
        <v>37</v>
      </c>
      <c r="E32" s="47">
        <v>1080</v>
      </c>
      <c r="F32" s="45">
        <v>1080</v>
      </c>
      <c r="G32" s="45">
        <v>1080</v>
      </c>
      <c r="H32" s="47">
        <v>1080</v>
      </c>
      <c r="I32" s="47">
        <v>1080</v>
      </c>
      <c r="J32" s="45">
        <v>0</v>
      </c>
      <c r="K32" s="41" t="s">
        <v>38</v>
      </c>
      <c r="L32" s="48" t="s">
        <v>56</v>
      </c>
      <c r="M32" s="49"/>
    </row>
    <row r="33" spans="1:13" ht="108" x14ac:dyDescent="0.25">
      <c r="A33" s="1">
        <v>2</v>
      </c>
      <c r="B33" s="36">
        <f t="shared" si="3"/>
        <v>15</v>
      </c>
      <c r="C33" s="37" t="s">
        <v>57</v>
      </c>
      <c r="D33" s="46" t="s">
        <v>33</v>
      </c>
      <c r="E33" s="47">
        <v>3000</v>
      </c>
      <c r="F33" s="45">
        <v>3000</v>
      </c>
      <c r="G33" s="45">
        <v>3000</v>
      </c>
      <c r="H33" s="47">
        <v>2995.0279999999998</v>
      </c>
      <c r="I33" s="45">
        <v>2995.0279999999998</v>
      </c>
      <c r="J33" s="45">
        <v>0</v>
      </c>
      <c r="K33" s="41" t="s">
        <v>28</v>
      </c>
      <c r="L33" s="48"/>
      <c r="M33" s="49"/>
    </row>
    <row r="34" spans="1:13" ht="54" x14ac:dyDescent="0.25">
      <c r="A34" s="1">
        <v>2</v>
      </c>
      <c r="B34" s="36">
        <f t="shared" si="3"/>
        <v>16</v>
      </c>
      <c r="C34" s="37" t="s">
        <v>58</v>
      </c>
      <c r="D34" s="46" t="s">
        <v>59</v>
      </c>
      <c r="E34" s="47">
        <v>2000</v>
      </c>
      <c r="F34" s="45">
        <v>2000</v>
      </c>
      <c r="G34" s="45">
        <v>2000</v>
      </c>
      <c r="H34" s="47">
        <v>2000</v>
      </c>
      <c r="I34" s="45">
        <v>2000</v>
      </c>
      <c r="J34" s="45">
        <v>0</v>
      </c>
      <c r="K34" s="41" t="s">
        <v>31</v>
      </c>
      <c r="L34" s="48"/>
      <c r="M34" s="49"/>
    </row>
    <row r="35" spans="1:13" ht="72" x14ac:dyDescent="0.25">
      <c r="A35" s="1">
        <v>2</v>
      </c>
      <c r="B35" s="36">
        <f t="shared" si="3"/>
        <v>17</v>
      </c>
      <c r="C35" s="37" t="s">
        <v>60</v>
      </c>
      <c r="D35" s="46" t="s">
        <v>61</v>
      </c>
      <c r="E35" s="47">
        <v>4200</v>
      </c>
      <c r="F35" s="45">
        <v>4200</v>
      </c>
      <c r="G35" s="45">
        <v>4200</v>
      </c>
      <c r="H35" s="47">
        <v>4188.0129999999999</v>
      </c>
      <c r="I35" s="45">
        <v>4188.0129999999999</v>
      </c>
      <c r="J35" s="45">
        <v>0</v>
      </c>
      <c r="K35" s="41" t="s">
        <v>38</v>
      </c>
      <c r="L35" s="42" t="s">
        <v>39</v>
      </c>
      <c r="M35" s="49"/>
    </row>
    <row r="36" spans="1:13" ht="72" x14ac:dyDescent="0.25">
      <c r="A36" s="1">
        <v>2</v>
      </c>
      <c r="B36" s="36">
        <f t="shared" si="3"/>
        <v>18</v>
      </c>
      <c r="C36" s="37" t="s">
        <v>62</v>
      </c>
      <c r="D36" s="46" t="s">
        <v>37</v>
      </c>
      <c r="E36" s="47">
        <v>2049.6</v>
      </c>
      <c r="F36" s="45">
        <v>2049.6</v>
      </c>
      <c r="G36" s="47">
        <v>2049.6</v>
      </c>
      <c r="H36" s="47">
        <v>2049.6</v>
      </c>
      <c r="I36" s="45">
        <v>2049.6</v>
      </c>
      <c r="J36" s="45">
        <v>0</v>
      </c>
      <c r="K36" s="41" t="s">
        <v>38</v>
      </c>
      <c r="L36" s="42" t="s">
        <v>63</v>
      </c>
      <c r="M36" s="49"/>
    </row>
    <row r="37" spans="1:13" ht="90" x14ac:dyDescent="0.25">
      <c r="A37" s="1">
        <v>2</v>
      </c>
      <c r="B37" s="36">
        <f t="shared" si="3"/>
        <v>19</v>
      </c>
      <c r="C37" s="37" t="s">
        <v>64</v>
      </c>
      <c r="D37" s="46" t="s">
        <v>65</v>
      </c>
      <c r="E37" s="47">
        <v>3300</v>
      </c>
      <c r="F37" s="45">
        <v>3300</v>
      </c>
      <c r="G37" s="45">
        <v>3300</v>
      </c>
      <c r="H37" s="47">
        <v>3299.9189999999999</v>
      </c>
      <c r="I37" s="45">
        <v>3299.9189999999999</v>
      </c>
      <c r="J37" s="45">
        <v>0</v>
      </c>
      <c r="K37" s="41" t="s">
        <v>28</v>
      </c>
      <c r="L37" s="48"/>
      <c r="M37" s="49"/>
    </row>
    <row r="38" spans="1:13" ht="72" x14ac:dyDescent="0.25">
      <c r="A38" s="1">
        <v>2</v>
      </c>
      <c r="B38" s="36">
        <f t="shared" si="3"/>
        <v>20</v>
      </c>
      <c r="C38" s="37" t="s">
        <v>66</v>
      </c>
      <c r="D38" s="38" t="s">
        <v>37</v>
      </c>
      <c r="E38" s="47">
        <v>21500</v>
      </c>
      <c r="F38" s="45">
        <v>21500</v>
      </c>
      <c r="G38" s="45">
        <v>21500</v>
      </c>
      <c r="H38" s="47">
        <v>21500</v>
      </c>
      <c r="I38" s="45">
        <v>21500</v>
      </c>
      <c r="J38" s="45">
        <v>0</v>
      </c>
      <c r="K38" s="41" t="s">
        <v>38</v>
      </c>
      <c r="L38" s="42" t="s">
        <v>67</v>
      </c>
      <c r="M38" s="49"/>
    </row>
    <row r="39" spans="1:13" ht="54" x14ac:dyDescent="0.25">
      <c r="A39" s="1">
        <v>2</v>
      </c>
      <c r="B39" s="50">
        <f t="shared" si="3"/>
        <v>21</v>
      </c>
      <c r="C39" s="51" t="s">
        <v>68</v>
      </c>
      <c r="D39" s="52" t="s">
        <v>37</v>
      </c>
      <c r="E39" s="53">
        <v>26000</v>
      </c>
      <c r="F39" s="54">
        <v>26000</v>
      </c>
      <c r="G39" s="54">
        <v>26000</v>
      </c>
      <c r="H39" s="53">
        <v>26000</v>
      </c>
      <c r="I39" s="54">
        <v>26000</v>
      </c>
      <c r="J39" s="54">
        <v>0</v>
      </c>
      <c r="K39" s="55" t="s">
        <v>38</v>
      </c>
      <c r="L39" s="42" t="s">
        <v>53</v>
      </c>
      <c r="M39" s="43" t="s">
        <v>69</v>
      </c>
    </row>
    <row r="40" spans="1:13" ht="180.75" thickBot="1" x14ac:dyDescent="0.3">
      <c r="A40" s="1">
        <v>2</v>
      </c>
      <c r="B40" s="56">
        <f t="shared" si="3"/>
        <v>22</v>
      </c>
      <c r="C40" s="57" t="s">
        <v>70</v>
      </c>
      <c r="D40" s="58" t="s">
        <v>33</v>
      </c>
      <c r="E40" s="59">
        <v>2987.6</v>
      </c>
      <c r="F40" s="60">
        <v>2987.6</v>
      </c>
      <c r="G40" s="60">
        <v>2987.6</v>
      </c>
      <c r="H40" s="59">
        <v>2987.6</v>
      </c>
      <c r="I40" s="60">
        <v>2987.6</v>
      </c>
      <c r="J40" s="60">
        <v>0</v>
      </c>
      <c r="K40" s="61" t="s">
        <v>28</v>
      </c>
      <c r="L40" s="62"/>
      <c r="M40" s="63"/>
    </row>
    <row r="41" spans="1:13" ht="18" x14ac:dyDescent="0.25">
      <c r="A41" s="1">
        <v>3</v>
      </c>
      <c r="B41" s="112" t="s">
        <v>71</v>
      </c>
      <c r="C41" s="113"/>
      <c r="D41" s="113"/>
      <c r="E41" s="113"/>
      <c r="F41" s="113"/>
      <c r="G41" s="113"/>
      <c r="H41" s="113"/>
      <c r="I41" s="113"/>
      <c r="J41" s="113"/>
      <c r="K41" s="113"/>
      <c r="L41" s="113"/>
      <c r="M41" s="114"/>
    </row>
    <row r="42" spans="1:13" ht="18" x14ac:dyDescent="0.25">
      <c r="A42" s="1">
        <v>3</v>
      </c>
      <c r="B42" s="21"/>
      <c r="C42" s="22" t="s">
        <v>25</v>
      </c>
      <c r="D42" s="23"/>
      <c r="E42" s="34">
        <f>SUM(E43,E45:E66)</f>
        <v>91525.232999999993</v>
      </c>
      <c r="F42" s="34">
        <f t="shared" ref="F42:J42" si="4">SUM(F43,F45:F66)</f>
        <v>91525.232999999993</v>
      </c>
      <c r="G42" s="34">
        <f t="shared" si="4"/>
        <v>91525.232999999993</v>
      </c>
      <c r="H42" s="34">
        <f t="shared" si="4"/>
        <v>84839.334090000004</v>
      </c>
      <c r="I42" s="34">
        <f t="shared" si="4"/>
        <v>84839.334090000004</v>
      </c>
      <c r="J42" s="34">
        <f t="shared" si="4"/>
        <v>0</v>
      </c>
      <c r="K42" s="23"/>
      <c r="L42" s="23"/>
      <c r="M42" s="26"/>
    </row>
    <row r="43" spans="1:13" ht="18" x14ac:dyDescent="0.25">
      <c r="A43" s="1">
        <v>3</v>
      </c>
      <c r="B43" s="21"/>
      <c r="C43" s="22" t="s">
        <v>22</v>
      </c>
      <c r="D43" s="23"/>
      <c r="E43" s="35">
        <v>0</v>
      </c>
      <c r="F43" s="34">
        <v>0</v>
      </c>
      <c r="G43" s="34">
        <v>0</v>
      </c>
      <c r="H43" s="34"/>
      <c r="I43" s="34"/>
      <c r="J43" s="34"/>
      <c r="K43" s="23"/>
      <c r="L43" s="23"/>
      <c r="M43" s="26"/>
    </row>
    <row r="44" spans="1:13" ht="36" x14ac:dyDescent="0.25">
      <c r="A44" s="1">
        <v>3</v>
      </c>
      <c r="B44" s="21"/>
      <c r="C44" s="22" t="s">
        <v>23</v>
      </c>
      <c r="D44" s="23"/>
      <c r="E44" s="34">
        <f t="shared" ref="E44:J44" si="5">SUM(E45:E66)</f>
        <v>91525.232999999993</v>
      </c>
      <c r="F44" s="34">
        <f t="shared" si="5"/>
        <v>91525.232999999993</v>
      </c>
      <c r="G44" s="34">
        <f t="shared" si="5"/>
        <v>91525.232999999993</v>
      </c>
      <c r="H44" s="34">
        <f t="shared" si="5"/>
        <v>84839.334090000004</v>
      </c>
      <c r="I44" s="34">
        <f t="shared" si="5"/>
        <v>84839.334090000004</v>
      </c>
      <c r="J44" s="34">
        <f t="shared" si="5"/>
        <v>0</v>
      </c>
      <c r="K44" s="23"/>
      <c r="L44" s="23"/>
      <c r="M44" s="26"/>
    </row>
    <row r="45" spans="1:13" ht="54" x14ac:dyDescent="0.25">
      <c r="A45" s="1">
        <v>3</v>
      </c>
      <c r="B45" s="36">
        <v>1</v>
      </c>
      <c r="C45" s="37" t="s">
        <v>72</v>
      </c>
      <c r="D45" s="38" t="s">
        <v>73</v>
      </c>
      <c r="E45" s="40">
        <v>1072.7460000000001</v>
      </c>
      <c r="F45" s="40">
        <v>1072.7460000000001</v>
      </c>
      <c r="G45" s="40">
        <v>1072.7460000000001</v>
      </c>
      <c r="H45" s="40">
        <v>1057.269</v>
      </c>
      <c r="I45" s="40">
        <v>1057.269</v>
      </c>
      <c r="J45" s="40">
        <v>0</v>
      </c>
      <c r="K45" s="64" t="s">
        <v>38</v>
      </c>
      <c r="L45" s="42" t="s">
        <v>74</v>
      </c>
      <c r="M45" s="43"/>
    </row>
    <row r="46" spans="1:13" ht="54" x14ac:dyDescent="0.25">
      <c r="A46" s="1">
        <v>3</v>
      </c>
      <c r="B46" s="36">
        <f>B45+1</f>
        <v>2</v>
      </c>
      <c r="C46" s="37" t="s">
        <v>76</v>
      </c>
      <c r="D46" s="38">
        <v>2016</v>
      </c>
      <c r="E46" s="40">
        <v>702.6</v>
      </c>
      <c r="F46" s="40">
        <v>702.6</v>
      </c>
      <c r="G46" s="40">
        <v>702.6</v>
      </c>
      <c r="H46" s="40">
        <v>701.35630000000003</v>
      </c>
      <c r="I46" s="40">
        <v>701.35630000000003</v>
      </c>
      <c r="J46" s="40">
        <v>0</v>
      </c>
      <c r="K46" s="64" t="s">
        <v>38</v>
      </c>
      <c r="L46" s="42" t="s">
        <v>77</v>
      </c>
      <c r="M46" s="43" t="s">
        <v>78</v>
      </c>
    </row>
    <row r="47" spans="1:13" ht="72" x14ac:dyDescent="0.25">
      <c r="A47" s="1">
        <v>3</v>
      </c>
      <c r="B47" s="44">
        <f t="shared" ref="B47:B66" si="6">B46+1</f>
        <v>3</v>
      </c>
      <c r="C47" s="37" t="s">
        <v>79</v>
      </c>
      <c r="D47" s="38" t="s">
        <v>49</v>
      </c>
      <c r="E47" s="40">
        <f>1079.467-17.6</f>
        <v>1061.8670000000002</v>
      </c>
      <c r="F47" s="40">
        <v>1061.8670000000002</v>
      </c>
      <c r="G47" s="40">
        <v>1061.8670000000002</v>
      </c>
      <c r="H47" s="40">
        <v>1061.7621200000001</v>
      </c>
      <c r="I47" s="40">
        <v>1061.7621200000001</v>
      </c>
      <c r="J47" s="40">
        <v>0</v>
      </c>
      <c r="K47" s="64" t="s">
        <v>80</v>
      </c>
      <c r="L47" s="42" t="s">
        <v>81</v>
      </c>
      <c r="M47" s="43" t="s">
        <v>82</v>
      </c>
    </row>
    <row r="48" spans="1:13" ht="72" x14ac:dyDescent="0.25">
      <c r="A48" s="1">
        <v>3</v>
      </c>
      <c r="B48" s="36">
        <f t="shared" si="6"/>
        <v>4</v>
      </c>
      <c r="C48" s="37" t="s">
        <v>83</v>
      </c>
      <c r="D48" s="38">
        <v>2016</v>
      </c>
      <c r="E48" s="40">
        <v>845.92</v>
      </c>
      <c r="F48" s="40">
        <v>845.92</v>
      </c>
      <c r="G48" s="40">
        <v>845.92</v>
      </c>
      <c r="H48" s="40">
        <v>845.92</v>
      </c>
      <c r="I48" s="40">
        <v>845.92</v>
      </c>
      <c r="J48" s="40">
        <v>0</v>
      </c>
      <c r="K48" s="64" t="s">
        <v>38</v>
      </c>
      <c r="L48" s="42" t="s">
        <v>84</v>
      </c>
      <c r="M48" s="43"/>
    </row>
    <row r="49" spans="1:13" ht="54" x14ac:dyDescent="0.25">
      <c r="A49" s="1">
        <v>3</v>
      </c>
      <c r="B49" s="44">
        <f t="shared" si="6"/>
        <v>5</v>
      </c>
      <c r="C49" s="37" t="s">
        <v>85</v>
      </c>
      <c r="D49" s="38" t="s">
        <v>33</v>
      </c>
      <c r="E49" s="40">
        <f>2295.897+704.103</f>
        <v>3000</v>
      </c>
      <c r="F49" s="40">
        <v>3000</v>
      </c>
      <c r="G49" s="40">
        <v>3000</v>
      </c>
      <c r="H49" s="40">
        <v>2613.36267</v>
      </c>
      <c r="I49" s="40">
        <v>2613.36267</v>
      </c>
      <c r="J49" s="40">
        <v>0</v>
      </c>
      <c r="K49" s="64" t="s">
        <v>86</v>
      </c>
      <c r="L49" s="42"/>
      <c r="M49" s="43"/>
    </row>
    <row r="50" spans="1:13" ht="72" x14ac:dyDescent="0.25">
      <c r="A50" s="1">
        <v>3</v>
      </c>
      <c r="B50" s="36">
        <f t="shared" si="6"/>
        <v>6</v>
      </c>
      <c r="C50" s="37" t="s">
        <v>87</v>
      </c>
      <c r="D50" s="38">
        <v>2016</v>
      </c>
      <c r="E50" s="40">
        <v>1201.277</v>
      </c>
      <c r="F50" s="40">
        <v>1201.277</v>
      </c>
      <c r="G50" s="40">
        <v>1201.277</v>
      </c>
      <c r="H50" s="40">
        <v>1158.77612</v>
      </c>
      <c r="I50" s="40">
        <v>1158.77612</v>
      </c>
      <c r="J50" s="40">
        <v>0</v>
      </c>
      <c r="K50" s="64" t="s">
        <v>38</v>
      </c>
      <c r="L50" s="42" t="s">
        <v>53</v>
      </c>
      <c r="M50" s="43" t="s">
        <v>88</v>
      </c>
    </row>
    <row r="51" spans="1:13" ht="72" x14ac:dyDescent="0.25">
      <c r="A51" s="1">
        <v>3</v>
      </c>
      <c r="B51" s="44">
        <f t="shared" si="6"/>
        <v>7</v>
      </c>
      <c r="C51" s="37" t="s">
        <v>89</v>
      </c>
      <c r="D51" s="38" t="s">
        <v>61</v>
      </c>
      <c r="E51" s="40">
        <f>5208.571+1490</f>
        <v>6698.5709999999999</v>
      </c>
      <c r="F51" s="40">
        <v>6698.5709999999999</v>
      </c>
      <c r="G51" s="40">
        <v>6698.5709999999999</v>
      </c>
      <c r="H51" s="40">
        <v>6331.1415800000004</v>
      </c>
      <c r="I51" s="40">
        <v>6331.1415800000004</v>
      </c>
      <c r="J51" s="40">
        <v>0</v>
      </c>
      <c r="K51" s="64" t="s">
        <v>38</v>
      </c>
      <c r="L51" s="42" t="s">
        <v>90</v>
      </c>
      <c r="M51" s="43"/>
    </row>
    <row r="52" spans="1:13" ht="72" x14ac:dyDescent="0.25">
      <c r="A52" s="1">
        <v>3</v>
      </c>
      <c r="B52" s="44">
        <f t="shared" si="6"/>
        <v>8</v>
      </c>
      <c r="C52" s="37" t="s">
        <v>91</v>
      </c>
      <c r="D52" s="38">
        <v>2016</v>
      </c>
      <c r="E52" s="40">
        <f>2101.048-258.1</f>
        <v>1842.9479999999999</v>
      </c>
      <c r="F52" s="40">
        <v>1842.9479999999999</v>
      </c>
      <c r="G52" s="40">
        <v>1842.9479999999999</v>
      </c>
      <c r="H52" s="40">
        <v>1842.94778</v>
      </c>
      <c r="I52" s="40">
        <v>1842.94778</v>
      </c>
      <c r="J52" s="40">
        <v>0</v>
      </c>
      <c r="K52" s="64" t="s">
        <v>80</v>
      </c>
      <c r="L52" s="42" t="s">
        <v>92</v>
      </c>
      <c r="M52" s="43" t="s">
        <v>93</v>
      </c>
    </row>
    <row r="53" spans="1:13" ht="72" x14ac:dyDescent="0.25">
      <c r="A53" s="1">
        <v>3</v>
      </c>
      <c r="B53" s="44">
        <f t="shared" si="6"/>
        <v>9</v>
      </c>
      <c r="C53" s="37" t="s">
        <v>94</v>
      </c>
      <c r="D53" s="38" t="s">
        <v>95</v>
      </c>
      <c r="E53" s="40">
        <f>6634.309-1602</f>
        <v>5032.3090000000002</v>
      </c>
      <c r="F53" s="40">
        <v>5032.3090000000002</v>
      </c>
      <c r="G53" s="40">
        <v>5032.3090000000002</v>
      </c>
      <c r="H53" s="40">
        <v>4105.6648999999998</v>
      </c>
      <c r="I53" s="40">
        <v>4105.6648999999998</v>
      </c>
      <c r="J53" s="40">
        <v>0</v>
      </c>
      <c r="K53" s="64" t="s">
        <v>38</v>
      </c>
      <c r="L53" s="42" t="s">
        <v>67</v>
      </c>
      <c r="M53" s="43"/>
    </row>
    <row r="54" spans="1:13" ht="72" x14ac:dyDescent="0.25">
      <c r="A54" s="1">
        <v>3</v>
      </c>
      <c r="B54" s="36">
        <f t="shared" si="6"/>
        <v>10</v>
      </c>
      <c r="C54" s="37" t="s">
        <v>97</v>
      </c>
      <c r="D54" s="38">
        <v>2016</v>
      </c>
      <c r="E54" s="40">
        <v>1231.885</v>
      </c>
      <c r="F54" s="40">
        <v>1231.885</v>
      </c>
      <c r="G54" s="40">
        <v>1231.885</v>
      </c>
      <c r="H54" s="40">
        <v>1212.0579700000001</v>
      </c>
      <c r="I54" s="40">
        <v>1212.0579700000001</v>
      </c>
      <c r="J54" s="40">
        <v>0</v>
      </c>
      <c r="K54" s="64" t="s">
        <v>38</v>
      </c>
      <c r="L54" s="42" t="s">
        <v>98</v>
      </c>
      <c r="M54" s="43"/>
    </row>
    <row r="55" spans="1:13" ht="54" x14ac:dyDescent="0.25">
      <c r="A55" s="1">
        <v>3</v>
      </c>
      <c r="B55" s="36">
        <f t="shared" si="6"/>
        <v>11</v>
      </c>
      <c r="C55" s="37" t="s">
        <v>99</v>
      </c>
      <c r="D55" s="38" t="s">
        <v>45</v>
      </c>
      <c r="E55" s="40">
        <v>3024.9580000000001</v>
      </c>
      <c r="F55" s="40">
        <v>3024.9580000000001</v>
      </c>
      <c r="G55" s="40">
        <v>3024.9580000000001</v>
      </c>
      <c r="H55" s="40">
        <v>2226.52657</v>
      </c>
      <c r="I55" s="40">
        <v>2226.52657</v>
      </c>
      <c r="J55" s="40">
        <v>0</v>
      </c>
      <c r="K55" s="64" t="s">
        <v>100</v>
      </c>
      <c r="L55" s="42"/>
      <c r="M55" s="43"/>
    </row>
    <row r="56" spans="1:13" ht="72" x14ac:dyDescent="0.25">
      <c r="A56" s="1">
        <v>3</v>
      </c>
      <c r="B56" s="36">
        <f t="shared" si="6"/>
        <v>12</v>
      </c>
      <c r="C56" s="37" t="s">
        <v>101</v>
      </c>
      <c r="D56" s="38">
        <v>2016</v>
      </c>
      <c r="E56" s="40">
        <v>1633.5740000000001</v>
      </c>
      <c r="F56" s="40">
        <v>1633.5740000000001</v>
      </c>
      <c r="G56" s="40">
        <v>1633.5740000000001</v>
      </c>
      <c r="H56" s="40">
        <v>1585.4296899999999</v>
      </c>
      <c r="I56" s="40">
        <v>1585.4296899999999</v>
      </c>
      <c r="J56" s="40">
        <v>0</v>
      </c>
      <c r="K56" s="64" t="s">
        <v>38</v>
      </c>
      <c r="L56" s="42" t="s">
        <v>102</v>
      </c>
      <c r="M56" s="43"/>
    </row>
    <row r="57" spans="1:13" ht="72" x14ac:dyDescent="0.25">
      <c r="A57" s="1">
        <v>3</v>
      </c>
      <c r="B57" s="36">
        <f t="shared" si="6"/>
        <v>13</v>
      </c>
      <c r="C57" s="37" t="s">
        <v>103</v>
      </c>
      <c r="D57" s="38">
        <v>2016</v>
      </c>
      <c r="E57" s="40">
        <v>3262.3330000000001</v>
      </c>
      <c r="F57" s="40">
        <v>3262.3330000000001</v>
      </c>
      <c r="G57" s="40">
        <v>3262.3330000000001</v>
      </c>
      <c r="H57" s="40">
        <v>3240.7215000000001</v>
      </c>
      <c r="I57" s="40">
        <v>3240.7215000000001</v>
      </c>
      <c r="J57" s="40">
        <v>0</v>
      </c>
      <c r="K57" s="64" t="s">
        <v>38</v>
      </c>
      <c r="L57" s="42" t="s">
        <v>104</v>
      </c>
      <c r="M57" s="43"/>
    </row>
    <row r="58" spans="1:13" ht="72" x14ac:dyDescent="0.25">
      <c r="A58" s="1">
        <v>3</v>
      </c>
      <c r="B58" s="36">
        <f t="shared" si="6"/>
        <v>14</v>
      </c>
      <c r="C58" s="37" t="s">
        <v>105</v>
      </c>
      <c r="D58" s="38" t="s">
        <v>33</v>
      </c>
      <c r="E58" s="40">
        <v>4979.8</v>
      </c>
      <c r="F58" s="40">
        <v>4979.8</v>
      </c>
      <c r="G58" s="40">
        <v>4979.8</v>
      </c>
      <c r="H58" s="40">
        <v>4513.2996199999998</v>
      </c>
      <c r="I58" s="40">
        <v>4513.2996199999998</v>
      </c>
      <c r="J58" s="40">
        <v>0</v>
      </c>
      <c r="K58" s="64" t="s">
        <v>106</v>
      </c>
      <c r="L58" s="42"/>
      <c r="M58" s="43"/>
    </row>
    <row r="59" spans="1:13" ht="72" x14ac:dyDescent="0.25">
      <c r="A59" s="1">
        <v>3</v>
      </c>
      <c r="B59" s="36">
        <f t="shared" si="6"/>
        <v>15</v>
      </c>
      <c r="C59" s="37" t="s">
        <v>107</v>
      </c>
      <c r="D59" s="38">
        <v>2016</v>
      </c>
      <c r="E59" s="40">
        <v>1767.68</v>
      </c>
      <c r="F59" s="40">
        <v>1767.68</v>
      </c>
      <c r="G59" s="40">
        <v>1767.68</v>
      </c>
      <c r="H59" s="40">
        <v>1732.60682</v>
      </c>
      <c r="I59" s="40">
        <v>1732.60682</v>
      </c>
      <c r="J59" s="40">
        <v>0</v>
      </c>
      <c r="K59" s="64" t="s">
        <v>38</v>
      </c>
      <c r="L59" s="42" t="s">
        <v>104</v>
      </c>
      <c r="M59" s="43"/>
    </row>
    <row r="60" spans="1:13" ht="54" x14ac:dyDescent="0.25">
      <c r="A60" s="1">
        <v>3</v>
      </c>
      <c r="B60" s="36">
        <f t="shared" si="6"/>
        <v>16</v>
      </c>
      <c r="C60" s="37" t="s">
        <v>108</v>
      </c>
      <c r="D60" s="38">
        <v>2016</v>
      </c>
      <c r="E60" s="40">
        <v>1570.6990000000001</v>
      </c>
      <c r="F60" s="40">
        <v>1570.6990000000001</v>
      </c>
      <c r="G60" s="40">
        <v>1570.6990000000001</v>
      </c>
      <c r="H60" s="40">
        <v>1470.02188</v>
      </c>
      <c r="I60" s="40">
        <v>1470.02188</v>
      </c>
      <c r="J60" s="40">
        <v>0</v>
      </c>
      <c r="K60" s="64" t="s">
        <v>38</v>
      </c>
      <c r="L60" s="42" t="s">
        <v>104</v>
      </c>
      <c r="M60" s="43"/>
    </row>
    <row r="61" spans="1:13" ht="72" x14ac:dyDescent="0.25">
      <c r="A61" s="1">
        <v>3</v>
      </c>
      <c r="B61" s="36">
        <f t="shared" si="6"/>
        <v>17</v>
      </c>
      <c r="C61" s="37" t="s">
        <v>109</v>
      </c>
      <c r="D61" s="38" t="s">
        <v>110</v>
      </c>
      <c r="E61" s="40">
        <v>19903.509999999998</v>
      </c>
      <c r="F61" s="40">
        <v>19903.509999999998</v>
      </c>
      <c r="G61" s="40">
        <v>19903.509999999998</v>
      </c>
      <c r="H61" s="40">
        <v>18295.378830000001</v>
      </c>
      <c r="I61" s="40">
        <v>18295.378830000001</v>
      </c>
      <c r="J61" s="40">
        <v>0</v>
      </c>
      <c r="K61" s="64" t="s">
        <v>38</v>
      </c>
      <c r="L61" s="42" t="s">
        <v>104</v>
      </c>
      <c r="M61" s="43"/>
    </row>
    <row r="62" spans="1:13" ht="54" x14ac:dyDescent="0.25">
      <c r="A62" s="1">
        <v>3</v>
      </c>
      <c r="B62" s="36">
        <f t="shared" si="6"/>
        <v>18</v>
      </c>
      <c r="C62" s="37" t="s">
        <v>111</v>
      </c>
      <c r="D62" s="38" t="s">
        <v>37</v>
      </c>
      <c r="E62" s="40">
        <v>8337.0499999999993</v>
      </c>
      <c r="F62" s="40">
        <v>8337.0499999999993</v>
      </c>
      <c r="G62" s="40">
        <v>8337.0499999999993</v>
      </c>
      <c r="H62" s="40">
        <v>7757.9271099999996</v>
      </c>
      <c r="I62" s="40">
        <v>7757.9271099999996</v>
      </c>
      <c r="J62" s="40">
        <v>0</v>
      </c>
      <c r="K62" s="64" t="s">
        <v>38</v>
      </c>
      <c r="L62" s="42" t="s">
        <v>84</v>
      </c>
      <c r="M62" s="43"/>
    </row>
    <row r="63" spans="1:13" ht="54" x14ac:dyDescent="0.25">
      <c r="A63" s="1">
        <v>3</v>
      </c>
      <c r="B63" s="36">
        <f t="shared" si="6"/>
        <v>19</v>
      </c>
      <c r="C63" s="37" t="s">
        <v>112</v>
      </c>
      <c r="D63" s="38" t="s">
        <v>110</v>
      </c>
      <c r="E63" s="40">
        <v>599.76499999999999</v>
      </c>
      <c r="F63" s="40">
        <v>599.76499999999999</v>
      </c>
      <c r="G63" s="40">
        <v>599.76499999999999</v>
      </c>
      <c r="H63" s="40">
        <v>599.76499999999999</v>
      </c>
      <c r="I63" s="40">
        <v>599.76499999999999</v>
      </c>
      <c r="J63" s="40">
        <v>0</v>
      </c>
      <c r="K63" s="64" t="s">
        <v>38</v>
      </c>
      <c r="L63" s="42" t="s">
        <v>113</v>
      </c>
      <c r="M63" s="43"/>
    </row>
    <row r="64" spans="1:13" ht="54" x14ac:dyDescent="0.25">
      <c r="A64" s="1">
        <v>3</v>
      </c>
      <c r="B64" s="36">
        <f t="shared" si="6"/>
        <v>20</v>
      </c>
      <c r="C64" s="37" t="s">
        <v>114</v>
      </c>
      <c r="D64" s="38" t="s">
        <v>33</v>
      </c>
      <c r="E64" s="40">
        <v>3993.125</v>
      </c>
      <c r="F64" s="40">
        <v>3993.125</v>
      </c>
      <c r="G64" s="40">
        <v>3993.125</v>
      </c>
      <c r="H64" s="40">
        <v>3993.125</v>
      </c>
      <c r="I64" s="40">
        <v>3993.125</v>
      </c>
      <c r="J64" s="40">
        <v>0</v>
      </c>
      <c r="K64" s="64" t="s">
        <v>115</v>
      </c>
      <c r="L64" s="42"/>
      <c r="M64" s="43"/>
    </row>
    <row r="65" spans="1:13" ht="54" x14ac:dyDescent="0.25">
      <c r="A65" s="1">
        <v>3</v>
      </c>
      <c r="B65" s="50">
        <f t="shared" si="6"/>
        <v>21</v>
      </c>
      <c r="C65" s="51" t="s">
        <v>116</v>
      </c>
      <c r="D65" s="52" t="s">
        <v>110</v>
      </c>
      <c r="E65" s="54">
        <f>20079.019-8212</f>
        <v>11867.019</v>
      </c>
      <c r="F65" s="54">
        <v>11867.019</v>
      </c>
      <c r="G65" s="54">
        <v>11867.019</v>
      </c>
      <c r="H65" s="53">
        <v>10598.67663</v>
      </c>
      <c r="I65" s="54">
        <v>10598.67663</v>
      </c>
      <c r="J65" s="54">
        <v>0</v>
      </c>
      <c r="K65" s="55" t="s">
        <v>38</v>
      </c>
      <c r="L65" s="65" t="s">
        <v>102</v>
      </c>
      <c r="M65" s="43"/>
    </row>
    <row r="66" spans="1:13" ht="72.75" thickBot="1" x14ac:dyDescent="0.3">
      <c r="A66" s="1">
        <v>3</v>
      </c>
      <c r="B66" s="66">
        <f t="shared" si="6"/>
        <v>22</v>
      </c>
      <c r="C66" s="57" t="s">
        <v>117</v>
      </c>
      <c r="D66" s="58" t="s">
        <v>35</v>
      </c>
      <c r="E66" s="60">
        <v>7895.5969999999998</v>
      </c>
      <c r="F66" s="60">
        <v>7895.5969999999998</v>
      </c>
      <c r="G66" s="60">
        <v>7895.5969999999998</v>
      </c>
      <c r="H66" s="59">
        <v>7895.5969999999998</v>
      </c>
      <c r="I66" s="60">
        <v>7895.5969999999998</v>
      </c>
      <c r="J66" s="60">
        <v>0</v>
      </c>
      <c r="K66" s="61" t="s">
        <v>31</v>
      </c>
      <c r="L66" s="62"/>
      <c r="M66" s="63"/>
    </row>
    <row r="67" spans="1:13" ht="18" x14ac:dyDescent="0.25">
      <c r="A67" s="1">
        <v>4</v>
      </c>
      <c r="B67" s="112" t="s">
        <v>118</v>
      </c>
      <c r="C67" s="113"/>
      <c r="D67" s="113"/>
      <c r="E67" s="113"/>
      <c r="F67" s="113"/>
      <c r="G67" s="113"/>
      <c r="H67" s="113"/>
      <c r="I67" s="113"/>
      <c r="J67" s="113"/>
      <c r="K67" s="113"/>
      <c r="L67" s="113"/>
      <c r="M67" s="114"/>
    </row>
    <row r="68" spans="1:13" ht="18" x14ac:dyDescent="0.25">
      <c r="A68" s="1">
        <v>4</v>
      </c>
      <c r="B68" s="21"/>
      <c r="C68" s="22" t="s">
        <v>25</v>
      </c>
      <c r="D68" s="23"/>
      <c r="E68" s="34">
        <f t="shared" ref="E68:J68" si="7">SUM(E69,E71:E80)</f>
        <v>182776.08100000001</v>
      </c>
      <c r="F68" s="34">
        <f t="shared" si="7"/>
        <v>182776.08100000001</v>
      </c>
      <c r="G68" s="34">
        <f t="shared" si="7"/>
        <v>182776.08100000001</v>
      </c>
      <c r="H68" s="34">
        <f t="shared" si="7"/>
        <v>173830.88584999999</v>
      </c>
      <c r="I68" s="34">
        <f t="shared" si="7"/>
        <v>173610.66406999997</v>
      </c>
      <c r="J68" s="34">
        <f t="shared" si="7"/>
        <v>0</v>
      </c>
      <c r="K68" s="23"/>
      <c r="L68" s="23"/>
      <c r="M68" s="26"/>
    </row>
    <row r="69" spans="1:13" ht="18" x14ac:dyDescent="0.25">
      <c r="A69" s="1">
        <v>4</v>
      </c>
      <c r="B69" s="21"/>
      <c r="C69" s="22" t="s">
        <v>22</v>
      </c>
      <c r="D69" s="23"/>
      <c r="E69" s="34">
        <v>0</v>
      </c>
      <c r="F69" s="34">
        <v>0</v>
      </c>
      <c r="G69" s="34">
        <v>0</v>
      </c>
      <c r="H69" s="34"/>
      <c r="I69" s="34"/>
      <c r="J69" s="34"/>
      <c r="K69" s="23"/>
      <c r="L69" s="23"/>
      <c r="M69" s="26"/>
    </row>
    <row r="70" spans="1:13" ht="36" x14ac:dyDescent="0.25">
      <c r="A70" s="1">
        <v>4</v>
      </c>
      <c r="B70" s="21"/>
      <c r="C70" s="22" t="s">
        <v>23</v>
      </c>
      <c r="D70" s="23"/>
      <c r="E70" s="34">
        <f t="shared" ref="E70:J70" si="8">SUM(E71:E80)</f>
        <v>182776.08100000001</v>
      </c>
      <c r="F70" s="34">
        <f t="shared" si="8"/>
        <v>182776.08100000001</v>
      </c>
      <c r="G70" s="34">
        <f t="shared" si="8"/>
        <v>182776.08100000001</v>
      </c>
      <c r="H70" s="34">
        <f t="shared" si="8"/>
        <v>173830.88584999999</v>
      </c>
      <c r="I70" s="34">
        <f t="shared" si="8"/>
        <v>173610.66406999997</v>
      </c>
      <c r="J70" s="34">
        <f t="shared" si="8"/>
        <v>0</v>
      </c>
      <c r="K70" s="23"/>
      <c r="L70" s="23"/>
      <c r="M70" s="26"/>
    </row>
    <row r="71" spans="1:13" ht="73.5" x14ac:dyDescent="0.25">
      <c r="A71" s="1">
        <v>4</v>
      </c>
      <c r="B71" s="36">
        <v>1</v>
      </c>
      <c r="C71" s="37" t="s">
        <v>119</v>
      </c>
      <c r="D71" s="38"/>
      <c r="E71" s="40">
        <v>220.22300000000001</v>
      </c>
      <c r="F71" s="40">
        <v>220.22300000000001</v>
      </c>
      <c r="G71" s="39">
        <v>220.22300000000001</v>
      </c>
      <c r="H71" s="40">
        <v>220.22200000000001</v>
      </c>
      <c r="I71" s="40">
        <v>0</v>
      </c>
      <c r="J71" s="40">
        <v>0</v>
      </c>
      <c r="K71" s="64" t="s">
        <v>120</v>
      </c>
      <c r="L71" s="42"/>
      <c r="M71" s="43" t="s">
        <v>121</v>
      </c>
    </row>
    <row r="72" spans="1:13" ht="72" x14ac:dyDescent="0.25">
      <c r="A72" s="1">
        <v>4</v>
      </c>
      <c r="B72" s="36">
        <f>B71+1</f>
        <v>2</v>
      </c>
      <c r="C72" s="37" t="s">
        <v>122</v>
      </c>
      <c r="D72" s="38" t="s">
        <v>49</v>
      </c>
      <c r="E72" s="40">
        <v>4280.2939999999999</v>
      </c>
      <c r="F72" s="40">
        <v>4280.2939999999999</v>
      </c>
      <c r="G72" s="39">
        <v>4280.2939999999999</v>
      </c>
      <c r="H72" s="40">
        <v>1992.76188</v>
      </c>
      <c r="I72" s="40">
        <v>1992.76188</v>
      </c>
      <c r="J72" s="40">
        <v>0</v>
      </c>
      <c r="K72" s="64" t="s">
        <v>123</v>
      </c>
      <c r="L72" s="42" t="s">
        <v>124</v>
      </c>
      <c r="M72" s="43"/>
    </row>
    <row r="73" spans="1:13" ht="72" x14ac:dyDescent="0.25">
      <c r="A73" s="1">
        <v>4</v>
      </c>
      <c r="B73" s="36">
        <f t="shared" ref="B73:B80" si="9">B72+1</f>
        <v>3</v>
      </c>
      <c r="C73" s="37" t="s">
        <v>125</v>
      </c>
      <c r="D73" s="38" t="s">
        <v>61</v>
      </c>
      <c r="E73" s="40">
        <v>10000</v>
      </c>
      <c r="F73" s="40">
        <v>10000</v>
      </c>
      <c r="G73" s="39">
        <v>10000</v>
      </c>
      <c r="H73" s="40">
        <v>9480.1187799999989</v>
      </c>
      <c r="I73" s="40">
        <v>9480.1190000000006</v>
      </c>
      <c r="J73" s="40">
        <v>0</v>
      </c>
      <c r="K73" s="64" t="s">
        <v>28</v>
      </c>
      <c r="L73" s="42" t="s">
        <v>126</v>
      </c>
      <c r="M73" s="43"/>
    </row>
    <row r="74" spans="1:13" ht="72" x14ac:dyDescent="0.25">
      <c r="A74" s="1">
        <v>4</v>
      </c>
      <c r="B74" s="36">
        <f t="shared" si="9"/>
        <v>4</v>
      </c>
      <c r="C74" s="37" t="s">
        <v>127</v>
      </c>
      <c r="D74" s="38">
        <v>2016</v>
      </c>
      <c r="E74" s="40">
        <v>55720.56</v>
      </c>
      <c r="F74" s="40">
        <v>55720.56</v>
      </c>
      <c r="G74" s="39">
        <v>55720.56</v>
      </c>
      <c r="H74" s="40">
        <f>54462.57352-0.00002</f>
        <v>54462.573499999999</v>
      </c>
      <c r="I74" s="40">
        <f>54462.57352-0.00002</f>
        <v>54462.573499999999</v>
      </c>
      <c r="J74" s="40">
        <v>0</v>
      </c>
      <c r="K74" s="64" t="s">
        <v>38</v>
      </c>
      <c r="L74" s="42" t="s">
        <v>128</v>
      </c>
      <c r="M74" s="43" t="s">
        <v>129</v>
      </c>
    </row>
    <row r="75" spans="1:13" ht="54" x14ac:dyDescent="0.25">
      <c r="A75" s="1">
        <v>4</v>
      </c>
      <c r="B75" s="36">
        <f t="shared" si="9"/>
        <v>5</v>
      </c>
      <c r="C75" s="37" t="s">
        <v>130</v>
      </c>
      <c r="D75" s="38">
        <v>2016</v>
      </c>
      <c r="E75" s="40">
        <v>1295.433</v>
      </c>
      <c r="F75" s="40">
        <v>1295.433</v>
      </c>
      <c r="G75" s="39">
        <v>1295.433</v>
      </c>
      <c r="H75" s="40">
        <v>1260.2360000000001</v>
      </c>
      <c r="I75" s="40">
        <v>1260.2360000000001</v>
      </c>
      <c r="J75" s="40">
        <v>0</v>
      </c>
      <c r="K75" s="64" t="s">
        <v>38</v>
      </c>
      <c r="L75" s="42" t="s">
        <v>131</v>
      </c>
      <c r="M75" s="43" t="s">
        <v>132</v>
      </c>
    </row>
    <row r="76" spans="1:13" ht="54" x14ac:dyDescent="0.25">
      <c r="A76" s="1">
        <v>4</v>
      </c>
      <c r="B76" s="36">
        <f t="shared" si="9"/>
        <v>6</v>
      </c>
      <c r="C76" s="37" t="s">
        <v>133</v>
      </c>
      <c r="D76" s="38">
        <v>2016</v>
      </c>
      <c r="E76" s="40">
        <v>24800.805</v>
      </c>
      <c r="F76" s="40">
        <v>24800.805</v>
      </c>
      <c r="G76" s="39">
        <v>24800.805</v>
      </c>
      <c r="H76" s="40">
        <v>22419.007000000001</v>
      </c>
      <c r="I76" s="40">
        <v>22419.007000000001</v>
      </c>
      <c r="J76" s="40">
        <v>0</v>
      </c>
      <c r="K76" s="64" t="s">
        <v>123</v>
      </c>
      <c r="L76" s="42" t="s">
        <v>134</v>
      </c>
      <c r="M76" s="43"/>
    </row>
    <row r="77" spans="1:13" ht="144" x14ac:dyDescent="0.25">
      <c r="A77" s="1">
        <v>4</v>
      </c>
      <c r="B77" s="36">
        <f t="shared" si="9"/>
        <v>7</v>
      </c>
      <c r="C77" s="37" t="s">
        <v>135</v>
      </c>
      <c r="D77" s="38" t="s">
        <v>61</v>
      </c>
      <c r="E77" s="40">
        <v>36700</v>
      </c>
      <c r="F77" s="40">
        <v>36700</v>
      </c>
      <c r="G77" s="39">
        <v>36700</v>
      </c>
      <c r="H77" s="40">
        <v>36680.74469</v>
      </c>
      <c r="I77" s="40">
        <v>36680.744689999992</v>
      </c>
      <c r="J77" s="40">
        <v>0</v>
      </c>
      <c r="K77" s="64" t="s">
        <v>38</v>
      </c>
      <c r="L77" s="42" t="s">
        <v>136</v>
      </c>
      <c r="M77" s="43" t="s">
        <v>137</v>
      </c>
    </row>
    <row r="78" spans="1:13" ht="90" x14ac:dyDescent="0.25">
      <c r="A78" s="1">
        <v>4</v>
      </c>
      <c r="B78" s="36">
        <f t="shared" si="9"/>
        <v>8</v>
      </c>
      <c r="C78" s="37" t="s">
        <v>138</v>
      </c>
      <c r="D78" s="38" t="s">
        <v>45</v>
      </c>
      <c r="E78" s="40">
        <v>25739.056</v>
      </c>
      <c r="F78" s="40">
        <v>25739.056</v>
      </c>
      <c r="G78" s="39">
        <v>25739.056</v>
      </c>
      <c r="H78" s="40">
        <v>25272.199000000001</v>
      </c>
      <c r="I78" s="40">
        <v>25272.199000000001</v>
      </c>
      <c r="J78" s="40">
        <v>0</v>
      </c>
      <c r="K78" s="64" t="s">
        <v>28</v>
      </c>
      <c r="L78" s="42"/>
      <c r="M78" s="43"/>
    </row>
    <row r="79" spans="1:13" ht="126" x14ac:dyDescent="0.25">
      <c r="A79" s="1">
        <v>4</v>
      </c>
      <c r="B79" s="36">
        <f t="shared" si="9"/>
        <v>9</v>
      </c>
      <c r="C79" s="37" t="s">
        <v>139</v>
      </c>
      <c r="D79" s="38" t="s">
        <v>33</v>
      </c>
      <c r="E79" s="40">
        <v>14019.71</v>
      </c>
      <c r="F79" s="40">
        <v>14019.71</v>
      </c>
      <c r="G79" s="39">
        <v>14019.71</v>
      </c>
      <c r="H79" s="40">
        <v>14019.71</v>
      </c>
      <c r="I79" s="40">
        <v>14019.71</v>
      </c>
      <c r="J79" s="40">
        <v>0</v>
      </c>
      <c r="K79" s="64" t="s">
        <v>28</v>
      </c>
      <c r="L79" s="42"/>
      <c r="M79" s="43"/>
    </row>
    <row r="80" spans="1:13" ht="108.75" thickBot="1" x14ac:dyDescent="0.3">
      <c r="A80" s="1">
        <v>4</v>
      </c>
      <c r="B80" s="56">
        <f t="shared" si="9"/>
        <v>10</v>
      </c>
      <c r="C80" s="57" t="s">
        <v>140</v>
      </c>
      <c r="D80" s="67" t="s">
        <v>49</v>
      </c>
      <c r="E80" s="68">
        <v>10000</v>
      </c>
      <c r="F80" s="68">
        <v>10000</v>
      </c>
      <c r="G80" s="69">
        <v>10000</v>
      </c>
      <c r="H80" s="68">
        <v>8023.3130000000001</v>
      </c>
      <c r="I80" s="68">
        <v>8023.3130000000001</v>
      </c>
      <c r="J80" s="68">
        <v>0</v>
      </c>
      <c r="K80" s="70" t="s">
        <v>115</v>
      </c>
      <c r="L80" s="71"/>
      <c r="M80" s="72"/>
    </row>
    <row r="81" spans="1:13" ht="18" x14ac:dyDescent="0.25">
      <c r="A81" s="1">
        <v>5</v>
      </c>
      <c r="B81" s="112" t="s">
        <v>141</v>
      </c>
      <c r="C81" s="113"/>
      <c r="D81" s="113"/>
      <c r="E81" s="113"/>
      <c r="F81" s="113"/>
      <c r="G81" s="113"/>
      <c r="H81" s="113"/>
      <c r="I81" s="113"/>
      <c r="J81" s="113"/>
      <c r="K81" s="113"/>
      <c r="L81" s="113"/>
      <c r="M81" s="114"/>
    </row>
    <row r="82" spans="1:13" ht="18" x14ac:dyDescent="0.25">
      <c r="A82" s="1">
        <v>5</v>
      </c>
      <c r="B82" s="21"/>
      <c r="C82" s="22" t="s">
        <v>25</v>
      </c>
      <c r="D82" s="23"/>
      <c r="E82" s="34">
        <f>SUM(E83,E85:E122)</f>
        <v>239472.08299999993</v>
      </c>
      <c r="F82" s="34">
        <f t="shared" ref="F82:J82" si="10">SUM(F83,F85:F122)</f>
        <v>239472.08299999993</v>
      </c>
      <c r="G82" s="34">
        <f t="shared" si="10"/>
        <v>239472.08299999996</v>
      </c>
      <c r="H82" s="34">
        <f t="shared" si="10"/>
        <v>180908.43786999999</v>
      </c>
      <c r="I82" s="34">
        <f t="shared" si="10"/>
        <v>174236.70122999998</v>
      </c>
      <c r="J82" s="34">
        <f t="shared" si="10"/>
        <v>612.04399999999998</v>
      </c>
      <c r="K82" s="23"/>
      <c r="L82" s="23"/>
      <c r="M82" s="26"/>
    </row>
    <row r="83" spans="1:13" ht="18" x14ac:dyDescent="0.25">
      <c r="A83" s="1">
        <v>5</v>
      </c>
      <c r="B83" s="21"/>
      <c r="C83" s="22" t="s">
        <v>22</v>
      </c>
      <c r="D83" s="23"/>
      <c r="E83" s="34">
        <v>0</v>
      </c>
      <c r="F83" s="34">
        <f>(3895.812+183.638+277.239)-(3895.812+183.638+277.239)</f>
        <v>0</v>
      </c>
      <c r="G83" s="34">
        <v>0</v>
      </c>
      <c r="H83" s="34"/>
      <c r="I83" s="34"/>
      <c r="J83" s="34"/>
      <c r="K83" s="23"/>
      <c r="L83" s="23"/>
      <c r="M83" s="26"/>
    </row>
    <row r="84" spans="1:13" ht="36" x14ac:dyDescent="0.25">
      <c r="A84" s="1">
        <v>5</v>
      </c>
      <c r="B84" s="21"/>
      <c r="C84" s="22" t="s">
        <v>23</v>
      </c>
      <c r="D84" s="23"/>
      <c r="E84" s="34">
        <f t="shared" ref="E84:J84" si="11">SUM(E85:E122)</f>
        <v>239472.08299999993</v>
      </c>
      <c r="F84" s="34">
        <f t="shared" si="11"/>
        <v>239472.08299999993</v>
      </c>
      <c r="G84" s="34">
        <f t="shared" si="11"/>
        <v>239472.08299999996</v>
      </c>
      <c r="H84" s="34">
        <f t="shared" si="11"/>
        <v>180908.43786999999</v>
      </c>
      <c r="I84" s="34">
        <f t="shared" si="11"/>
        <v>174236.70122999998</v>
      </c>
      <c r="J84" s="34">
        <f t="shared" si="11"/>
        <v>612.04399999999998</v>
      </c>
      <c r="K84" s="23"/>
      <c r="L84" s="23"/>
      <c r="M84" s="26"/>
    </row>
    <row r="85" spans="1:13" ht="54" x14ac:dyDescent="0.25">
      <c r="A85" s="1">
        <v>5</v>
      </c>
      <c r="B85" s="44">
        <v>1</v>
      </c>
      <c r="C85" s="37" t="s">
        <v>142</v>
      </c>
      <c r="D85" s="38" t="s">
        <v>33</v>
      </c>
      <c r="E85" s="40">
        <f>3949.2-62.95</f>
        <v>3886.25</v>
      </c>
      <c r="F85" s="40">
        <v>3886.25</v>
      </c>
      <c r="G85" s="40">
        <v>3886.25</v>
      </c>
      <c r="H85" s="40">
        <f>3875.266-0.00036</f>
        <v>3875.2656400000001</v>
      </c>
      <c r="I85" s="40">
        <v>3875.2660000000001</v>
      </c>
      <c r="J85" s="40">
        <v>0</v>
      </c>
      <c r="K85" s="64" t="s">
        <v>115</v>
      </c>
      <c r="L85" s="42"/>
      <c r="M85" s="43"/>
    </row>
    <row r="86" spans="1:13" ht="126" x14ac:dyDescent="0.25">
      <c r="A86" s="1">
        <v>5</v>
      </c>
      <c r="B86" s="44">
        <f>B85+1</f>
        <v>2</v>
      </c>
      <c r="C86" s="37" t="s">
        <v>143</v>
      </c>
      <c r="D86" s="38" t="s">
        <v>37</v>
      </c>
      <c r="E86" s="40">
        <f>7200-1332</f>
        <v>5868</v>
      </c>
      <c r="F86" s="40">
        <v>5868</v>
      </c>
      <c r="G86" s="40">
        <v>5868</v>
      </c>
      <c r="H86" s="40">
        <v>5868</v>
      </c>
      <c r="I86" s="40">
        <v>5868</v>
      </c>
      <c r="J86" s="40">
        <v>0</v>
      </c>
      <c r="K86" s="64" t="s">
        <v>38</v>
      </c>
      <c r="L86" s="42" t="s">
        <v>67</v>
      </c>
      <c r="M86" s="43"/>
    </row>
    <row r="87" spans="1:13" ht="72" x14ac:dyDescent="0.25">
      <c r="A87" s="1">
        <v>5</v>
      </c>
      <c r="B87" s="44">
        <f t="shared" ref="B87:B122" si="12">B86+1</f>
        <v>3</v>
      </c>
      <c r="C87" s="37" t="s">
        <v>144</v>
      </c>
      <c r="D87" s="38" t="s">
        <v>37</v>
      </c>
      <c r="E87" s="40">
        <f>9670.47-2774</f>
        <v>6896.4699999999993</v>
      </c>
      <c r="F87" s="40">
        <v>6896.4699999999993</v>
      </c>
      <c r="G87" s="40">
        <v>6896.47</v>
      </c>
      <c r="H87" s="40">
        <v>6378.8140000000003</v>
      </c>
      <c r="I87" s="40">
        <v>6378.8140000000003</v>
      </c>
      <c r="J87" s="40">
        <v>0</v>
      </c>
      <c r="K87" s="64" t="s">
        <v>145</v>
      </c>
      <c r="L87" s="42"/>
      <c r="M87" s="43"/>
    </row>
    <row r="88" spans="1:13" ht="72" x14ac:dyDescent="0.25">
      <c r="A88" s="1">
        <v>5</v>
      </c>
      <c r="B88" s="44">
        <f t="shared" si="12"/>
        <v>4</v>
      </c>
      <c r="C88" s="37" t="s">
        <v>146</v>
      </c>
      <c r="D88" s="38" t="s">
        <v>37</v>
      </c>
      <c r="E88" s="40">
        <f>903.475-77.5</f>
        <v>825.97500000000002</v>
      </c>
      <c r="F88" s="40">
        <v>825.97500000000002</v>
      </c>
      <c r="G88" s="40">
        <v>825.97500000000002</v>
      </c>
      <c r="H88" s="40">
        <v>825.95399999999995</v>
      </c>
      <c r="I88" s="40">
        <v>825.95399999999995</v>
      </c>
      <c r="J88" s="40">
        <v>0</v>
      </c>
      <c r="K88" s="64" t="s">
        <v>38</v>
      </c>
      <c r="L88" s="42" t="s">
        <v>147</v>
      </c>
      <c r="M88" s="43" t="s">
        <v>148</v>
      </c>
    </row>
    <row r="89" spans="1:13" ht="72" x14ac:dyDescent="0.25">
      <c r="A89" s="1">
        <v>5</v>
      </c>
      <c r="B89" s="44">
        <f t="shared" si="12"/>
        <v>5</v>
      </c>
      <c r="C89" s="37" t="s">
        <v>149</v>
      </c>
      <c r="D89" s="38" t="s">
        <v>49</v>
      </c>
      <c r="E89" s="40">
        <f>6128.75-523.1</f>
        <v>5605.65</v>
      </c>
      <c r="F89" s="40">
        <v>5605.65</v>
      </c>
      <c r="G89" s="40">
        <v>5605.65</v>
      </c>
      <c r="H89" s="40">
        <v>5582.076</v>
      </c>
      <c r="I89" s="40">
        <v>5582.076</v>
      </c>
      <c r="J89" s="40">
        <v>0</v>
      </c>
      <c r="K89" s="64" t="s">
        <v>38</v>
      </c>
      <c r="L89" s="42" t="s">
        <v>150</v>
      </c>
      <c r="M89" s="43"/>
    </row>
    <row r="90" spans="1:13" ht="54" x14ac:dyDescent="0.25">
      <c r="A90" s="1">
        <v>5</v>
      </c>
      <c r="B90" s="44">
        <f t="shared" si="12"/>
        <v>6</v>
      </c>
      <c r="C90" s="37" t="s">
        <v>151</v>
      </c>
      <c r="D90" s="38" t="s">
        <v>49</v>
      </c>
      <c r="E90" s="40">
        <f>1292.248-233.8</f>
        <v>1058.4480000000001</v>
      </c>
      <c r="F90" s="40">
        <v>1058.4480000000001</v>
      </c>
      <c r="G90" s="40">
        <v>1058.4480000000001</v>
      </c>
      <c r="H90" s="40">
        <v>1046.123</v>
      </c>
      <c r="I90" s="40">
        <v>1046.123</v>
      </c>
      <c r="J90" s="40">
        <v>0</v>
      </c>
      <c r="K90" s="64" t="s">
        <v>38</v>
      </c>
      <c r="L90" s="42" t="s">
        <v>147</v>
      </c>
      <c r="M90" s="43" t="s">
        <v>152</v>
      </c>
    </row>
    <row r="91" spans="1:13" ht="90" x14ac:dyDescent="0.25">
      <c r="A91" s="1">
        <v>5</v>
      </c>
      <c r="B91" s="44">
        <f t="shared" si="12"/>
        <v>7</v>
      </c>
      <c r="C91" s="37" t="s">
        <v>153</v>
      </c>
      <c r="D91" s="38" t="s">
        <v>49</v>
      </c>
      <c r="E91" s="40">
        <f>2211.002-299.607</f>
        <v>1911.395</v>
      </c>
      <c r="F91" s="40">
        <v>1911.395</v>
      </c>
      <c r="G91" s="40">
        <v>1911.395</v>
      </c>
      <c r="H91" s="40">
        <v>1348.952</v>
      </c>
      <c r="I91" s="40">
        <v>1615.405</v>
      </c>
      <c r="J91" s="40">
        <v>266.45299999999997</v>
      </c>
      <c r="K91" s="64" t="s">
        <v>154</v>
      </c>
      <c r="L91" s="42"/>
      <c r="M91" s="43"/>
    </row>
    <row r="92" spans="1:13" ht="90" x14ac:dyDescent="0.25">
      <c r="A92" s="1">
        <v>5</v>
      </c>
      <c r="B92" s="44">
        <f t="shared" si="12"/>
        <v>8</v>
      </c>
      <c r="C92" s="37" t="s">
        <v>155</v>
      </c>
      <c r="D92" s="38" t="s">
        <v>49</v>
      </c>
      <c r="E92" s="40">
        <f>2557.171-221.588</f>
        <v>2335.5829999999996</v>
      </c>
      <c r="F92" s="40">
        <v>2335.5829999999996</v>
      </c>
      <c r="G92" s="40">
        <v>2335.5830000000001</v>
      </c>
      <c r="H92" s="40">
        <v>1843.9290000000001</v>
      </c>
      <c r="I92" s="40">
        <v>2189.52</v>
      </c>
      <c r="J92" s="40">
        <v>345.59100000000001</v>
      </c>
      <c r="K92" s="64" t="s">
        <v>154</v>
      </c>
      <c r="L92" s="42"/>
      <c r="M92" s="43"/>
    </row>
    <row r="93" spans="1:13" ht="72" x14ac:dyDescent="0.25">
      <c r="A93" s="1">
        <v>5</v>
      </c>
      <c r="B93" s="44">
        <f t="shared" si="12"/>
        <v>9</v>
      </c>
      <c r="C93" s="37" t="s">
        <v>156</v>
      </c>
      <c r="D93" s="38" t="s">
        <v>37</v>
      </c>
      <c r="E93" s="40">
        <f>1180.55-9.4</f>
        <v>1171.1499999999999</v>
      </c>
      <c r="F93" s="40">
        <v>1171.1499999999999</v>
      </c>
      <c r="G93" s="40">
        <v>1171.1500000000001</v>
      </c>
      <c r="H93" s="40">
        <v>1143.8130000000001</v>
      </c>
      <c r="I93" s="40">
        <v>1143.8130000000001</v>
      </c>
      <c r="J93" s="40">
        <v>0</v>
      </c>
      <c r="K93" s="64" t="s">
        <v>38</v>
      </c>
      <c r="L93" s="42" t="s">
        <v>67</v>
      </c>
      <c r="M93" s="43" t="s">
        <v>157</v>
      </c>
    </row>
    <row r="94" spans="1:13" ht="72" x14ac:dyDescent="0.25">
      <c r="A94" s="1">
        <v>5</v>
      </c>
      <c r="B94" s="44">
        <f t="shared" si="12"/>
        <v>10</v>
      </c>
      <c r="C94" s="37" t="s">
        <v>158</v>
      </c>
      <c r="D94" s="38" t="s">
        <v>37</v>
      </c>
      <c r="E94" s="40">
        <f>13589.534-68.457</f>
        <v>13521.076999999999</v>
      </c>
      <c r="F94" s="40">
        <v>13521.076999999999</v>
      </c>
      <c r="G94" s="40">
        <v>13521.076999999999</v>
      </c>
      <c r="H94" s="40">
        <v>13521.076999999999</v>
      </c>
      <c r="I94" s="40">
        <v>13521.076999999999</v>
      </c>
      <c r="J94" s="40">
        <v>0</v>
      </c>
      <c r="K94" s="64" t="s">
        <v>38</v>
      </c>
      <c r="L94" s="42" t="s">
        <v>159</v>
      </c>
      <c r="M94" s="43" t="s">
        <v>157</v>
      </c>
    </row>
    <row r="95" spans="1:13" ht="72" x14ac:dyDescent="0.25">
      <c r="A95" s="1">
        <v>5</v>
      </c>
      <c r="B95" s="36">
        <f t="shared" si="12"/>
        <v>11</v>
      </c>
      <c r="C95" s="37" t="s">
        <v>160</v>
      </c>
      <c r="D95" s="38" t="s">
        <v>37</v>
      </c>
      <c r="E95" s="40">
        <v>1597.98</v>
      </c>
      <c r="F95" s="40">
        <v>1597.98</v>
      </c>
      <c r="G95" s="40">
        <v>1597.98</v>
      </c>
      <c r="H95" s="40">
        <v>1175.4591600000001</v>
      </c>
      <c r="I95" s="40">
        <v>1175.4591600000001</v>
      </c>
      <c r="J95" s="40">
        <v>0</v>
      </c>
      <c r="K95" s="64" t="s">
        <v>38</v>
      </c>
      <c r="L95" s="42" t="s">
        <v>39</v>
      </c>
      <c r="M95" s="43"/>
    </row>
    <row r="96" spans="1:13" ht="54" x14ac:dyDescent="0.25">
      <c r="A96" s="1">
        <v>5</v>
      </c>
      <c r="B96" s="44">
        <f t="shared" si="12"/>
        <v>12</v>
      </c>
      <c r="C96" s="37" t="s">
        <v>161</v>
      </c>
      <c r="D96" s="38" t="s">
        <v>37</v>
      </c>
      <c r="E96" s="39">
        <f>4175.785-378.349</f>
        <v>3797.4359999999997</v>
      </c>
      <c r="F96" s="40">
        <v>3797.4359999999997</v>
      </c>
      <c r="G96" s="40">
        <v>3797.4360000000001</v>
      </c>
      <c r="H96" s="40">
        <v>3361.7350000000001</v>
      </c>
      <c r="I96" s="40">
        <v>3361.7350000000001</v>
      </c>
      <c r="J96" s="40">
        <v>0</v>
      </c>
      <c r="K96" s="64" t="s">
        <v>38</v>
      </c>
      <c r="L96" s="42" t="s">
        <v>162</v>
      </c>
      <c r="M96" s="43" t="s">
        <v>163</v>
      </c>
    </row>
    <row r="97" spans="1:13" ht="54" x14ac:dyDescent="0.25">
      <c r="A97" s="1">
        <v>5</v>
      </c>
      <c r="B97" s="44">
        <f t="shared" si="12"/>
        <v>13</v>
      </c>
      <c r="C97" s="37" t="s">
        <v>164</v>
      </c>
      <c r="D97" s="38" t="s">
        <v>37</v>
      </c>
      <c r="E97" s="39">
        <f>3839.227-646.142</f>
        <v>3193.085</v>
      </c>
      <c r="F97" s="40">
        <v>3193.085</v>
      </c>
      <c r="G97" s="40">
        <v>3193.085</v>
      </c>
      <c r="H97" s="40">
        <v>2679.1660000000002</v>
      </c>
      <c r="I97" s="40">
        <v>2679.1660000000002</v>
      </c>
      <c r="J97" s="40">
        <v>0</v>
      </c>
      <c r="K97" s="64" t="s">
        <v>38</v>
      </c>
      <c r="L97" s="42" t="s">
        <v>165</v>
      </c>
      <c r="M97" s="43" t="s">
        <v>166</v>
      </c>
    </row>
    <row r="98" spans="1:13" ht="54" x14ac:dyDescent="0.25">
      <c r="A98" s="1">
        <v>5</v>
      </c>
      <c r="B98" s="44">
        <f t="shared" si="12"/>
        <v>14</v>
      </c>
      <c r="C98" s="37" t="s">
        <v>167</v>
      </c>
      <c r="D98" s="38" t="s">
        <v>37</v>
      </c>
      <c r="E98" s="39">
        <f>3852.817-166.512</f>
        <v>3686.3049999999998</v>
      </c>
      <c r="F98" s="40">
        <v>3686.3049999999998</v>
      </c>
      <c r="G98" s="40">
        <v>3686.3049999999998</v>
      </c>
      <c r="H98" s="40">
        <v>2985.2640000000001</v>
      </c>
      <c r="I98" s="40">
        <v>2985.2640000000001</v>
      </c>
      <c r="J98" s="40">
        <v>0</v>
      </c>
      <c r="K98" s="64" t="s">
        <v>38</v>
      </c>
      <c r="L98" s="42" t="s">
        <v>165</v>
      </c>
      <c r="M98" s="43" t="s">
        <v>168</v>
      </c>
    </row>
    <row r="99" spans="1:13" ht="72" x14ac:dyDescent="0.25">
      <c r="A99" s="1">
        <v>5</v>
      </c>
      <c r="B99" s="36">
        <f t="shared" si="12"/>
        <v>15</v>
      </c>
      <c r="C99" s="37" t="s">
        <v>169</v>
      </c>
      <c r="D99" s="38" t="s">
        <v>37</v>
      </c>
      <c r="E99" s="40">
        <v>1519.2929999999999</v>
      </c>
      <c r="F99" s="40">
        <v>1519.2929999999999</v>
      </c>
      <c r="G99" s="40">
        <v>1519.2929999999999</v>
      </c>
      <c r="H99" s="40">
        <v>0</v>
      </c>
      <c r="I99" s="40">
        <v>0</v>
      </c>
      <c r="J99" s="40">
        <v>0</v>
      </c>
      <c r="K99" s="64" t="s">
        <v>28</v>
      </c>
      <c r="L99" s="42"/>
      <c r="M99" s="43"/>
    </row>
    <row r="100" spans="1:13" ht="90" x14ac:dyDescent="0.25">
      <c r="A100" s="1">
        <v>5</v>
      </c>
      <c r="B100" s="44">
        <f t="shared" si="12"/>
        <v>16</v>
      </c>
      <c r="C100" s="37" t="s">
        <v>170</v>
      </c>
      <c r="D100" s="38" t="s">
        <v>37</v>
      </c>
      <c r="E100" s="39">
        <f>1547.427-358.529</f>
        <v>1188.8979999999999</v>
      </c>
      <c r="F100" s="40">
        <v>1188.8979999999999</v>
      </c>
      <c r="G100" s="40">
        <v>1188.8979999999999</v>
      </c>
      <c r="H100" s="40">
        <v>649.34100000000001</v>
      </c>
      <c r="I100" s="40">
        <v>649.34100000000001</v>
      </c>
      <c r="J100" s="40">
        <v>0</v>
      </c>
      <c r="K100" s="64" t="s">
        <v>75</v>
      </c>
      <c r="L100" s="73" t="s">
        <v>171</v>
      </c>
      <c r="M100" s="43"/>
    </row>
    <row r="101" spans="1:13" ht="72" x14ac:dyDescent="0.25">
      <c r="A101" s="1">
        <v>5</v>
      </c>
      <c r="B101" s="36">
        <f t="shared" si="12"/>
        <v>17</v>
      </c>
      <c r="C101" s="37" t="s">
        <v>172</v>
      </c>
      <c r="D101" s="38" t="s">
        <v>37</v>
      </c>
      <c r="E101" s="40">
        <v>2033.5119999999999</v>
      </c>
      <c r="F101" s="40">
        <v>2033.5119999999999</v>
      </c>
      <c r="G101" s="40">
        <v>2033.5119999999999</v>
      </c>
      <c r="H101" s="40">
        <v>0</v>
      </c>
      <c r="I101" s="40">
        <v>0</v>
      </c>
      <c r="J101" s="40">
        <v>0</v>
      </c>
      <c r="K101" s="64" t="s">
        <v>28</v>
      </c>
      <c r="L101" s="42"/>
      <c r="M101" s="43"/>
    </row>
    <row r="102" spans="1:13" ht="72" x14ac:dyDescent="0.25">
      <c r="A102" s="1">
        <v>5</v>
      </c>
      <c r="B102" s="36">
        <f t="shared" si="12"/>
        <v>18</v>
      </c>
      <c r="C102" s="37" t="s">
        <v>173</v>
      </c>
      <c r="D102" s="38" t="s">
        <v>37</v>
      </c>
      <c r="E102" s="40">
        <v>982.54899999999998</v>
      </c>
      <c r="F102" s="40">
        <v>982.54899999999998</v>
      </c>
      <c r="G102" s="40">
        <v>982.54899999999998</v>
      </c>
      <c r="H102" s="40">
        <v>353.34100000000001</v>
      </c>
      <c r="I102" s="40">
        <v>353.34100000000001</v>
      </c>
      <c r="J102" s="40">
        <v>0</v>
      </c>
      <c r="K102" s="64" t="s">
        <v>115</v>
      </c>
      <c r="L102" s="42"/>
      <c r="M102" s="43"/>
    </row>
    <row r="103" spans="1:13" ht="72" x14ac:dyDescent="0.25">
      <c r="A103" s="1">
        <v>5</v>
      </c>
      <c r="B103" s="44">
        <f t="shared" si="12"/>
        <v>19</v>
      </c>
      <c r="C103" s="37" t="s">
        <v>174</v>
      </c>
      <c r="D103" s="38" t="s">
        <v>37</v>
      </c>
      <c r="E103" s="39">
        <f>3753.64-83.173</f>
        <v>3670.4669999999996</v>
      </c>
      <c r="F103" s="40">
        <v>3670.4669999999996</v>
      </c>
      <c r="G103" s="40">
        <v>3670.4670000000001</v>
      </c>
      <c r="H103" s="40">
        <v>3670.4670000000001</v>
      </c>
      <c r="I103" s="39">
        <v>3670.4670000000001</v>
      </c>
      <c r="J103" s="40">
        <v>0</v>
      </c>
      <c r="K103" s="64" t="s">
        <v>38</v>
      </c>
      <c r="L103" s="42" t="s">
        <v>175</v>
      </c>
      <c r="M103" s="43"/>
    </row>
    <row r="104" spans="1:13" ht="72" x14ac:dyDescent="0.25">
      <c r="A104" s="1">
        <v>5</v>
      </c>
      <c r="B104" s="36">
        <f t="shared" si="12"/>
        <v>20</v>
      </c>
      <c r="C104" s="37" t="s">
        <v>176</v>
      </c>
      <c r="D104" s="38" t="s">
        <v>37</v>
      </c>
      <c r="E104" s="40">
        <v>15877.26</v>
      </c>
      <c r="F104" s="40">
        <v>15877.26</v>
      </c>
      <c r="G104" s="40">
        <v>15877.26</v>
      </c>
      <c r="H104" s="40">
        <v>244.38800000000001</v>
      </c>
      <c r="I104" s="40">
        <v>244.38800000000001</v>
      </c>
      <c r="J104" s="40">
        <v>0</v>
      </c>
      <c r="K104" s="64" t="s">
        <v>154</v>
      </c>
      <c r="L104" s="42"/>
      <c r="M104" s="43"/>
    </row>
    <row r="105" spans="1:13" ht="54" x14ac:dyDescent="0.25">
      <c r="A105" s="1">
        <v>5</v>
      </c>
      <c r="B105" s="44">
        <f t="shared" si="12"/>
        <v>21</v>
      </c>
      <c r="C105" s="37" t="s">
        <v>177</v>
      </c>
      <c r="D105" s="38" t="s">
        <v>37</v>
      </c>
      <c r="E105" s="40">
        <f>8234.565-3555.465</f>
        <v>4679.1000000000004</v>
      </c>
      <c r="F105" s="40">
        <v>4679.1000000000004</v>
      </c>
      <c r="G105" s="40">
        <v>4679.1000000000004</v>
      </c>
      <c r="H105" s="40">
        <v>4600.2690000000002</v>
      </c>
      <c r="I105" s="40">
        <v>4600.2690000000002</v>
      </c>
      <c r="J105" s="40">
        <v>0</v>
      </c>
      <c r="K105" s="64" t="s">
        <v>75</v>
      </c>
      <c r="L105" s="42"/>
      <c r="M105" s="43"/>
    </row>
    <row r="106" spans="1:13" ht="90" x14ac:dyDescent="0.25">
      <c r="A106" s="1">
        <v>5</v>
      </c>
      <c r="B106" s="36">
        <f t="shared" si="12"/>
        <v>22</v>
      </c>
      <c r="C106" s="37" t="s">
        <v>178</v>
      </c>
      <c r="D106" s="38" t="s">
        <v>37</v>
      </c>
      <c r="E106" s="40">
        <v>9304.2219999999998</v>
      </c>
      <c r="F106" s="40">
        <v>9304.2219999999998</v>
      </c>
      <c r="G106" s="40">
        <v>9304.2219999999998</v>
      </c>
      <c r="H106" s="40">
        <v>8161.64</v>
      </c>
      <c r="I106" s="40">
        <v>8161.64</v>
      </c>
      <c r="J106" s="40">
        <v>0</v>
      </c>
      <c r="K106" s="64" t="s">
        <v>96</v>
      </c>
      <c r="L106" s="42"/>
      <c r="M106" s="43"/>
    </row>
    <row r="107" spans="1:13" ht="54" x14ac:dyDescent="0.25">
      <c r="A107" s="1">
        <v>5</v>
      </c>
      <c r="B107" s="36">
        <f t="shared" si="12"/>
        <v>23</v>
      </c>
      <c r="C107" s="37" t="s">
        <v>179</v>
      </c>
      <c r="D107" s="38" t="s">
        <v>33</v>
      </c>
      <c r="E107" s="40">
        <v>5023.07</v>
      </c>
      <c r="F107" s="40">
        <v>5023.07</v>
      </c>
      <c r="G107" s="40">
        <v>5023.07</v>
      </c>
      <c r="H107" s="40">
        <v>0</v>
      </c>
      <c r="I107" s="40">
        <v>0</v>
      </c>
      <c r="J107" s="40">
        <v>0</v>
      </c>
      <c r="K107" s="64" t="s">
        <v>28</v>
      </c>
      <c r="L107" s="42"/>
      <c r="M107" s="43"/>
    </row>
    <row r="108" spans="1:13" ht="72" x14ac:dyDescent="0.25">
      <c r="A108" s="1">
        <v>5</v>
      </c>
      <c r="B108" s="36">
        <f t="shared" si="12"/>
        <v>24</v>
      </c>
      <c r="C108" s="37" t="s">
        <v>180</v>
      </c>
      <c r="D108" s="38" t="s">
        <v>61</v>
      </c>
      <c r="E108" s="40">
        <v>529.72900000000004</v>
      </c>
      <c r="F108" s="40">
        <v>529.72900000000004</v>
      </c>
      <c r="G108" s="40">
        <v>529.72900000000004</v>
      </c>
      <c r="H108" s="40">
        <v>319.935</v>
      </c>
      <c r="I108" s="40">
        <v>319.935</v>
      </c>
      <c r="J108" s="40">
        <v>0</v>
      </c>
      <c r="K108" s="64" t="s">
        <v>181</v>
      </c>
      <c r="L108" s="42"/>
      <c r="M108" s="43"/>
    </row>
    <row r="109" spans="1:13" ht="72" x14ac:dyDescent="0.25">
      <c r="A109" s="1">
        <v>5</v>
      </c>
      <c r="B109" s="36">
        <f t="shared" si="12"/>
        <v>25</v>
      </c>
      <c r="C109" s="37" t="s">
        <v>182</v>
      </c>
      <c r="D109" s="38" t="s">
        <v>37</v>
      </c>
      <c r="E109" s="40">
        <v>1327.8209999999999</v>
      </c>
      <c r="F109" s="40">
        <v>1327.8209999999999</v>
      </c>
      <c r="G109" s="40">
        <v>1327.8209999999999</v>
      </c>
      <c r="H109" s="39">
        <v>397.60399999999998</v>
      </c>
      <c r="I109" s="39">
        <v>0</v>
      </c>
      <c r="J109" s="40">
        <v>0</v>
      </c>
      <c r="K109" s="64" t="s">
        <v>181</v>
      </c>
      <c r="L109" s="42"/>
      <c r="M109" s="43"/>
    </row>
    <row r="110" spans="1:13" ht="54" x14ac:dyDescent="0.25">
      <c r="A110" s="1">
        <v>5</v>
      </c>
      <c r="B110" s="44">
        <f t="shared" si="12"/>
        <v>26</v>
      </c>
      <c r="C110" s="37" t="s">
        <v>183</v>
      </c>
      <c r="D110" s="38" t="s">
        <v>37</v>
      </c>
      <c r="E110" s="40">
        <f>927.551-199.371</f>
        <v>728.18000000000006</v>
      </c>
      <c r="F110" s="40">
        <v>728.18000000000006</v>
      </c>
      <c r="G110" s="40">
        <v>728.18</v>
      </c>
      <c r="H110" s="40">
        <v>727.73900000000003</v>
      </c>
      <c r="I110" s="40">
        <v>727.73900000000003</v>
      </c>
      <c r="J110" s="40">
        <v>0</v>
      </c>
      <c r="K110" s="64" t="s">
        <v>38</v>
      </c>
      <c r="L110" s="42" t="s">
        <v>184</v>
      </c>
      <c r="M110" s="43" t="s">
        <v>185</v>
      </c>
    </row>
    <row r="111" spans="1:13" ht="54" x14ac:dyDescent="0.25">
      <c r="A111" s="1">
        <v>5</v>
      </c>
      <c r="B111" s="36">
        <f t="shared" si="12"/>
        <v>27</v>
      </c>
      <c r="C111" s="37" t="s">
        <v>186</v>
      </c>
      <c r="D111" s="38" t="s">
        <v>37</v>
      </c>
      <c r="E111" s="40">
        <v>3555.6979999999999</v>
      </c>
      <c r="F111" s="40">
        <v>3555.6979999999999</v>
      </c>
      <c r="G111" s="40">
        <v>3555.6979999999999</v>
      </c>
      <c r="H111" s="40">
        <v>0</v>
      </c>
      <c r="I111" s="40">
        <v>0</v>
      </c>
      <c r="J111" s="40">
        <v>0</v>
      </c>
      <c r="K111" s="64" t="s">
        <v>28</v>
      </c>
      <c r="L111" s="42"/>
      <c r="M111" s="43"/>
    </row>
    <row r="112" spans="1:13" ht="126" x14ac:dyDescent="0.25">
      <c r="A112" s="1">
        <v>5</v>
      </c>
      <c r="B112" s="44">
        <f t="shared" si="12"/>
        <v>28</v>
      </c>
      <c r="C112" s="37" t="s">
        <v>187</v>
      </c>
      <c r="D112" s="38" t="s">
        <v>37</v>
      </c>
      <c r="E112" s="40">
        <f>5182.597-96.284</f>
        <v>5086.3130000000001</v>
      </c>
      <c r="F112" s="40">
        <v>5086.3130000000001</v>
      </c>
      <c r="G112" s="39">
        <v>5086.3130000000001</v>
      </c>
      <c r="H112" s="39">
        <v>5086.3130000000001</v>
      </c>
      <c r="I112" s="39">
        <v>4221.6390000000001</v>
      </c>
      <c r="J112" s="40">
        <v>0</v>
      </c>
      <c r="K112" s="64" t="s">
        <v>181</v>
      </c>
      <c r="L112" s="42"/>
      <c r="M112" s="43"/>
    </row>
    <row r="113" spans="1:13" ht="72" x14ac:dyDescent="0.25">
      <c r="A113" s="1">
        <v>5</v>
      </c>
      <c r="B113" s="44">
        <f t="shared" si="12"/>
        <v>29</v>
      </c>
      <c r="C113" s="37" t="s">
        <v>188</v>
      </c>
      <c r="D113" s="38" t="s">
        <v>37</v>
      </c>
      <c r="E113" s="40">
        <f>8099.909-209.282</f>
        <v>7890.6269999999995</v>
      </c>
      <c r="F113" s="40">
        <v>7890.6269999999995</v>
      </c>
      <c r="G113" s="40">
        <v>7890.6270000000004</v>
      </c>
      <c r="H113" s="39">
        <v>7890.6270000000004</v>
      </c>
      <c r="I113" s="39">
        <v>2415.4299999999998</v>
      </c>
      <c r="J113" s="40">
        <v>0</v>
      </c>
      <c r="K113" s="64" t="s">
        <v>181</v>
      </c>
      <c r="L113" s="42"/>
      <c r="M113" s="43"/>
    </row>
    <row r="114" spans="1:13" ht="72" x14ac:dyDescent="0.25">
      <c r="A114" s="1">
        <v>5</v>
      </c>
      <c r="B114" s="44">
        <f t="shared" si="12"/>
        <v>30</v>
      </c>
      <c r="C114" s="37" t="s">
        <v>189</v>
      </c>
      <c r="D114" s="38" t="s">
        <v>37</v>
      </c>
      <c r="E114" s="40">
        <f>17374.34-331.026</f>
        <v>17043.313999999998</v>
      </c>
      <c r="F114" s="40">
        <v>17043.313999999998</v>
      </c>
      <c r="G114" s="40">
        <v>17043.313999999998</v>
      </c>
      <c r="H114" s="39">
        <v>12562.448</v>
      </c>
      <c r="I114" s="40">
        <v>12562.448</v>
      </c>
      <c r="J114" s="40">
        <v>0</v>
      </c>
      <c r="K114" s="64" t="s">
        <v>106</v>
      </c>
      <c r="L114" s="42"/>
      <c r="M114" s="43"/>
    </row>
    <row r="115" spans="1:13" ht="72" x14ac:dyDescent="0.25">
      <c r="A115" s="1">
        <v>5</v>
      </c>
      <c r="B115" s="44">
        <f t="shared" si="12"/>
        <v>31</v>
      </c>
      <c r="C115" s="37" t="s">
        <v>190</v>
      </c>
      <c r="D115" s="38" t="s">
        <v>37</v>
      </c>
      <c r="E115" s="40">
        <f>36062.454-58.711</f>
        <v>36003.742999999995</v>
      </c>
      <c r="F115" s="40">
        <v>36003.742999999995</v>
      </c>
      <c r="G115" s="40">
        <v>36003.743000000002</v>
      </c>
      <c r="H115" s="40">
        <v>25817.249</v>
      </c>
      <c r="I115" s="40">
        <v>25817.249</v>
      </c>
      <c r="J115" s="40">
        <v>0</v>
      </c>
      <c r="K115" s="64" t="s">
        <v>106</v>
      </c>
      <c r="L115" s="42"/>
      <c r="M115" s="43"/>
    </row>
    <row r="116" spans="1:13" ht="72" x14ac:dyDescent="0.25">
      <c r="A116" s="1">
        <v>5</v>
      </c>
      <c r="B116" s="44">
        <f t="shared" si="12"/>
        <v>32</v>
      </c>
      <c r="C116" s="37" t="s">
        <v>191</v>
      </c>
      <c r="D116" s="38" t="s">
        <v>37</v>
      </c>
      <c r="E116" s="40">
        <f>33453.707-364.128</f>
        <v>33089.579000000005</v>
      </c>
      <c r="F116" s="40">
        <v>33089.579000000005</v>
      </c>
      <c r="G116" s="40">
        <v>33089.578999999998</v>
      </c>
      <c r="H116" s="40">
        <v>30438.502</v>
      </c>
      <c r="I116" s="40">
        <v>30438.502</v>
      </c>
      <c r="J116" s="40">
        <v>0</v>
      </c>
      <c r="K116" s="64" t="s">
        <v>106</v>
      </c>
      <c r="L116" s="42"/>
      <c r="M116" s="43"/>
    </row>
    <row r="117" spans="1:13" ht="72" x14ac:dyDescent="0.25">
      <c r="A117" s="1">
        <v>5</v>
      </c>
      <c r="B117" s="36">
        <f t="shared" si="12"/>
        <v>33</v>
      </c>
      <c r="C117" s="37" t="s">
        <v>192</v>
      </c>
      <c r="D117" s="38" t="s">
        <v>37</v>
      </c>
      <c r="E117" s="40">
        <v>5746.4</v>
      </c>
      <c r="F117" s="40">
        <v>5746.4</v>
      </c>
      <c r="G117" s="40">
        <v>5746.4</v>
      </c>
      <c r="H117" s="40">
        <v>5117.0720700000002</v>
      </c>
      <c r="I117" s="40">
        <v>5117.0720700000002</v>
      </c>
      <c r="J117" s="40">
        <v>0</v>
      </c>
      <c r="K117" s="64" t="s">
        <v>38</v>
      </c>
      <c r="L117" s="42" t="s">
        <v>193</v>
      </c>
      <c r="M117" s="43"/>
    </row>
    <row r="118" spans="1:13" ht="72" x14ac:dyDescent="0.25">
      <c r="A118" s="1">
        <v>5</v>
      </c>
      <c r="B118" s="36">
        <f t="shared" si="12"/>
        <v>34</v>
      </c>
      <c r="C118" s="37" t="s">
        <v>194</v>
      </c>
      <c r="D118" s="38" t="s">
        <v>33</v>
      </c>
      <c r="E118" s="39">
        <v>9189.8349999999991</v>
      </c>
      <c r="F118" s="40">
        <v>9189.8349999999991</v>
      </c>
      <c r="G118" s="40">
        <v>9189.8349999999991</v>
      </c>
      <c r="H118" s="40">
        <v>9189.8349999999991</v>
      </c>
      <c r="I118" s="40">
        <v>9189.8349999999991</v>
      </c>
      <c r="J118" s="40">
        <v>0</v>
      </c>
      <c r="K118" s="64" t="s">
        <v>75</v>
      </c>
      <c r="L118" s="42" t="s">
        <v>195</v>
      </c>
      <c r="M118" s="43"/>
    </row>
    <row r="119" spans="1:13" ht="72" x14ac:dyDescent="0.25">
      <c r="A119" s="1">
        <v>5</v>
      </c>
      <c r="B119" s="44">
        <f t="shared" si="12"/>
        <v>35</v>
      </c>
      <c r="C119" s="37" t="s">
        <v>196</v>
      </c>
      <c r="D119" s="38" t="s">
        <v>37</v>
      </c>
      <c r="E119" s="40">
        <f>1869.572-26.911</f>
        <v>1842.6609999999998</v>
      </c>
      <c r="F119" s="40">
        <v>1842.6609999999998</v>
      </c>
      <c r="G119" s="40">
        <v>1842.6610000000001</v>
      </c>
      <c r="H119" s="39">
        <v>546.30600000000004</v>
      </c>
      <c r="I119" s="39">
        <v>0</v>
      </c>
      <c r="J119" s="40">
        <v>0</v>
      </c>
      <c r="K119" s="64" t="s">
        <v>28</v>
      </c>
      <c r="L119" s="42"/>
      <c r="M119" s="43"/>
    </row>
    <row r="120" spans="1:13" ht="90" x14ac:dyDescent="0.25">
      <c r="A120" s="1">
        <v>5</v>
      </c>
      <c r="B120" s="44">
        <f t="shared" si="12"/>
        <v>36</v>
      </c>
      <c r="C120" s="37" t="s">
        <v>197</v>
      </c>
      <c r="D120" s="38" t="s">
        <v>37</v>
      </c>
      <c r="E120" s="39">
        <v>13149</v>
      </c>
      <c r="F120" s="40">
        <v>13149</v>
      </c>
      <c r="G120" s="40">
        <v>13149</v>
      </c>
      <c r="H120" s="40">
        <v>13095.134</v>
      </c>
      <c r="I120" s="40">
        <v>13095.134</v>
      </c>
      <c r="J120" s="40">
        <v>0</v>
      </c>
      <c r="K120" s="64" t="s">
        <v>38</v>
      </c>
      <c r="L120" s="42" t="s">
        <v>198</v>
      </c>
      <c r="M120" s="43" t="s">
        <v>157</v>
      </c>
    </row>
    <row r="121" spans="1:13" ht="90" x14ac:dyDescent="0.25">
      <c r="A121" s="1">
        <v>5</v>
      </c>
      <c r="B121" s="44">
        <f t="shared" si="12"/>
        <v>37</v>
      </c>
      <c r="C121" s="37" t="s">
        <v>199</v>
      </c>
      <c r="D121" s="38" t="s">
        <v>37</v>
      </c>
      <c r="E121" s="39">
        <v>731.97</v>
      </c>
      <c r="F121" s="40">
        <v>731.97</v>
      </c>
      <c r="G121" s="40">
        <v>731.97</v>
      </c>
      <c r="H121" s="40">
        <v>404.6</v>
      </c>
      <c r="I121" s="40">
        <v>404.6</v>
      </c>
      <c r="J121" s="40">
        <v>0</v>
      </c>
      <c r="K121" s="64" t="s">
        <v>38</v>
      </c>
      <c r="L121" s="42" t="s">
        <v>200</v>
      </c>
      <c r="M121" s="43" t="s">
        <v>157</v>
      </c>
    </row>
    <row r="122" spans="1:13" ht="54.75" thickBot="1" x14ac:dyDescent="0.3">
      <c r="A122" s="1">
        <v>5</v>
      </c>
      <c r="B122" s="44">
        <f t="shared" si="12"/>
        <v>38</v>
      </c>
      <c r="C122" s="37" t="s">
        <v>201</v>
      </c>
      <c r="D122" s="38" t="s">
        <v>37</v>
      </c>
      <c r="E122" s="40">
        <v>3924.038</v>
      </c>
      <c r="F122" s="40">
        <v>3924.038</v>
      </c>
      <c r="G122" s="40">
        <v>3924.038</v>
      </c>
      <c r="H122" s="40">
        <v>0</v>
      </c>
      <c r="I122" s="40">
        <v>0</v>
      </c>
      <c r="J122" s="40">
        <v>0</v>
      </c>
      <c r="K122" s="64" t="s">
        <v>28</v>
      </c>
      <c r="L122" s="42"/>
      <c r="M122" s="43"/>
    </row>
    <row r="123" spans="1:13" ht="18" x14ac:dyDescent="0.25">
      <c r="A123" s="1">
        <v>6</v>
      </c>
      <c r="B123" s="112" t="s">
        <v>202</v>
      </c>
      <c r="C123" s="113"/>
      <c r="D123" s="113"/>
      <c r="E123" s="113"/>
      <c r="F123" s="113"/>
      <c r="G123" s="113"/>
      <c r="H123" s="113"/>
      <c r="I123" s="113"/>
      <c r="J123" s="113"/>
      <c r="K123" s="113"/>
      <c r="L123" s="113"/>
      <c r="M123" s="114"/>
    </row>
    <row r="124" spans="1:13" ht="18" x14ac:dyDescent="0.25">
      <c r="A124" s="1">
        <v>6</v>
      </c>
      <c r="B124" s="21"/>
      <c r="C124" s="22" t="s">
        <v>25</v>
      </c>
      <c r="D124" s="23"/>
      <c r="E124" s="34">
        <f>SUM(E125,E127:E167)</f>
        <v>109637.111</v>
      </c>
      <c r="F124" s="34">
        <f t="shared" ref="F124:J124" si="13">SUM(F125,F127:F167)</f>
        <v>109637.111</v>
      </c>
      <c r="G124" s="34">
        <f t="shared" si="13"/>
        <v>109637.111</v>
      </c>
      <c r="H124" s="34">
        <f t="shared" si="13"/>
        <v>104280.70550000003</v>
      </c>
      <c r="I124" s="34">
        <f t="shared" si="13"/>
        <v>104280.70550000003</v>
      </c>
      <c r="J124" s="34">
        <f t="shared" si="13"/>
        <v>0</v>
      </c>
      <c r="K124" s="23"/>
      <c r="L124" s="23"/>
      <c r="M124" s="26"/>
    </row>
    <row r="125" spans="1:13" ht="18" x14ac:dyDescent="0.25">
      <c r="A125" s="1">
        <v>6</v>
      </c>
      <c r="B125" s="21"/>
      <c r="C125" s="22" t="s">
        <v>22</v>
      </c>
      <c r="D125" s="23"/>
      <c r="E125" s="34">
        <v>0</v>
      </c>
      <c r="F125" s="34">
        <v>0</v>
      </c>
      <c r="G125" s="34">
        <v>0</v>
      </c>
      <c r="H125" s="34"/>
      <c r="I125" s="34"/>
      <c r="J125" s="34"/>
      <c r="K125" s="23"/>
      <c r="L125" s="23"/>
      <c r="M125" s="26"/>
    </row>
    <row r="126" spans="1:13" ht="36" x14ac:dyDescent="0.25">
      <c r="A126" s="1">
        <v>6</v>
      </c>
      <c r="B126" s="21"/>
      <c r="C126" s="22" t="s">
        <v>23</v>
      </c>
      <c r="D126" s="23"/>
      <c r="E126" s="34">
        <f t="shared" ref="E126:J126" si="14">SUM(E127:E167)</f>
        <v>109637.111</v>
      </c>
      <c r="F126" s="34">
        <f t="shared" si="14"/>
        <v>109637.111</v>
      </c>
      <c r="G126" s="34">
        <f t="shared" si="14"/>
        <v>109637.111</v>
      </c>
      <c r="H126" s="34">
        <f t="shared" si="14"/>
        <v>104280.70550000003</v>
      </c>
      <c r="I126" s="34">
        <f t="shared" si="14"/>
        <v>104280.70550000003</v>
      </c>
      <c r="J126" s="34">
        <f t="shared" si="14"/>
        <v>0</v>
      </c>
      <c r="K126" s="23"/>
      <c r="L126" s="23"/>
      <c r="M126" s="26"/>
    </row>
    <row r="127" spans="1:13" ht="54" x14ac:dyDescent="0.25">
      <c r="A127" s="1">
        <v>6</v>
      </c>
      <c r="B127" s="44">
        <v>1</v>
      </c>
      <c r="C127" s="37" t="s">
        <v>203</v>
      </c>
      <c r="D127" s="38" t="s">
        <v>49</v>
      </c>
      <c r="E127" s="39">
        <f>3150+900</f>
        <v>4050</v>
      </c>
      <c r="F127" s="39">
        <v>4050</v>
      </c>
      <c r="G127" s="39">
        <v>4050</v>
      </c>
      <c r="H127" s="39">
        <f>4049.946-0.00012</f>
        <v>4049.9458799999998</v>
      </c>
      <c r="I127" s="39">
        <f>4049.946-0.00012</f>
        <v>4049.9458799999998</v>
      </c>
      <c r="J127" s="39">
        <v>0</v>
      </c>
      <c r="K127" s="41" t="s">
        <v>115</v>
      </c>
      <c r="L127" s="74" t="s">
        <v>204</v>
      </c>
      <c r="M127" s="43"/>
    </row>
    <row r="128" spans="1:13" ht="72" x14ac:dyDescent="0.25">
      <c r="A128" s="1">
        <v>6</v>
      </c>
      <c r="B128" s="44">
        <f>B127+1</f>
        <v>2</v>
      </c>
      <c r="C128" s="37" t="s">
        <v>205</v>
      </c>
      <c r="D128" s="38">
        <v>2016</v>
      </c>
      <c r="E128" s="39">
        <f>7610.311+2552.037</f>
        <v>10162.348</v>
      </c>
      <c r="F128" s="39">
        <v>10162.348</v>
      </c>
      <c r="G128" s="39">
        <v>10162.348</v>
      </c>
      <c r="H128" s="39">
        <v>10074.963</v>
      </c>
      <c r="I128" s="39">
        <v>10074.963</v>
      </c>
      <c r="J128" s="39">
        <v>0</v>
      </c>
      <c r="K128" s="41" t="s">
        <v>115</v>
      </c>
      <c r="L128" s="75" t="s">
        <v>206</v>
      </c>
      <c r="M128" s="43"/>
    </row>
    <row r="129" spans="1:13" ht="72" x14ac:dyDescent="0.25">
      <c r="A129" s="1">
        <v>6</v>
      </c>
      <c r="B129" s="36">
        <f t="shared" ref="B129:B167" si="15">B128+1</f>
        <v>3</v>
      </c>
      <c r="C129" s="37" t="s">
        <v>207</v>
      </c>
      <c r="D129" s="38" t="s">
        <v>41</v>
      </c>
      <c r="E129" s="39">
        <v>7501.7370000000001</v>
      </c>
      <c r="F129" s="39">
        <v>7501.7370000000001</v>
      </c>
      <c r="G129" s="39">
        <v>7501.7370000000001</v>
      </c>
      <c r="H129" s="39">
        <v>7013.6122400000004</v>
      </c>
      <c r="I129" s="39">
        <v>7013.6122400000004</v>
      </c>
      <c r="J129" s="39">
        <v>0</v>
      </c>
      <c r="K129" s="41" t="s">
        <v>86</v>
      </c>
      <c r="L129" s="74" t="s">
        <v>208</v>
      </c>
      <c r="M129" s="43"/>
    </row>
    <row r="130" spans="1:13" ht="72" x14ac:dyDescent="0.25">
      <c r="A130" s="1">
        <v>6</v>
      </c>
      <c r="B130" s="36">
        <f t="shared" si="15"/>
        <v>4</v>
      </c>
      <c r="C130" s="37" t="s">
        <v>209</v>
      </c>
      <c r="D130" s="38">
        <v>2016</v>
      </c>
      <c r="E130" s="39">
        <v>1347.26</v>
      </c>
      <c r="F130" s="39">
        <v>1347.26</v>
      </c>
      <c r="G130" s="39">
        <v>1347.26</v>
      </c>
      <c r="H130" s="39">
        <v>1058.98738</v>
      </c>
      <c r="I130" s="39">
        <v>1058.98738</v>
      </c>
      <c r="J130" s="39">
        <v>0</v>
      </c>
      <c r="K130" s="64" t="s">
        <v>38</v>
      </c>
      <c r="L130" s="76" t="s">
        <v>210</v>
      </c>
      <c r="M130" s="43"/>
    </row>
    <row r="131" spans="1:13" ht="72" x14ac:dyDescent="0.25">
      <c r="A131" s="1">
        <v>6</v>
      </c>
      <c r="B131" s="36">
        <f t="shared" si="15"/>
        <v>5</v>
      </c>
      <c r="C131" s="37" t="s">
        <v>211</v>
      </c>
      <c r="D131" s="38">
        <v>2016</v>
      </c>
      <c r="E131" s="39">
        <v>1431</v>
      </c>
      <c r="F131" s="39">
        <v>1431</v>
      </c>
      <c r="G131" s="39">
        <v>1431</v>
      </c>
      <c r="H131" s="39">
        <v>1396.4171700000002</v>
      </c>
      <c r="I131" s="39">
        <v>1396.4171700000002</v>
      </c>
      <c r="J131" s="39">
        <v>0</v>
      </c>
      <c r="K131" s="64" t="s">
        <v>38</v>
      </c>
      <c r="L131" s="76" t="s">
        <v>212</v>
      </c>
      <c r="M131" s="43"/>
    </row>
    <row r="132" spans="1:13" ht="72" x14ac:dyDescent="0.25">
      <c r="A132" s="1">
        <v>6</v>
      </c>
      <c r="B132" s="36">
        <f t="shared" si="15"/>
        <v>6</v>
      </c>
      <c r="C132" s="37" t="s">
        <v>213</v>
      </c>
      <c r="D132" s="38">
        <v>2016</v>
      </c>
      <c r="E132" s="39">
        <v>1432.0160000000001</v>
      </c>
      <c r="F132" s="39">
        <v>1432.0160000000001</v>
      </c>
      <c r="G132" s="39">
        <v>1432.0160000000001</v>
      </c>
      <c r="H132" s="39">
        <v>1126.45984</v>
      </c>
      <c r="I132" s="39">
        <v>1126.45984</v>
      </c>
      <c r="J132" s="39">
        <v>0</v>
      </c>
      <c r="K132" s="64" t="s">
        <v>38</v>
      </c>
      <c r="L132" s="76" t="s">
        <v>214</v>
      </c>
      <c r="M132" s="43"/>
    </row>
    <row r="133" spans="1:13" ht="72" x14ac:dyDescent="0.25">
      <c r="A133" s="1">
        <v>6</v>
      </c>
      <c r="B133" s="36">
        <f t="shared" si="15"/>
        <v>7</v>
      </c>
      <c r="C133" s="37" t="s">
        <v>215</v>
      </c>
      <c r="D133" s="38">
        <v>2016</v>
      </c>
      <c r="E133" s="39">
        <v>1280.162</v>
      </c>
      <c r="F133" s="39">
        <v>1280.162</v>
      </c>
      <c r="G133" s="39">
        <v>1280.162</v>
      </c>
      <c r="H133" s="39">
        <v>1244.75371</v>
      </c>
      <c r="I133" s="39">
        <v>1244.75371</v>
      </c>
      <c r="J133" s="39">
        <v>0</v>
      </c>
      <c r="K133" s="64" t="s">
        <v>38</v>
      </c>
      <c r="L133" s="76" t="s">
        <v>216</v>
      </c>
      <c r="M133" s="43"/>
    </row>
    <row r="134" spans="1:13" ht="72" x14ac:dyDescent="0.25">
      <c r="A134" s="1">
        <v>6</v>
      </c>
      <c r="B134" s="36">
        <f t="shared" si="15"/>
        <v>8</v>
      </c>
      <c r="C134" s="37" t="s">
        <v>217</v>
      </c>
      <c r="D134" s="38">
        <v>2016</v>
      </c>
      <c r="E134" s="39">
        <v>1418.9680000000001</v>
      </c>
      <c r="F134" s="39">
        <v>1418.9680000000001</v>
      </c>
      <c r="G134" s="39">
        <v>1418.9680000000001</v>
      </c>
      <c r="H134" s="39">
        <v>1045.0387499999999</v>
      </c>
      <c r="I134" s="39">
        <v>1045.0387499999999</v>
      </c>
      <c r="J134" s="39">
        <v>0</v>
      </c>
      <c r="K134" s="64" t="s">
        <v>38</v>
      </c>
      <c r="L134" s="76" t="s">
        <v>218</v>
      </c>
      <c r="M134" s="43"/>
    </row>
    <row r="135" spans="1:13" ht="72" x14ac:dyDescent="0.25">
      <c r="A135" s="1">
        <v>6</v>
      </c>
      <c r="B135" s="36">
        <f t="shared" si="15"/>
        <v>9</v>
      </c>
      <c r="C135" s="37" t="s">
        <v>219</v>
      </c>
      <c r="D135" s="38">
        <v>2016</v>
      </c>
      <c r="E135" s="39">
        <v>1394.18</v>
      </c>
      <c r="F135" s="39">
        <v>1394.18</v>
      </c>
      <c r="G135" s="39">
        <v>1394.18</v>
      </c>
      <c r="H135" s="39">
        <v>1035.2433000000001</v>
      </c>
      <c r="I135" s="39">
        <v>1035.2433000000001</v>
      </c>
      <c r="J135" s="39">
        <v>0</v>
      </c>
      <c r="K135" s="64" t="s">
        <v>38</v>
      </c>
      <c r="L135" s="76" t="s">
        <v>220</v>
      </c>
      <c r="M135" s="43"/>
    </row>
    <row r="136" spans="1:13" ht="72" x14ac:dyDescent="0.25">
      <c r="A136" s="1">
        <v>6</v>
      </c>
      <c r="B136" s="36">
        <f t="shared" si="15"/>
        <v>10</v>
      </c>
      <c r="C136" s="37" t="s">
        <v>221</v>
      </c>
      <c r="D136" s="38">
        <v>2016</v>
      </c>
      <c r="E136" s="39">
        <v>925.20299999999997</v>
      </c>
      <c r="F136" s="39">
        <v>925.20299999999997</v>
      </c>
      <c r="G136" s="39">
        <v>925.20299999999997</v>
      </c>
      <c r="H136" s="39">
        <v>889.27143000000001</v>
      </c>
      <c r="I136" s="39">
        <v>889.27143000000001</v>
      </c>
      <c r="J136" s="39">
        <v>0</v>
      </c>
      <c r="K136" s="64" t="s">
        <v>38</v>
      </c>
      <c r="L136" s="76" t="s">
        <v>222</v>
      </c>
      <c r="M136" s="43"/>
    </row>
    <row r="137" spans="1:13" ht="57" x14ac:dyDescent="0.25">
      <c r="A137" s="1">
        <v>6</v>
      </c>
      <c r="B137" s="36">
        <f t="shared" si="15"/>
        <v>11</v>
      </c>
      <c r="C137" s="37" t="s">
        <v>223</v>
      </c>
      <c r="D137" s="38">
        <v>2016</v>
      </c>
      <c r="E137" s="39">
        <v>1428.2070000000001</v>
      </c>
      <c r="F137" s="39">
        <v>1428.2070000000001</v>
      </c>
      <c r="G137" s="39">
        <v>1428.2070000000001</v>
      </c>
      <c r="H137" s="39">
        <v>1394.70812</v>
      </c>
      <c r="I137" s="39">
        <v>1394.70812</v>
      </c>
      <c r="J137" s="39">
        <v>0</v>
      </c>
      <c r="K137" s="64" t="s">
        <v>38</v>
      </c>
      <c r="L137" s="76" t="s">
        <v>224</v>
      </c>
      <c r="M137" s="43"/>
    </row>
    <row r="138" spans="1:13" ht="57" x14ac:dyDescent="0.25">
      <c r="A138" s="1">
        <v>6</v>
      </c>
      <c r="B138" s="36">
        <f t="shared" si="15"/>
        <v>12</v>
      </c>
      <c r="C138" s="37" t="s">
        <v>225</v>
      </c>
      <c r="D138" s="38">
        <v>2016</v>
      </c>
      <c r="E138" s="39">
        <v>649.68499999999995</v>
      </c>
      <c r="F138" s="39">
        <v>649.68499999999995</v>
      </c>
      <c r="G138" s="39">
        <v>649.68499999999995</v>
      </c>
      <c r="H138" s="39">
        <v>624.80520000000001</v>
      </c>
      <c r="I138" s="39">
        <v>624.80520000000001</v>
      </c>
      <c r="J138" s="39">
        <v>0</v>
      </c>
      <c r="K138" s="64" t="s">
        <v>38</v>
      </c>
      <c r="L138" s="76" t="s">
        <v>226</v>
      </c>
      <c r="M138" s="43"/>
    </row>
    <row r="139" spans="1:13" ht="72" x14ac:dyDescent="0.25">
      <c r="A139" s="1">
        <v>6</v>
      </c>
      <c r="B139" s="36">
        <f t="shared" si="15"/>
        <v>13</v>
      </c>
      <c r="C139" s="37" t="s">
        <v>227</v>
      </c>
      <c r="D139" s="38">
        <v>2016</v>
      </c>
      <c r="E139" s="39">
        <v>1428.2070000000001</v>
      </c>
      <c r="F139" s="39">
        <v>1428.2070000000001</v>
      </c>
      <c r="G139" s="39">
        <v>1428.2070000000001</v>
      </c>
      <c r="H139" s="39">
        <v>1394.70811</v>
      </c>
      <c r="I139" s="39">
        <v>1394.70811</v>
      </c>
      <c r="J139" s="39">
        <v>0</v>
      </c>
      <c r="K139" s="64" t="s">
        <v>38</v>
      </c>
      <c r="L139" s="76" t="s">
        <v>228</v>
      </c>
      <c r="M139" s="43"/>
    </row>
    <row r="140" spans="1:13" ht="72" x14ac:dyDescent="0.25">
      <c r="A140" s="1">
        <v>6</v>
      </c>
      <c r="B140" s="36">
        <f t="shared" si="15"/>
        <v>14</v>
      </c>
      <c r="C140" s="37" t="s">
        <v>229</v>
      </c>
      <c r="D140" s="38">
        <v>2016</v>
      </c>
      <c r="E140" s="39">
        <v>1428.2070000000001</v>
      </c>
      <c r="F140" s="39">
        <v>1428.2070000000001</v>
      </c>
      <c r="G140" s="39">
        <v>1428.2070000000001</v>
      </c>
      <c r="H140" s="39">
        <v>1067.7143800000001</v>
      </c>
      <c r="I140" s="39">
        <v>1067.7143800000001</v>
      </c>
      <c r="J140" s="39">
        <v>0</v>
      </c>
      <c r="K140" s="64" t="s">
        <v>38</v>
      </c>
      <c r="L140" s="76" t="s">
        <v>230</v>
      </c>
      <c r="M140" s="43"/>
    </row>
    <row r="141" spans="1:13" ht="57" x14ac:dyDescent="0.25">
      <c r="A141" s="1">
        <v>6</v>
      </c>
      <c r="B141" s="44">
        <f t="shared" si="15"/>
        <v>15</v>
      </c>
      <c r="C141" s="37" t="s">
        <v>231</v>
      </c>
      <c r="D141" s="38" t="s">
        <v>33</v>
      </c>
      <c r="E141" s="39">
        <f>3965.65-955.85</f>
        <v>3009.8</v>
      </c>
      <c r="F141" s="39">
        <v>3009.8</v>
      </c>
      <c r="G141" s="39">
        <v>3009.8</v>
      </c>
      <c r="H141" s="39">
        <v>2394.4780000000001</v>
      </c>
      <c r="I141" s="39">
        <v>2394.4780000000001</v>
      </c>
      <c r="J141" s="39">
        <v>0</v>
      </c>
      <c r="K141" s="41" t="s">
        <v>115</v>
      </c>
      <c r="L141" s="74" t="s">
        <v>232</v>
      </c>
      <c r="M141" s="43"/>
    </row>
    <row r="142" spans="1:13" ht="90" x14ac:dyDescent="0.25">
      <c r="A142" s="1">
        <v>6</v>
      </c>
      <c r="B142" s="36">
        <f t="shared" si="15"/>
        <v>16</v>
      </c>
      <c r="C142" s="37" t="s">
        <v>233</v>
      </c>
      <c r="D142" s="38" t="s">
        <v>33</v>
      </c>
      <c r="E142" s="39">
        <v>3000</v>
      </c>
      <c r="F142" s="39">
        <v>3000</v>
      </c>
      <c r="G142" s="39">
        <v>3000</v>
      </c>
      <c r="H142" s="39">
        <v>1607.316</v>
      </c>
      <c r="I142" s="39">
        <v>1607.316</v>
      </c>
      <c r="J142" s="39">
        <v>0</v>
      </c>
      <c r="K142" s="41" t="s">
        <v>115</v>
      </c>
      <c r="L142" s="74" t="s">
        <v>234</v>
      </c>
      <c r="M142" s="43"/>
    </row>
    <row r="143" spans="1:13" ht="85.5" x14ac:dyDescent="0.25">
      <c r="A143" s="1">
        <v>6</v>
      </c>
      <c r="B143" s="36">
        <f t="shared" si="15"/>
        <v>17</v>
      </c>
      <c r="C143" s="37" t="s">
        <v>235</v>
      </c>
      <c r="D143" s="38" t="s">
        <v>41</v>
      </c>
      <c r="E143" s="39">
        <v>7000</v>
      </c>
      <c r="F143" s="39">
        <v>7000</v>
      </c>
      <c r="G143" s="39">
        <v>7000</v>
      </c>
      <c r="H143" s="39">
        <v>7000</v>
      </c>
      <c r="I143" s="39">
        <v>7000</v>
      </c>
      <c r="J143" s="39">
        <v>0</v>
      </c>
      <c r="K143" s="41" t="s">
        <v>115</v>
      </c>
      <c r="L143" s="74" t="s">
        <v>236</v>
      </c>
      <c r="M143" s="43"/>
    </row>
    <row r="144" spans="1:13" ht="54" x14ac:dyDescent="0.25">
      <c r="A144" s="1">
        <v>6</v>
      </c>
      <c r="B144" s="44">
        <f t="shared" si="15"/>
        <v>18</v>
      </c>
      <c r="C144" s="37" t="s">
        <v>237</v>
      </c>
      <c r="D144" s="38" t="s">
        <v>33</v>
      </c>
      <c r="E144" s="39">
        <f>4039.206-500</f>
        <v>3539.2060000000001</v>
      </c>
      <c r="F144" s="39">
        <v>3539.2060000000001</v>
      </c>
      <c r="G144" s="39">
        <v>3539.2060000000001</v>
      </c>
      <c r="H144" s="39">
        <v>3486.4430000000002</v>
      </c>
      <c r="I144" s="39">
        <v>3486.4430000000002</v>
      </c>
      <c r="J144" s="39">
        <v>0</v>
      </c>
      <c r="K144" s="41" t="s">
        <v>115</v>
      </c>
      <c r="L144" s="74" t="s">
        <v>238</v>
      </c>
      <c r="M144" s="43"/>
    </row>
    <row r="145" spans="1:13" ht="114" x14ac:dyDescent="0.25">
      <c r="A145" s="1">
        <v>6</v>
      </c>
      <c r="B145" s="36">
        <f t="shared" si="15"/>
        <v>19</v>
      </c>
      <c r="C145" s="37" t="s">
        <v>239</v>
      </c>
      <c r="D145" s="38">
        <v>2016</v>
      </c>
      <c r="E145" s="39">
        <v>3403.9769999999999</v>
      </c>
      <c r="F145" s="39">
        <v>3403.9769999999999</v>
      </c>
      <c r="G145" s="39">
        <v>3403.9769999999999</v>
      </c>
      <c r="H145" s="39">
        <v>3367.7040000000002</v>
      </c>
      <c r="I145" s="39">
        <v>3367.7040000000002</v>
      </c>
      <c r="J145" s="39">
        <v>0</v>
      </c>
      <c r="K145" s="41" t="s">
        <v>38</v>
      </c>
      <c r="L145" s="76" t="s">
        <v>240</v>
      </c>
      <c r="M145" s="43"/>
    </row>
    <row r="146" spans="1:13" ht="72" x14ac:dyDescent="0.25">
      <c r="A146" s="1">
        <v>6</v>
      </c>
      <c r="B146" s="44">
        <f t="shared" si="15"/>
        <v>20</v>
      </c>
      <c r="C146" s="37" t="s">
        <v>241</v>
      </c>
      <c r="D146" s="38" t="s">
        <v>33</v>
      </c>
      <c r="E146" s="39">
        <f>4011.401-3019.98</f>
        <v>991.42099999999982</v>
      </c>
      <c r="F146" s="39">
        <v>991.42099999999982</v>
      </c>
      <c r="G146" s="39">
        <v>991.42100000000005</v>
      </c>
      <c r="H146" s="39">
        <v>991.42100000000005</v>
      </c>
      <c r="I146" s="39">
        <v>991.42100000000005</v>
      </c>
      <c r="J146" s="39">
        <v>0</v>
      </c>
      <c r="K146" s="41" t="s">
        <v>115</v>
      </c>
      <c r="L146" s="74" t="s">
        <v>242</v>
      </c>
      <c r="M146" s="43"/>
    </row>
    <row r="147" spans="1:13" ht="85.5" x14ac:dyDescent="0.25">
      <c r="A147" s="1">
        <v>6</v>
      </c>
      <c r="B147" s="44">
        <f t="shared" si="15"/>
        <v>21</v>
      </c>
      <c r="C147" s="37" t="s">
        <v>243</v>
      </c>
      <c r="D147" s="38" t="s">
        <v>33</v>
      </c>
      <c r="E147" s="39">
        <f>6551.769-948</f>
        <v>5603.7690000000002</v>
      </c>
      <c r="F147" s="39">
        <v>5603.7690000000002</v>
      </c>
      <c r="G147" s="39">
        <v>5603.7690000000002</v>
      </c>
      <c r="H147" s="39">
        <v>5603.5429999999997</v>
      </c>
      <c r="I147" s="39">
        <v>5603.5429999999997</v>
      </c>
      <c r="J147" s="39">
        <v>0</v>
      </c>
      <c r="K147" s="41" t="s">
        <v>115</v>
      </c>
      <c r="L147" s="74" t="s">
        <v>244</v>
      </c>
      <c r="M147" s="43"/>
    </row>
    <row r="148" spans="1:13" ht="85.5" x14ac:dyDescent="0.25">
      <c r="A148" s="1">
        <v>6</v>
      </c>
      <c r="B148" s="44">
        <f t="shared" si="15"/>
        <v>22</v>
      </c>
      <c r="C148" s="37" t="s">
        <v>245</v>
      </c>
      <c r="D148" s="38" t="s">
        <v>49</v>
      </c>
      <c r="E148" s="39">
        <f>6171.826-896.831</f>
        <v>5274.9949999999999</v>
      </c>
      <c r="F148" s="39">
        <v>5274.9949999999999</v>
      </c>
      <c r="G148" s="39">
        <v>5274.9949999999999</v>
      </c>
      <c r="H148" s="39">
        <v>5200.3040000000001</v>
      </c>
      <c r="I148" s="39">
        <v>5200.3040000000001</v>
      </c>
      <c r="J148" s="39">
        <v>0</v>
      </c>
      <c r="K148" s="41" t="s">
        <v>38</v>
      </c>
      <c r="L148" s="76" t="s">
        <v>246</v>
      </c>
      <c r="M148" s="43"/>
    </row>
    <row r="149" spans="1:13" ht="85.5" x14ac:dyDescent="0.25">
      <c r="A149" s="1">
        <v>6</v>
      </c>
      <c r="B149" s="36">
        <f t="shared" si="15"/>
        <v>23</v>
      </c>
      <c r="C149" s="37" t="s">
        <v>247</v>
      </c>
      <c r="D149" s="38">
        <v>2016</v>
      </c>
      <c r="E149" s="39">
        <v>1632.2850000000001</v>
      </c>
      <c r="F149" s="39">
        <v>1632.2850000000001</v>
      </c>
      <c r="G149" s="39">
        <v>1632.2850000000001</v>
      </c>
      <c r="H149" s="39">
        <v>1632.2850000000001</v>
      </c>
      <c r="I149" s="39">
        <v>1632.2850000000001</v>
      </c>
      <c r="J149" s="39">
        <v>0</v>
      </c>
      <c r="K149" s="41" t="s">
        <v>38</v>
      </c>
      <c r="L149" s="76" t="s">
        <v>248</v>
      </c>
      <c r="M149" s="43"/>
    </row>
    <row r="150" spans="1:13" ht="90" x14ac:dyDescent="0.25">
      <c r="A150" s="1">
        <v>6</v>
      </c>
      <c r="B150" s="36">
        <f t="shared" si="15"/>
        <v>24</v>
      </c>
      <c r="C150" s="37" t="s">
        <v>249</v>
      </c>
      <c r="D150" s="38" t="s">
        <v>33</v>
      </c>
      <c r="E150" s="39">
        <v>1199.3440000000001</v>
      </c>
      <c r="F150" s="39">
        <v>1199.3440000000001</v>
      </c>
      <c r="G150" s="39">
        <v>1199.3440000000001</v>
      </c>
      <c r="H150" s="39">
        <v>1183.4449999999999</v>
      </c>
      <c r="I150" s="39">
        <v>1183.4449999999999</v>
      </c>
      <c r="J150" s="39">
        <v>0</v>
      </c>
      <c r="K150" s="41" t="s">
        <v>115</v>
      </c>
      <c r="L150" s="74" t="s">
        <v>250</v>
      </c>
      <c r="M150" s="43"/>
    </row>
    <row r="151" spans="1:13" ht="99.75" x14ac:dyDescent="0.25">
      <c r="A151" s="1">
        <v>6</v>
      </c>
      <c r="B151" s="36">
        <f t="shared" si="15"/>
        <v>25</v>
      </c>
      <c r="C151" s="37" t="s">
        <v>251</v>
      </c>
      <c r="D151" s="38">
        <v>2016</v>
      </c>
      <c r="E151" s="39">
        <v>6409.9219999999996</v>
      </c>
      <c r="F151" s="39">
        <v>6409.9219999999996</v>
      </c>
      <c r="G151" s="39">
        <v>6409.9219999999996</v>
      </c>
      <c r="H151" s="39">
        <v>6300.0370000000003</v>
      </c>
      <c r="I151" s="39">
        <v>6300.0370000000003</v>
      </c>
      <c r="J151" s="39">
        <v>0</v>
      </c>
      <c r="K151" s="41" t="s">
        <v>38</v>
      </c>
      <c r="L151" s="76" t="s">
        <v>252</v>
      </c>
      <c r="M151" s="43"/>
    </row>
    <row r="152" spans="1:13" ht="72" x14ac:dyDescent="0.25">
      <c r="A152" s="1">
        <v>6</v>
      </c>
      <c r="B152" s="36">
        <f t="shared" si="15"/>
        <v>26</v>
      </c>
      <c r="C152" s="37" t="s">
        <v>253</v>
      </c>
      <c r="D152" s="38">
        <v>2016</v>
      </c>
      <c r="E152" s="39">
        <v>479.1</v>
      </c>
      <c r="F152" s="39">
        <v>479.1</v>
      </c>
      <c r="G152" s="39">
        <v>479.1</v>
      </c>
      <c r="H152" s="39">
        <v>479.1</v>
      </c>
      <c r="I152" s="39">
        <v>479.1</v>
      </c>
      <c r="J152" s="39">
        <v>0</v>
      </c>
      <c r="K152" s="41" t="s">
        <v>38</v>
      </c>
      <c r="L152" s="42" t="s">
        <v>254</v>
      </c>
      <c r="M152" s="43" t="s">
        <v>255</v>
      </c>
    </row>
    <row r="153" spans="1:13" ht="72" x14ac:dyDescent="0.25">
      <c r="A153" s="1">
        <v>6</v>
      </c>
      <c r="B153" s="36">
        <f t="shared" si="15"/>
        <v>27</v>
      </c>
      <c r="C153" s="37" t="s">
        <v>256</v>
      </c>
      <c r="D153" s="38">
        <v>2016</v>
      </c>
      <c r="E153" s="39">
        <v>574.79999999999995</v>
      </c>
      <c r="F153" s="39">
        <v>574.79999999999995</v>
      </c>
      <c r="G153" s="39">
        <v>574.79999999999995</v>
      </c>
      <c r="H153" s="39">
        <v>574.79999999999995</v>
      </c>
      <c r="I153" s="39">
        <v>574.79999999999995</v>
      </c>
      <c r="J153" s="39">
        <v>0</v>
      </c>
      <c r="K153" s="41" t="s">
        <v>38</v>
      </c>
      <c r="L153" s="42" t="s">
        <v>254</v>
      </c>
      <c r="M153" s="43" t="s">
        <v>257</v>
      </c>
    </row>
    <row r="154" spans="1:13" ht="72" x14ac:dyDescent="0.25">
      <c r="A154" s="1">
        <v>6</v>
      </c>
      <c r="B154" s="36">
        <f t="shared" si="15"/>
        <v>28</v>
      </c>
      <c r="C154" s="37" t="s">
        <v>258</v>
      </c>
      <c r="D154" s="38">
        <v>2016</v>
      </c>
      <c r="E154" s="39">
        <v>1599.884</v>
      </c>
      <c r="F154" s="39">
        <v>1599.884</v>
      </c>
      <c r="G154" s="39">
        <v>1599.884</v>
      </c>
      <c r="H154" s="39">
        <v>1522.2950000000001</v>
      </c>
      <c r="I154" s="39">
        <v>1522.2950000000001</v>
      </c>
      <c r="J154" s="39">
        <v>0</v>
      </c>
      <c r="K154" s="41" t="s">
        <v>38</v>
      </c>
      <c r="L154" s="76" t="s">
        <v>259</v>
      </c>
      <c r="M154" s="43"/>
    </row>
    <row r="155" spans="1:13" ht="71.25" x14ac:dyDescent="0.25">
      <c r="A155" s="1">
        <v>6</v>
      </c>
      <c r="B155" s="44">
        <f t="shared" si="15"/>
        <v>29</v>
      </c>
      <c r="C155" s="37" t="s">
        <v>260</v>
      </c>
      <c r="D155" s="38">
        <v>2016</v>
      </c>
      <c r="E155" s="39">
        <f>1246.145+315</f>
        <v>1561.145</v>
      </c>
      <c r="F155" s="39">
        <v>1561.145</v>
      </c>
      <c r="G155" s="39">
        <v>1561.145</v>
      </c>
      <c r="H155" s="39">
        <v>1533.1669999999999</v>
      </c>
      <c r="I155" s="39">
        <v>1533.1669999999999</v>
      </c>
      <c r="J155" s="39">
        <v>0</v>
      </c>
      <c r="K155" s="41" t="s">
        <v>38</v>
      </c>
      <c r="L155" s="76" t="s">
        <v>261</v>
      </c>
      <c r="M155" s="43"/>
    </row>
    <row r="156" spans="1:13" ht="171" x14ac:dyDescent="0.25">
      <c r="A156" s="1">
        <v>6</v>
      </c>
      <c r="B156" s="44">
        <f t="shared" si="15"/>
        <v>30</v>
      </c>
      <c r="C156" s="37" t="s">
        <v>262</v>
      </c>
      <c r="D156" s="38">
        <v>2016</v>
      </c>
      <c r="E156" s="39">
        <f>749.597+490.626</f>
        <v>1240.223</v>
      </c>
      <c r="F156" s="39">
        <v>1240.223</v>
      </c>
      <c r="G156" s="39">
        <v>1240.223</v>
      </c>
      <c r="H156" s="39">
        <v>1208.3119899999999</v>
      </c>
      <c r="I156" s="39">
        <v>1208.3119899999999</v>
      </c>
      <c r="J156" s="39">
        <v>0</v>
      </c>
      <c r="K156" s="41" t="s">
        <v>38</v>
      </c>
      <c r="L156" s="76" t="s">
        <v>263</v>
      </c>
      <c r="M156" s="43"/>
    </row>
    <row r="157" spans="1:13" ht="114" x14ac:dyDescent="0.25">
      <c r="A157" s="1">
        <v>6</v>
      </c>
      <c r="B157" s="36">
        <f t="shared" si="15"/>
        <v>31</v>
      </c>
      <c r="C157" s="37" t="s">
        <v>264</v>
      </c>
      <c r="D157" s="38">
        <v>2016</v>
      </c>
      <c r="E157" s="39">
        <v>1195.3620000000001</v>
      </c>
      <c r="F157" s="39">
        <v>1195.3620000000001</v>
      </c>
      <c r="G157" s="39">
        <v>1195.3620000000001</v>
      </c>
      <c r="H157" s="39">
        <v>1185.123</v>
      </c>
      <c r="I157" s="39">
        <v>1185.123</v>
      </c>
      <c r="J157" s="39">
        <v>0</v>
      </c>
      <c r="K157" s="41" t="s">
        <v>38</v>
      </c>
      <c r="L157" s="76" t="s">
        <v>265</v>
      </c>
      <c r="M157" s="43"/>
    </row>
    <row r="158" spans="1:13" ht="228" x14ac:dyDescent="0.25">
      <c r="A158" s="1">
        <v>6</v>
      </c>
      <c r="B158" s="44">
        <f t="shared" si="15"/>
        <v>32</v>
      </c>
      <c r="C158" s="37" t="s">
        <v>266</v>
      </c>
      <c r="D158" s="38" t="s">
        <v>95</v>
      </c>
      <c r="E158" s="39">
        <f>2277.252-200</f>
        <v>2077.252</v>
      </c>
      <c r="F158" s="39">
        <v>2077.252</v>
      </c>
      <c r="G158" s="39">
        <v>2077.252</v>
      </c>
      <c r="H158" s="39">
        <v>2014.202</v>
      </c>
      <c r="I158" s="39">
        <v>2014.202</v>
      </c>
      <c r="J158" s="39">
        <v>0</v>
      </c>
      <c r="K158" s="41" t="s">
        <v>38</v>
      </c>
      <c r="L158" s="76" t="s">
        <v>267</v>
      </c>
      <c r="M158" s="43" t="s">
        <v>268</v>
      </c>
    </row>
    <row r="159" spans="1:13" ht="71.25" x14ac:dyDescent="0.25">
      <c r="A159" s="1">
        <v>6</v>
      </c>
      <c r="B159" s="44">
        <f t="shared" si="15"/>
        <v>33</v>
      </c>
      <c r="C159" s="37" t="s">
        <v>269</v>
      </c>
      <c r="D159" s="38">
        <v>2016</v>
      </c>
      <c r="E159" s="39">
        <f>4221.543-421.344</f>
        <v>3800.1989999999996</v>
      </c>
      <c r="F159" s="39">
        <v>3800.1989999999996</v>
      </c>
      <c r="G159" s="39">
        <v>3800.1990000000001</v>
      </c>
      <c r="H159" s="39">
        <v>3781.0520000000001</v>
      </c>
      <c r="I159" s="39">
        <v>3781.0520000000001</v>
      </c>
      <c r="J159" s="39">
        <v>0</v>
      </c>
      <c r="K159" s="41" t="s">
        <v>38</v>
      </c>
      <c r="L159" s="76" t="s">
        <v>270</v>
      </c>
      <c r="M159" s="43"/>
    </row>
    <row r="160" spans="1:13" ht="72" x14ac:dyDescent="0.25">
      <c r="A160" s="1">
        <v>6</v>
      </c>
      <c r="B160" s="44">
        <f t="shared" si="15"/>
        <v>34</v>
      </c>
      <c r="C160" s="37" t="s">
        <v>271</v>
      </c>
      <c r="D160" s="38">
        <v>2016</v>
      </c>
      <c r="E160" s="39">
        <f>3305.674-315.658</f>
        <v>2990.0160000000001</v>
      </c>
      <c r="F160" s="39">
        <v>2990.0160000000001</v>
      </c>
      <c r="G160" s="39">
        <v>2990.0160000000001</v>
      </c>
      <c r="H160" s="39">
        <v>2980.5210000000002</v>
      </c>
      <c r="I160" s="39">
        <v>2980.5210000000002</v>
      </c>
      <c r="J160" s="39">
        <v>0</v>
      </c>
      <c r="K160" s="41" t="s">
        <v>38</v>
      </c>
      <c r="L160" s="76" t="s">
        <v>272</v>
      </c>
      <c r="M160" s="43"/>
    </row>
    <row r="161" spans="1:13" ht="85.5" x14ac:dyDescent="0.25">
      <c r="A161" s="1">
        <v>6</v>
      </c>
      <c r="B161" s="36">
        <f t="shared" si="15"/>
        <v>35</v>
      </c>
      <c r="C161" s="37" t="s">
        <v>273</v>
      </c>
      <c r="D161" s="38" t="s">
        <v>33</v>
      </c>
      <c r="E161" s="39">
        <v>2997.723</v>
      </c>
      <c r="F161" s="39">
        <v>2997.723</v>
      </c>
      <c r="G161" s="39">
        <v>2997.723</v>
      </c>
      <c r="H161" s="39">
        <v>2727.5050000000001</v>
      </c>
      <c r="I161" s="39">
        <v>2727.5050000000001</v>
      </c>
      <c r="J161" s="39">
        <v>0</v>
      </c>
      <c r="K161" s="41" t="s">
        <v>115</v>
      </c>
      <c r="L161" s="74" t="s">
        <v>274</v>
      </c>
      <c r="M161" s="43"/>
    </row>
    <row r="162" spans="1:13" ht="114" x14ac:dyDescent="0.25">
      <c r="A162" s="1">
        <v>6</v>
      </c>
      <c r="B162" s="44">
        <f t="shared" si="15"/>
        <v>36</v>
      </c>
      <c r="C162" s="37" t="s">
        <v>275</v>
      </c>
      <c r="D162" s="38">
        <v>2016</v>
      </c>
      <c r="E162" s="39">
        <f>6209.275-152.197</f>
        <v>6057.0779999999995</v>
      </c>
      <c r="F162" s="39">
        <v>6057.0779999999995</v>
      </c>
      <c r="G162" s="39">
        <v>6057.0780000000004</v>
      </c>
      <c r="H162" s="39">
        <v>5973.1059999999998</v>
      </c>
      <c r="I162" s="39">
        <v>5973.1059999999998</v>
      </c>
      <c r="J162" s="39">
        <v>0</v>
      </c>
      <c r="K162" s="41" t="s">
        <v>38</v>
      </c>
      <c r="L162" s="76" t="s">
        <v>276</v>
      </c>
      <c r="M162" s="43"/>
    </row>
    <row r="163" spans="1:13" ht="72" x14ac:dyDescent="0.25">
      <c r="A163" s="1">
        <v>6</v>
      </c>
      <c r="B163" s="36">
        <f t="shared" si="15"/>
        <v>37</v>
      </c>
      <c r="C163" s="37" t="s">
        <v>277</v>
      </c>
      <c r="D163" s="38">
        <v>2016</v>
      </c>
      <c r="E163" s="39">
        <v>540.17600000000004</v>
      </c>
      <c r="F163" s="39">
        <v>540.17600000000004</v>
      </c>
      <c r="G163" s="39">
        <v>540.17600000000004</v>
      </c>
      <c r="H163" s="39">
        <v>535.66399999999999</v>
      </c>
      <c r="I163" s="39">
        <v>535.66399999999999</v>
      </c>
      <c r="J163" s="39">
        <v>0</v>
      </c>
      <c r="K163" s="41" t="s">
        <v>38</v>
      </c>
      <c r="L163" s="42" t="s">
        <v>278</v>
      </c>
      <c r="M163" s="43" t="s">
        <v>279</v>
      </c>
    </row>
    <row r="164" spans="1:13" ht="171" x14ac:dyDescent="0.25">
      <c r="A164" s="1">
        <v>6</v>
      </c>
      <c r="B164" s="44">
        <f t="shared" si="15"/>
        <v>38</v>
      </c>
      <c r="C164" s="37" t="s">
        <v>280</v>
      </c>
      <c r="D164" s="38">
        <v>2016</v>
      </c>
      <c r="E164" s="39">
        <f>4430.057-402.388</f>
        <v>4027.6689999999999</v>
      </c>
      <c r="F164" s="39">
        <v>4027.6689999999999</v>
      </c>
      <c r="G164" s="39">
        <v>4027.6689999999999</v>
      </c>
      <c r="H164" s="39">
        <v>4027.6689999999999</v>
      </c>
      <c r="I164" s="39">
        <v>4027.6689999999999</v>
      </c>
      <c r="J164" s="39">
        <v>0</v>
      </c>
      <c r="K164" s="41" t="s">
        <v>38</v>
      </c>
      <c r="L164" s="76" t="s">
        <v>281</v>
      </c>
      <c r="M164" s="43"/>
    </row>
    <row r="165" spans="1:13" ht="57" x14ac:dyDescent="0.25">
      <c r="A165" s="1">
        <v>6</v>
      </c>
      <c r="B165" s="44">
        <f t="shared" si="15"/>
        <v>39</v>
      </c>
      <c r="C165" s="37" t="s">
        <v>282</v>
      </c>
      <c r="D165" s="38" t="s">
        <v>33</v>
      </c>
      <c r="E165" s="39">
        <v>1900</v>
      </c>
      <c r="F165" s="39">
        <v>1900</v>
      </c>
      <c r="G165" s="39">
        <v>1900</v>
      </c>
      <c r="H165" s="39">
        <v>1900</v>
      </c>
      <c r="I165" s="39">
        <v>1900</v>
      </c>
      <c r="J165" s="39">
        <v>0</v>
      </c>
      <c r="K165" s="41" t="s">
        <v>115</v>
      </c>
      <c r="L165" s="74" t="s">
        <v>283</v>
      </c>
      <c r="M165" s="43"/>
    </row>
    <row r="166" spans="1:13" ht="72" x14ac:dyDescent="0.25">
      <c r="A166" s="1">
        <v>6</v>
      </c>
      <c r="B166" s="44">
        <f t="shared" si="15"/>
        <v>40</v>
      </c>
      <c r="C166" s="37" t="s">
        <v>284</v>
      </c>
      <c r="D166" s="38" t="s">
        <v>33</v>
      </c>
      <c r="E166" s="39">
        <v>1100</v>
      </c>
      <c r="F166" s="39">
        <v>1100</v>
      </c>
      <c r="G166" s="39">
        <v>1100</v>
      </c>
      <c r="H166" s="39">
        <v>1100</v>
      </c>
      <c r="I166" s="39">
        <v>1100</v>
      </c>
      <c r="J166" s="39">
        <v>0</v>
      </c>
      <c r="K166" s="41" t="s">
        <v>115</v>
      </c>
      <c r="L166" s="74" t="s">
        <v>285</v>
      </c>
      <c r="M166" s="43"/>
    </row>
    <row r="167" spans="1:13" ht="72.75" thickBot="1" x14ac:dyDescent="0.3">
      <c r="A167" s="1">
        <v>6</v>
      </c>
      <c r="B167" s="44">
        <f t="shared" si="15"/>
        <v>41</v>
      </c>
      <c r="C167" s="37" t="s">
        <v>286</v>
      </c>
      <c r="D167" s="38" t="s">
        <v>33</v>
      </c>
      <c r="E167" s="39">
        <v>554.58500000000004</v>
      </c>
      <c r="F167" s="39">
        <v>554.58500000000004</v>
      </c>
      <c r="G167" s="39">
        <v>554.58500000000004</v>
      </c>
      <c r="H167" s="39">
        <v>554.58500000000004</v>
      </c>
      <c r="I167" s="39">
        <v>554.58500000000004</v>
      </c>
      <c r="J167" s="39">
        <v>0</v>
      </c>
      <c r="K167" s="41" t="s">
        <v>115</v>
      </c>
      <c r="L167" s="74" t="s">
        <v>287</v>
      </c>
      <c r="M167" s="43"/>
    </row>
    <row r="168" spans="1:13" ht="18" x14ac:dyDescent="0.25">
      <c r="A168" s="1">
        <v>7</v>
      </c>
      <c r="B168" s="112" t="s">
        <v>288</v>
      </c>
      <c r="C168" s="113"/>
      <c r="D168" s="113"/>
      <c r="E168" s="113"/>
      <c r="F168" s="113"/>
      <c r="G168" s="113"/>
      <c r="H168" s="113"/>
      <c r="I168" s="113"/>
      <c r="J168" s="113"/>
      <c r="K168" s="113"/>
      <c r="L168" s="113"/>
      <c r="M168" s="114"/>
    </row>
    <row r="169" spans="1:13" ht="18" x14ac:dyDescent="0.25">
      <c r="A169" s="1">
        <v>7</v>
      </c>
      <c r="B169" s="21"/>
      <c r="C169" s="22" t="s">
        <v>25</v>
      </c>
      <c r="D169" s="23"/>
      <c r="E169" s="34">
        <f t="shared" ref="E169:J169" si="16">SUM(E170,E172:E261)</f>
        <v>110538.62400000001</v>
      </c>
      <c r="F169" s="34">
        <f t="shared" si="16"/>
        <v>110538.62400000001</v>
      </c>
      <c r="G169" s="34">
        <f t="shared" si="16"/>
        <v>110538.62400000001</v>
      </c>
      <c r="H169" s="34">
        <f t="shared" si="16"/>
        <v>109060.50238000002</v>
      </c>
      <c r="I169" s="34">
        <f t="shared" si="16"/>
        <v>109060.50238000002</v>
      </c>
      <c r="J169" s="34">
        <f t="shared" si="16"/>
        <v>0</v>
      </c>
      <c r="K169" s="23"/>
      <c r="L169" s="23"/>
      <c r="M169" s="26"/>
    </row>
    <row r="170" spans="1:13" ht="18" x14ac:dyDescent="0.25">
      <c r="A170" s="1">
        <v>7</v>
      </c>
      <c r="B170" s="21"/>
      <c r="C170" s="22" t="s">
        <v>22</v>
      </c>
      <c r="D170" s="23"/>
      <c r="E170" s="34">
        <v>0</v>
      </c>
      <c r="F170" s="34">
        <v>0</v>
      </c>
      <c r="G170" s="34">
        <v>0</v>
      </c>
      <c r="H170" s="34"/>
      <c r="I170" s="34"/>
      <c r="J170" s="34"/>
      <c r="K170" s="23"/>
      <c r="L170" s="23"/>
      <c r="M170" s="26"/>
    </row>
    <row r="171" spans="1:13" ht="36" x14ac:dyDescent="0.25">
      <c r="A171" s="1">
        <v>7</v>
      </c>
      <c r="B171" s="21"/>
      <c r="C171" s="22" t="s">
        <v>23</v>
      </c>
      <c r="D171" s="23"/>
      <c r="E171" s="34">
        <f t="shared" ref="E171:J171" si="17">SUM(E172:E261)</f>
        <v>110538.62400000001</v>
      </c>
      <c r="F171" s="34">
        <f t="shared" si="17"/>
        <v>110538.62400000001</v>
      </c>
      <c r="G171" s="34">
        <f t="shared" si="17"/>
        <v>110538.62400000001</v>
      </c>
      <c r="H171" s="34">
        <f t="shared" si="17"/>
        <v>109060.50238000002</v>
      </c>
      <c r="I171" s="34">
        <f t="shared" si="17"/>
        <v>109060.50238000002</v>
      </c>
      <c r="J171" s="34">
        <f t="shared" si="17"/>
        <v>0</v>
      </c>
      <c r="K171" s="23"/>
      <c r="L171" s="23"/>
      <c r="M171" s="26"/>
    </row>
    <row r="172" spans="1:13" ht="72" x14ac:dyDescent="0.25">
      <c r="A172" s="1">
        <v>7</v>
      </c>
      <c r="B172" s="36">
        <v>1</v>
      </c>
      <c r="C172" s="37" t="s">
        <v>289</v>
      </c>
      <c r="D172" s="38" t="s">
        <v>37</v>
      </c>
      <c r="E172" s="39">
        <v>400</v>
      </c>
      <c r="F172" s="39">
        <v>400</v>
      </c>
      <c r="G172" s="39">
        <v>400</v>
      </c>
      <c r="H172" s="39">
        <f>399.301+0.00038</f>
        <v>399.30137999999999</v>
      </c>
      <c r="I172" s="39">
        <f>399.301+0.00038</f>
        <v>399.30137999999999</v>
      </c>
      <c r="J172" s="39">
        <v>0</v>
      </c>
      <c r="K172" s="41" t="s">
        <v>38</v>
      </c>
      <c r="L172" s="42" t="s">
        <v>53</v>
      </c>
      <c r="M172" s="43"/>
    </row>
    <row r="173" spans="1:13" ht="54" x14ac:dyDescent="0.25">
      <c r="A173" s="1">
        <v>7</v>
      </c>
      <c r="B173" s="36">
        <f>B172+1</f>
        <v>2</v>
      </c>
      <c r="C173" s="37" t="s">
        <v>290</v>
      </c>
      <c r="D173" s="38" t="s">
        <v>37</v>
      </c>
      <c r="E173" s="39">
        <v>2000</v>
      </c>
      <c r="F173" s="39">
        <v>2000</v>
      </c>
      <c r="G173" s="39">
        <v>2000</v>
      </c>
      <c r="H173" s="39">
        <v>1728.64</v>
      </c>
      <c r="I173" s="39">
        <v>1728.64</v>
      </c>
      <c r="J173" s="39">
        <v>0</v>
      </c>
      <c r="K173" s="41" t="s">
        <v>38</v>
      </c>
      <c r="L173" s="42" t="s">
        <v>53</v>
      </c>
      <c r="M173" s="43"/>
    </row>
    <row r="174" spans="1:13" ht="54" x14ac:dyDescent="0.25">
      <c r="A174" s="1">
        <v>7</v>
      </c>
      <c r="B174" s="36">
        <f t="shared" ref="B174:B237" si="18">B173+1</f>
        <v>3</v>
      </c>
      <c r="C174" s="37" t="s">
        <v>291</v>
      </c>
      <c r="D174" s="38" t="s">
        <v>37</v>
      </c>
      <c r="E174" s="39">
        <v>400</v>
      </c>
      <c r="F174" s="39">
        <v>400</v>
      </c>
      <c r="G174" s="39">
        <v>400</v>
      </c>
      <c r="H174" s="39">
        <v>400</v>
      </c>
      <c r="I174" s="39">
        <v>400</v>
      </c>
      <c r="J174" s="39">
        <v>0</v>
      </c>
      <c r="K174" s="41" t="s">
        <v>38</v>
      </c>
      <c r="L174" s="42" t="s">
        <v>53</v>
      </c>
      <c r="M174" s="43"/>
    </row>
    <row r="175" spans="1:13" ht="54" x14ac:dyDescent="0.25">
      <c r="A175" s="1">
        <v>7</v>
      </c>
      <c r="B175" s="36">
        <f t="shared" si="18"/>
        <v>4</v>
      </c>
      <c r="C175" s="37" t="s">
        <v>292</v>
      </c>
      <c r="D175" s="38" t="s">
        <v>37</v>
      </c>
      <c r="E175" s="39">
        <v>250</v>
      </c>
      <c r="F175" s="39">
        <v>250</v>
      </c>
      <c r="G175" s="39">
        <v>250</v>
      </c>
      <c r="H175" s="39">
        <v>250</v>
      </c>
      <c r="I175" s="39">
        <v>250</v>
      </c>
      <c r="J175" s="39">
        <v>0</v>
      </c>
      <c r="K175" s="41" t="s">
        <v>38</v>
      </c>
      <c r="L175" s="42" t="s">
        <v>53</v>
      </c>
      <c r="M175" s="43"/>
    </row>
    <row r="176" spans="1:13" ht="72" x14ac:dyDescent="0.25">
      <c r="A176" s="1">
        <v>7</v>
      </c>
      <c r="B176" s="36">
        <f t="shared" si="18"/>
        <v>5</v>
      </c>
      <c r="C176" s="37" t="s">
        <v>293</v>
      </c>
      <c r="D176" s="38" t="s">
        <v>37</v>
      </c>
      <c r="E176" s="39">
        <v>500</v>
      </c>
      <c r="F176" s="39">
        <v>500</v>
      </c>
      <c r="G176" s="39">
        <v>500</v>
      </c>
      <c r="H176" s="39">
        <v>500</v>
      </c>
      <c r="I176" s="39">
        <v>500</v>
      </c>
      <c r="J176" s="39">
        <v>0</v>
      </c>
      <c r="K176" s="41" t="s">
        <v>38</v>
      </c>
      <c r="L176" s="42" t="s">
        <v>53</v>
      </c>
      <c r="M176" s="43"/>
    </row>
    <row r="177" spans="1:13" ht="54" x14ac:dyDescent="0.25">
      <c r="A177" s="1">
        <v>7</v>
      </c>
      <c r="B177" s="36">
        <f t="shared" si="18"/>
        <v>6</v>
      </c>
      <c r="C177" s="37" t="s">
        <v>294</v>
      </c>
      <c r="D177" s="38" t="s">
        <v>37</v>
      </c>
      <c r="E177" s="39">
        <v>500</v>
      </c>
      <c r="F177" s="39">
        <v>500</v>
      </c>
      <c r="G177" s="39">
        <v>500</v>
      </c>
      <c r="H177" s="39">
        <v>500</v>
      </c>
      <c r="I177" s="39">
        <v>500</v>
      </c>
      <c r="J177" s="39">
        <v>0</v>
      </c>
      <c r="K177" s="41" t="s">
        <v>38</v>
      </c>
      <c r="L177" s="42" t="s">
        <v>53</v>
      </c>
      <c r="M177" s="43"/>
    </row>
    <row r="178" spans="1:13" ht="54" x14ac:dyDescent="0.25">
      <c r="A178" s="1">
        <v>7</v>
      </c>
      <c r="B178" s="36">
        <f t="shared" si="18"/>
        <v>7</v>
      </c>
      <c r="C178" s="37" t="s">
        <v>295</v>
      </c>
      <c r="D178" s="38" t="s">
        <v>37</v>
      </c>
      <c r="E178" s="39">
        <v>500</v>
      </c>
      <c r="F178" s="39">
        <v>500</v>
      </c>
      <c r="G178" s="39">
        <v>500</v>
      </c>
      <c r="H178" s="39">
        <v>500</v>
      </c>
      <c r="I178" s="39">
        <v>500</v>
      </c>
      <c r="J178" s="39">
        <v>0</v>
      </c>
      <c r="K178" s="41" t="s">
        <v>38</v>
      </c>
      <c r="L178" s="42" t="s">
        <v>296</v>
      </c>
      <c r="M178" s="43"/>
    </row>
    <row r="179" spans="1:13" ht="54" x14ac:dyDescent="0.25">
      <c r="A179" s="1">
        <v>7</v>
      </c>
      <c r="B179" s="36">
        <f t="shared" si="18"/>
        <v>8</v>
      </c>
      <c r="C179" s="37" t="s">
        <v>297</v>
      </c>
      <c r="D179" s="38" t="s">
        <v>37</v>
      </c>
      <c r="E179" s="39">
        <v>350</v>
      </c>
      <c r="F179" s="39">
        <v>350</v>
      </c>
      <c r="G179" s="39">
        <v>350</v>
      </c>
      <c r="H179" s="39">
        <v>350</v>
      </c>
      <c r="I179" s="39">
        <v>350</v>
      </c>
      <c r="J179" s="39">
        <v>0</v>
      </c>
      <c r="K179" s="41" t="s">
        <v>38</v>
      </c>
      <c r="L179" s="42" t="s">
        <v>53</v>
      </c>
      <c r="M179" s="43"/>
    </row>
    <row r="180" spans="1:13" ht="54" x14ac:dyDescent="0.25">
      <c r="A180" s="1">
        <v>7</v>
      </c>
      <c r="B180" s="36">
        <f t="shared" si="18"/>
        <v>9</v>
      </c>
      <c r="C180" s="37" t="s">
        <v>298</v>
      </c>
      <c r="D180" s="38" t="s">
        <v>37</v>
      </c>
      <c r="E180" s="39">
        <v>200</v>
      </c>
      <c r="F180" s="39">
        <v>200</v>
      </c>
      <c r="G180" s="39">
        <v>200</v>
      </c>
      <c r="H180" s="39">
        <v>200</v>
      </c>
      <c r="I180" s="39">
        <v>200</v>
      </c>
      <c r="J180" s="39">
        <v>0</v>
      </c>
      <c r="K180" s="41" t="s">
        <v>38</v>
      </c>
      <c r="L180" s="42" t="s">
        <v>53</v>
      </c>
      <c r="M180" s="43"/>
    </row>
    <row r="181" spans="1:13" ht="72" x14ac:dyDescent="0.25">
      <c r="A181" s="1">
        <v>7</v>
      </c>
      <c r="B181" s="36">
        <f t="shared" si="18"/>
        <v>10</v>
      </c>
      <c r="C181" s="37" t="s">
        <v>299</v>
      </c>
      <c r="D181" s="38" t="s">
        <v>37</v>
      </c>
      <c r="E181" s="39">
        <v>600</v>
      </c>
      <c r="F181" s="39">
        <v>600</v>
      </c>
      <c r="G181" s="39">
        <v>600</v>
      </c>
      <c r="H181" s="39">
        <v>600</v>
      </c>
      <c r="I181" s="39">
        <v>600</v>
      </c>
      <c r="J181" s="39">
        <v>0</v>
      </c>
      <c r="K181" s="41" t="s">
        <v>38</v>
      </c>
      <c r="L181" s="42" t="s">
        <v>53</v>
      </c>
      <c r="M181" s="43"/>
    </row>
    <row r="182" spans="1:13" ht="54" x14ac:dyDescent="0.25">
      <c r="A182" s="1">
        <v>7</v>
      </c>
      <c r="B182" s="36">
        <f t="shared" si="18"/>
        <v>11</v>
      </c>
      <c r="C182" s="37" t="s">
        <v>300</v>
      </c>
      <c r="D182" s="38" t="s">
        <v>37</v>
      </c>
      <c r="E182" s="39">
        <v>270</v>
      </c>
      <c r="F182" s="39">
        <v>270</v>
      </c>
      <c r="G182" s="39">
        <v>270</v>
      </c>
      <c r="H182" s="39">
        <v>265.517</v>
      </c>
      <c r="I182" s="39">
        <v>265.517</v>
      </c>
      <c r="J182" s="39">
        <v>0</v>
      </c>
      <c r="K182" s="41" t="s">
        <v>38</v>
      </c>
      <c r="L182" s="42" t="s">
        <v>53</v>
      </c>
      <c r="M182" s="43"/>
    </row>
    <row r="183" spans="1:13" ht="54" x14ac:dyDescent="0.25">
      <c r="A183" s="1">
        <v>7</v>
      </c>
      <c r="B183" s="36">
        <f t="shared" si="18"/>
        <v>12</v>
      </c>
      <c r="C183" s="37" t="s">
        <v>301</v>
      </c>
      <c r="D183" s="38" t="s">
        <v>37</v>
      </c>
      <c r="E183" s="39">
        <v>190</v>
      </c>
      <c r="F183" s="39">
        <v>190</v>
      </c>
      <c r="G183" s="39">
        <v>190</v>
      </c>
      <c r="H183" s="39">
        <v>190</v>
      </c>
      <c r="I183" s="39">
        <v>190</v>
      </c>
      <c r="J183" s="39">
        <v>0</v>
      </c>
      <c r="K183" s="41" t="s">
        <v>38</v>
      </c>
      <c r="L183" s="42" t="s">
        <v>53</v>
      </c>
      <c r="M183" s="43"/>
    </row>
    <row r="184" spans="1:13" ht="54" x14ac:dyDescent="0.25">
      <c r="A184" s="1">
        <v>7</v>
      </c>
      <c r="B184" s="36">
        <f t="shared" si="18"/>
        <v>13</v>
      </c>
      <c r="C184" s="37" t="s">
        <v>302</v>
      </c>
      <c r="D184" s="38" t="s">
        <v>37</v>
      </c>
      <c r="E184" s="39">
        <v>750</v>
      </c>
      <c r="F184" s="39">
        <v>750</v>
      </c>
      <c r="G184" s="39">
        <v>750</v>
      </c>
      <c r="H184" s="39">
        <v>749.625</v>
      </c>
      <c r="I184" s="39">
        <v>749.625</v>
      </c>
      <c r="J184" s="39">
        <v>0</v>
      </c>
      <c r="K184" s="41" t="s">
        <v>38</v>
      </c>
      <c r="L184" s="42" t="s">
        <v>53</v>
      </c>
      <c r="M184" s="43" t="s">
        <v>303</v>
      </c>
    </row>
    <row r="185" spans="1:13" ht="54" x14ac:dyDescent="0.25">
      <c r="A185" s="1">
        <v>7</v>
      </c>
      <c r="B185" s="36">
        <f t="shared" si="18"/>
        <v>14</v>
      </c>
      <c r="C185" s="37" t="s">
        <v>304</v>
      </c>
      <c r="D185" s="38" t="s">
        <v>37</v>
      </c>
      <c r="E185" s="39">
        <v>750</v>
      </c>
      <c r="F185" s="39">
        <v>750</v>
      </c>
      <c r="G185" s="39">
        <v>750</v>
      </c>
      <c r="H185" s="39">
        <v>749.98800000000006</v>
      </c>
      <c r="I185" s="39">
        <v>749.98800000000006</v>
      </c>
      <c r="J185" s="39">
        <v>0</v>
      </c>
      <c r="K185" s="41" t="s">
        <v>38</v>
      </c>
      <c r="L185" s="42" t="s">
        <v>53</v>
      </c>
      <c r="M185" s="43"/>
    </row>
    <row r="186" spans="1:13" ht="54" x14ac:dyDescent="0.25">
      <c r="A186" s="1">
        <v>7</v>
      </c>
      <c r="B186" s="36">
        <f t="shared" si="18"/>
        <v>15</v>
      </c>
      <c r="C186" s="37" t="s">
        <v>305</v>
      </c>
      <c r="D186" s="38" t="s">
        <v>37</v>
      </c>
      <c r="E186" s="39">
        <v>400</v>
      </c>
      <c r="F186" s="39">
        <v>400</v>
      </c>
      <c r="G186" s="39">
        <v>400</v>
      </c>
      <c r="H186" s="39">
        <v>400</v>
      </c>
      <c r="I186" s="39">
        <v>400</v>
      </c>
      <c r="J186" s="39">
        <v>0</v>
      </c>
      <c r="K186" s="41" t="s">
        <v>306</v>
      </c>
      <c r="L186" s="42" t="s">
        <v>296</v>
      </c>
      <c r="M186" s="43" t="s">
        <v>307</v>
      </c>
    </row>
    <row r="187" spans="1:13" ht="72" x14ac:dyDescent="0.25">
      <c r="A187" s="1">
        <v>7</v>
      </c>
      <c r="B187" s="36">
        <f t="shared" si="18"/>
        <v>16</v>
      </c>
      <c r="C187" s="37" t="s">
        <v>308</v>
      </c>
      <c r="D187" s="38" t="s">
        <v>37</v>
      </c>
      <c r="E187" s="39">
        <v>700</v>
      </c>
      <c r="F187" s="39">
        <v>700</v>
      </c>
      <c r="G187" s="39">
        <v>700</v>
      </c>
      <c r="H187" s="39">
        <v>700</v>
      </c>
      <c r="I187" s="39">
        <v>700</v>
      </c>
      <c r="J187" s="39">
        <v>0</v>
      </c>
      <c r="K187" s="41" t="s">
        <v>38</v>
      </c>
      <c r="L187" s="42" t="s">
        <v>53</v>
      </c>
      <c r="M187" s="43"/>
    </row>
    <row r="188" spans="1:13" ht="54" x14ac:dyDescent="0.25">
      <c r="A188" s="1">
        <v>7</v>
      </c>
      <c r="B188" s="36">
        <f t="shared" si="18"/>
        <v>17</v>
      </c>
      <c r="C188" s="37" t="s">
        <v>309</v>
      </c>
      <c r="D188" s="38" t="s">
        <v>37</v>
      </c>
      <c r="E188" s="39">
        <v>550</v>
      </c>
      <c r="F188" s="39">
        <v>550</v>
      </c>
      <c r="G188" s="39">
        <v>550</v>
      </c>
      <c r="H188" s="39">
        <v>550</v>
      </c>
      <c r="I188" s="39">
        <v>550</v>
      </c>
      <c r="J188" s="39">
        <v>0</v>
      </c>
      <c r="K188" s="41" t="s">
        <v>38</v>
      </c>
      <c r="L188" s="42" t="s">
        <v>53</v>
      </c>
      <c r="M188" s="43"/>
    </row>
    <row r="189" spans="1:13" ht="54" x14ac:dyDescent="0.25">
      <c r="A189" s="1">
        <v>7</v>
      </c>
      <c r="B189" s="36">
        <f t="shared" si="18"/>
        <v>18</v>
      </c>
      <c r="C189" s="37" t="s">
        <v>310</v>
      </c>
      <c r="D189" s="38" t="s">
        <v>37</v>
      </c>
      <c r="E189" s="39">
        <v>500</v>
      </c>
      <c r="F189" s="39">
        <v>500</v>
      </c>
      <c r="G189" s="39">
        <v>500</v>
      </c>
      <c r="H189" s="39">
        <v>500</v>
      </c>
      <c r="I189" s="39">
        <v>500</v>
      </c>
      <c r="J189" s="39">
        <v>0</v>
      </c>
      <c r="K189" s="41" t="s">
        <v>306</v>
      </c>
      <c r="L189" s="42" t="s">
        <v>311</v>
      </c>
      <c r="M189" s="43" t="s">
        <v>312</v>
      </c>
    </row>
    <row r="190" spans="1:13" ht="72" x14ac:dyDescent="0.25">
      <c r="A190" s="1">
        <v>7</v>
      </c>
      <c r="B190" s="36">
        <f t="shared" si="18"/>
        <v>19</v>
      </c>
      <c r="C190" s="37" t="s">
        <v>313</v>
      </c>
      <c r="D190" s="38" t="s">
        <v>37</v>
      </c>
      <c r="E190" s="39">
        <v>7200</v>
      </c>
      <c r="F190" s="39">
        <v>7200</v>
      </c>
      <c r="G190" s="39">
        <v>7200</v>
      </c>
      <c r="H190" s="39">
        <v>7200</v>
      </c>
      <c r="I190" s="39">
        <v>7200</v>
      </c>
      <c r="J190" s="39">
        <v>0</v>
      </c>
      <c r="K190" s="41" t="s">
        <v>38</v>
      </c>
      <c r="L190" s="42" t="s">
        <v>53</v>
      </c>
      <c r="M190" s="43"/>
    </row>
    <row r="191" spans="1:13" ht="90" x14ac:dyDescent="0.25">
      <c r="A191" s="1">
        <v>7</v>
      </c>
      <c r="B191" s="36">
        <f t="shared" si="18"/>
        <v>20</v>
      </c>
      <c r="C191" s="37" t="s">
        <v>314</v>
      </c>
      <c r="D191" s="38" t="s">
        <v>37</v>
      </c>
      <c r="E191" s="39">
        <v>305</v>
      </c>
      <c r="F191" s="39">
        <v>305</v>
      </c>
      <c r="G191" s="39">
        <v>305</v>
      </c>
      <c r="H191" s="39">
        <v>305</v>
      </c>
      <c r="I191" s="39">
        <v>305</v>
      </c>
      <c r="J191" s="39">
        <v>0</v>
      </c>
      <c r="K191" s="41" t="s">
        <v>38</v>
      </c>
      <c r="L191" s="42" t="s">
        <v>53</v>
      </c>
      <c r="M191" s="43"/>
    </row>
    <row r="192" spans="1:13" ht="54" x14ac:dyDescent="0.25">
      <c r="A192" s="1">
        <v>7</v>
      </c>
      <c r="B192" s="44">
        <f t="shared" si="18"/>
        <v>21</v>
      </c>
      <c r="C192" s="37" t="s">
        <v>315</v>
      </c>
      <c r="D192" s="38" t="s">
        <v>37</v>
      </c>
      <c r="E192" s="39">
        <f>265-76.614</f>
        <v>188.386</v>
      </c>
      <c r="F192" s="39">
        <v>188.386</v>
      </c>
      <c r="G192" s="39">
        <v>188.386</v>
      </c>
      <c r="H192" s="39">
        <v>188.386</v>
      </c>
      <c r="I192" s="39">
        <v>188.386</v>
      </c>
      <c r="J192" s="39">
        <v>0</v>
      </c>
      <c r="K192" s="41" t="s">
        <v>38</v>
      </c>
      <c r="L192" s="42" t="s">
        <v>53</v>
      </c>
      <c r="M192" s="43"/>
    </row>
    <row r="193" spans="1:13" ht="54" x14ac:dyDescent="0.25">
      <c r="A193" s="1">
        <v>7</v>
      </c>
      <c r="B193" s="44">
        <f t="shared" si="18"/>
        <v>22</v>
      </c>
      <c r="C193" s="37" t="s">
        <v>316</v>
      </c>
      <c r="D193" s="38" t="s">
        <v>37</v>
      </c>
      <c r="E193" s="39">
        <f>800-277.395</f>
        <v>522.60500000000002</v>
      </c>
      <c r="F193" s="39">
        <v>522.60500000000002</v>
      </c>
      <c r="G193" s="39">
        <v>522.60500000000002</v>
      </c>
      <c r="H193" s="39">
        <v>522.60500000000002</v>
      </c>
      <c r="I193" s="39">
        <v>522.60500000000002</v>
      </c>
      <c r="J193" s="39">
        <v>0</v>
      </c>
      <c r="K193" s="41" t="s">
        <v>38</v>
      </c>
      <c r="L193" s="42" t="s">
        <v>53</v>
      </c>
      <c r="M193" s="43"/>
    </row>
    <row r="194" spans="1:13" ht="54" x14ac:dyDescent="0.25">
      <c r="A194" s="1">
        <v>7</v>
      </c>
      <c r="B194" s="36">
        <f t="shared" si="18"/>
        <v>23</v>
      </c>
      <c r="C194" s="37" t="s">
        <v>317</v>
      </c>
      <c r="D194" s="38" t="s">
        <v>37</v>
      </c>
      <c r="E194" s="39">
        <v>350</v>
      </c>
      <c r="F194" s="39">
        <v>350</v>
      </c>
      <c r="G194" s="39">
        <v>350</v>
      </c>
      <c r="H194" s="39">
        <v>350</v>
      </c>
      <c r="I194" s="39">
        <v>350</v>
      </c>
      <c r="J194" s="39">
        <v>0</v>
      </c>
      <c r="K194" s="41" t="s">
        <v>38</v>
      </c>
      <c r="L194" s="42" t="s">
        <v>53</v>
      </c>
      <c r="M194" s="43"/>
    </row>
    <row r="195" spans="1:13" ht="72" x14ac:dyDescent="0.25">
      <c r="A195" s="1">
        <v>7</v>
      </c>
      <c r="B195" s="44">
        <f t="shared" si="18"/>
        <v>24</v>
      </c>
      <c r="C195" s="37" t="s">
        <v>318</v>
      </c>
      <c r="D195" s="38" t="s">
        <v>37</v>
      </c>
      <c r="E195" s="39">
        <f>1030-14.66</f>
        <v>1015.34</v>
      </c>
      <c r="F195" s="39">
        <v>1015.34</v>
      </c>
      <c r="G195" s="39">
        <v>1015.34</v>
      </c>
      <c r="H195" s="39">
        <v>929.36800000000005</v>
      </c>
      <c r="I195" s="39">
        <v>929.36800000000005</v>
      </c>
      <c r="J195" s="39">
        <v>0</v>
      </c>
      <c r="K195" s="41" t="s">
        <v>38</v>
      </c>
      <c r="L195" s="42" t="s">
        <v>53</v>
      </c>
      <c r="M195" s="43"/>
    </row>
    <row r="196" spans="1:13" ht="90" x14ac:dyDescent="0.25">
      <c r="A196" s="1">
        <v>7</v>
      </c>
      <c r="B196" s="36">
        <f t="shared" si="18"/>
        <v>25</v>
      </c>
      <c r="C196" s="37" t="s">
        <v>319</v>
      </c>
      <c r="D196" s="38" t="s">
        <v>37</v>
      </c>
      <c r="E196" s="39">
        <v>250</v>
      </c>
      <c r="F196" s="39">
        <v>250</v>
      </c>
      <c r="G196" s="39">
        <v>250</v>
      </c>
      <c r="H196" s="39">
        <v>250</v>
      </c>
      <c r="I196" s="39">
        <v>250</v>
      </c>
      <c r="J196" s="39">
        <v>0</v>
      </c>
      <c r="K196" s="41" t="s">
        <v>38</v>
      </c>
      <c r="L196" s="42" t="s">
        <v>53</v>
      </c>
      <c r="M196" s="43"/>
    </row>
    <row r="197" spans="1:13" ht="90" x14ac:dyDescent="0.25">
      <c r="A197" s="1">
        <v>7</v>
      </c>
      <c r="B197" s="36">
        <f t="shared" si="18"/>
        <v>26</v>
      </c>
      <c r="C197" s="37" t="s">
        <v>320</v>
      </c>
      <c r="D197" s="38" t="s">
        <v>37</v>
      </c>
      <c r="E197" s="39">
        <v>650</v>
      </c>
      <c r="F197" s="39">
        <v>650</v>
      </c>
      <c r="G197" s="39">
        <v>650</v>
      </c>
      <c r="H197" s="39">
        <v>650</v>
      </c>
      <c r="I197" s="39">
        <v>650</v>
      </c>
      <c r="J197" s="39">
        <v>0</v>
      </c>
      <c r="K197" s="41" t="s">
        <v>38</v>
      </c>
      <c r="L197" s="42" t="s">
        <v>53</v>
      </c>
      <c r="M197" s="43"/>
    </row>
    <row r="198" spans="1:13" ht="108" x14ac:dyDescent="0.25">
      <c r="A198" s="1">
        <v>7</v>
      </c>
      <c r="B198" s="36">
        <f t="shared" si="18"/>
        <v>27</v>
      </c>
      <c r="C198" s="37" t="s">
        <v>321</v>
      </c>
      <c r="D198" s="38" t="s">
        <v>37</v>
      </c>
      <c r="E198" s="39">
        <v>800</v>
      </c>
      <c r="F198" s="39">
        <v>800</v>
      </c>
      <c r="G198" s="39">
        <v>800</v>
      </c>
      <c r="H198" s="39">
        <v>800</v>
      </c>
      <c r="I198" s="39">
        <v>800</v>
      </c>
      <c r="J198" s="39">
        <v>0</v>
      </c>
      <c r="K198" s="41" t="s">
        <v>38</v>
      </c>
      <c r="L198" s="42" t="s">
        <v>53</v>
      </c>
      <c r="M198" s="43"/>
    </row>
    <row r="199" spans="1:13" ht="90" x14ac:dyDescent="0.25">
      <c r="A199" s="1">
        <v>7</v>
      </c>
      <c r="B199" s="36">
        <f t="shared" si="18"/>
        <v>28</v>
      </c>
      <c r="C199" s="37" t="s">
        <v>322</v>
      </c>
      <c r="D199" s="38" t="s">
        <v>37</v>
      </c>
      <c r="E199" s="39">
        <v>500</v>
      </c>
      <c r="F199" s="39">
        <v>500</v>
      </c>
      <c r="G199" s="39">
        <v>500</v>
      </c>
      <c r="H199" s="39">
        <v>499.96499999999997</v>
      </c>
      <c r="I199" s="39">
        <v>499.96499999999997</v>
      </c>
      <c r="J199" s="39">
        <v>0</v>
      </c>
      <c r="K199" s="41" t="s">
        <v>38</v>
      </c>
      <c r="L199" s="42" t="s">
        <v>53</v>
      </c>
      <c r="M199" s="43"/>
    </row>
    <row r="200" spans="1:13" ht="72" x14ac:dyDescent="0.25">
      <c r="A200" s="1">
        <v>7</v>
      </c>
      <c r="B200" s="44">
        <f t="shared" si="18"/>
        <v>29</v>
      </c>
      <c r="C200" s="37" t="s">
        <v>323</v>
      </c>
      <c r="D200" s="38" t="s">
        <v>37</v>
      </c>
      <c r="E200" s="39">
        <f>490-126.748</f>
        <v>363.25200000000001</v>
      </c>
      <c r="F200" s="39">
        <v>363.25200000000001</v>
      </c>
      <c r="G200" s="39">
        <v>363.25200000000001</v>
      </c>
      <c r="H200" s="39">
        <v>363.25200000000001</v>
      </c>
      <c r="I200" s="39">
        <v>363.25200000000001</v>
      </c>
      <c r="J200" s="39">
        <v>0</v>
      </c>
      <c r="K200" s="41" t="s">
        <v>38</v>
      </c>
      <c r="L200" s="42" t="s">
        <v>53</v>
      </c>
      <c r="M200" s="43"/>
    </row>
    <row r="201" spans="1:13" ht="72" x14ac:dyDescent="0.25">
      <c r="A201" s="1">
        <v>7</v>
      </c>
      <c r="B201" s="36">
        <f t="shared" si="18"/>
        <v>30</v>
      </c>
      <c r="C201" s="37" t="s">
        <v>324</v>
      </c>
      <c r="D201" s="38" t="s">
        <v>37</v>
      </c>
      <c r="E201" s="39">
        <v>500</v>
      </c>
      <c r="F201" s="39">
        <v>500</v>
      </c>
      <c r="G201" s="39">
        <v>500</v>
      </c>
      <c r="H201" s="39">
        <v>500</v>
      </c>
      <c r="I201" s="39">
        <v>500</v>
      </c>
      <c r="J201" s="39">
        <v>0</v>
      </c>
      <c r="K201" s="41" t="s">
        <v>38</v>
      </c>
      <c r="L201" s="42" t="s">
        <v>53</v>
      </c>
      <c r="M201" s="43"/>
    </row>
    <row r="202" spans="1:13" ht="54" x14ac:dyDescent="0.25">
      <c r="A202" s="1">
        <v>7</v>
      </c>
      <c r="B202" s="44">
        <f t="shared" si="18"/>
        <v>31</v>
      </c>
      <c r="C202" s="37" t="s">
        <v>325</v>
      </c>
      <c r="D202" s="38" t="s">
        <v>37</v>
      </c>
      <c r="E202" s="39">
        <f>7840-1469.286</f>
        <v>6370.7139999999999</v>
      </c>
      <c r="F202" s="39">
        <v>6370.7139999999999</v>
      </c>
      <c r="G202" s="39">
        <v>6370.7139999999999</v>
      </c>
      <c r="H202" s="39">
        <v>6370.7139999999999</v>
      </c>
      <c r="I202" s="39">
        <v>6370.7139999999999</v>
      </c>
      <c r="J202" s="39">
        <v>0</v>
      </c>
      <c r="K202" s="41" t="s">
        <v>38</v>
      </c>
      <c r="L202" s="42" t="s">
        <v>53</v>
      </c>
      <c r="M202" s="43"/>
    </row>
    <row r="203" spans="1:13" ht="72" x14ac:dyDescent="0.25">
      <c r="A203" s="1">
        <v>7</v>
      </c>
      <c r="B203" s="36">
        <f t="shared" si="18"/>
        <v>32</v>
      </c>
      <c r="C203" s="37" t="s">
        <v>326</v>
      </c>
      <c r="D203" s="38" t="s">
        <v>37</v>
      </c>
      <c r="E203" s="39">
        <v>345</v>
      </c>
      <c r="F203" s="39">
        <v>345</v>
      </c>
      <c r="G203" s="39">
        <v>345</v>
      </c>
      <c r="H203" s="39">
        <v>309.452</v>
      </c>
      <c r="I203" s="39">
        <v>309.452</v>
      </c>
      <c r="J203" s="39">
        <v>0</v>
      </c>
      <c r="K203" s="41" t="s">
        <v>38</v>
      </c>
      <c r="L203" s="42" t="s">
        <v>53</v>
      </c>
      <c r="M203" s="43"/>
    </row>
    <row r="204" spans="1:13" ht="54" x14ac:dyDescent="0.25">
      <c r="A204" s="1">
        <v>7</v>
      </c>
      <c r="B204" s="36">
        <f t="shared" si="18"/>
        <v>33</v>
      </c>
      <c r="C204" s="37" t="s">
        <v>327</v>
      </c>
      <c r="D204" s="38" t="s">
        <v>37</v>
      </c>
      <c r="E204" s="39">
        <v>740</v>
      </c>
      <c r="F204" s="39">
        <v>740</v>
      </c>
      <c r="G204" s="39">
        <v>740</v>
      </c>
      <c r="H204" s="39">
        <v>732.30200000000002</v>
      </c>
      <c r="I204" s="39">
        <v>732.30200000000002</v>
      </c>
      <c r="J204" s="39">
        <v>0</v>
      </c>
      <c r="K204" s="41" t="s">
        <v>38</v>
      </c>
      <c r="L204" s="42" t="s">
        <v>53</v>
      </c>
      <c r="M204" s="43"/>
    </row>
    <row r="205" spans="1:13" ht="54" x14ac:dyDescent="0.25">
      <c r="A205" s="1">
        <v>7</v>
      </c>
      <c r="B205" s="36">
        <f t="shared" si="18"/>
        <v>34</v>
      </c>
      <c r="C205" s="37" t="s">
        <v>328</v>
      </c>
      <c r="D205" s="38" t="s">
        <v>37</v>
      </c>
      <c r="E205" s="39">
        <v>835</v>
      </c>
      <c r="F205" s="39">
        <v>835</v>
      </c>
      <c r="G205" s="39">
        <v>835</v>
      </c>
      <c r="H205" s="39">
        <v>827.54399999999998</v>
      </c>
      <c r="I205" s="39">
        <v>827.54399999999998</v>
      </c>
      <c r="J205" s="39">
        <v>0</v>
      </c>
      <c r="K205" s="41" t="s">
        <v>38</v>
      </c>
      <c r="L205" s="42" t="s">
        <v>53</v>
      </c>
      <c r="M205" s="43"/>
    </row>
    <row r="206" spans="1:13" ht="108" x14ac:dyDescent="0.25">
      <c r="A206" s="1">
        <v>7</v>
      </c>
      <c r="B206" s="36">
        <f t="shared" si="18"/>
        <v>35</v>
      </c>
      <c r="C206" s="37" t="s">
        <v>329</v>
      </c>
      <c r="D206" s="38" t="s">
        <v>330</v>
      </c>
      <c r="E206" s="39">
        <v>1000</v>
      </c>
      <c r="F206" s="39">
        <v>1000</v>
      </c>
      <c r="G206" s="39">
        <v>1000</v>
      </c>
      <c r="H206" s="39">
        <v>1000</v>
      </c>
      <c r="I206" s="39">
        <v>1000</v>
      </c>
      <c r="J206" s="39">
        <v>0</v>
      </c>
      <c r="K206" s="41" t="s">
        <v>331</v>
      </c>
      <c r="L206" s="42"/>
      <c r="M206" s="43"/>
    </row>
    <row r="207" spans="1:13" ht="72" x14ac:dyDescent="0.25">
      <c r="A207" s="1">
        <v>7</v>
      </c>
      <c r="B207" s="36">
        <f t="shared" si="18"/>
        <v>36</v>
      </c>
      <c r="C207" s="37" t="s">
        <v>332</v>
      </c>
      <c r="D207" s="38" t="s">
        <v>37</v>
      </c>
      <c r="E207" s="39">
        <v>170</v>
      </c>
      <c r="F207" s="39">
        <v>170</v>
      </c>
      <c r="G207" s="39">
        <v>170</v>
      </c>
      <c r="H207" s="39">
        <v>166.756</v>
      </c>
      <c r="I207" s="39">
        <v>166.756</v>
      </c>
      <c r="J207" s="39">
        <v>0</v>
      </c>
      <c r="K207" s="41" t="s">
        <v>38</v>
      </c>
      <c r="L207" s="42" t="s">
        <v>53</v>
      </c>
      <c r="M207" s="43"/>
    </row>
    <row r="208" spans="1:13" ht="108" x14ac:dyDescent="0.25">
      <c r="A208" s="1">
        <v>7</v>
      </c>
      <c r="B208" s="36">
        <f t="shared" si="18"/>
        <v>37</v>
      </c>
      <c r="C208" s="37" t="s">
        <v>333</v>
      </c>
      <c r="D208" s="38" t="s">
        <v>37</v>
      </c>
      <c r="E208" s="39">
        <v>11535</v>
      </c>
      <c r="F208" s="39">
        <v>11535</v>
      </c>
      <c r="G208" s="39">
        <v>11535</v>
      </c>
      <c r="H208" s="39">
        <v>11535</v>
      </c>
      <c r="I208" s="39">
        <v>11535</v>
      </c>
      <c r="J208" s="39">
        <v>0</v>
      </c>
      <c r="K208" s="41" t="s">
        <v>38</v>
      </c>
      <c r="L208" s="42" t="s">
        <v>53</v>
      </c>
      <c r="M208" s="43"/>
    </row>
    <row r="209" spans="1:13" ht="72" x14ac:dyDescent="0.25">
      <c r="A209" s="1">
        <v>7</v>
      </c>
      <c r="B209" s="36">
        <f t="shared" si="18"/>
        <v>38</v>
      </c>
      <c r="C209" s="37" t="s">
        <v>334</v>
      </c>
      <c r="D209" s="38" t="s">
        <v>33</v>
      </c>
      <c r="E209" s="39">
        <v>1500</v>
      </c>
      <c r="F209" s="39">
        <v>1500</v>
      </c>
      <c r="G209" s="39">
        <v>1500</v>
      </c>
      <c r="H209" s="39">
        <v>1500</v>
      </c>
      <c r="I209" s="39">
        <v>1500</v>
      </c>
      <c r="J209" s="39">
        <v>0</v>
      </c>
      <c r="K209" s="41" t="s">
        <v>28</v>
      </c>
      <c r="L209" s="42"/>
      <c r="M209" s="43"/>
    </row>
    <row r="210" spans="1:13" ht="90" x14ac:dyDescent="0.25">
      <c r="A210" s="1">
        <v>7</v>
      </c>
      <c r="B210" s="36">
        <f t="shared" si="18"/>
        <v>39</v>
      </c>
      <c r="C210" s="37" t="s">
        <v>335</v>
      </c>
      <c r="D210" s="38" t="s">
        <v>37</v>
      </c>
      <c r="E210" s="39">
        <v>800</v>
      </c>
      <c r="F210" s="39">
        <v>800</v>
      </c>
      <c r="G210" s="39">
        <v>800</v>
      </c>
      <c r="H210" s="39">
        <v>800</v>
      </c>
      <c r="I210" s="39">
        <v>800</v>
      </c>
      <c r="J210" s="39">
        <v>0</v>
      </c>
      <c r="K210" s="41" t="s">
        <v>38</v>
      </c>
      <c r="L210" s="42" t="s">
        <v>53</v>
      </c>
      <c r="M210" s="43"/>
    </row>
    <row r="211" spans="1:13" ht="90" x14ac:dyDescent="0.25">
      <c r="A211" s="1">
        <v>7</v>
      </c>
      <c r="B211" s="36">
        <f t="shared" si="18"/>
        <v>40</v>
      </c>
      <c r="C211" s="37" t="s">
        <v>336</v>
      </c>
      <c r="D211" s="38" t="s">
        <v>37</v>
      </c>
      <c r="E211" s="39">
        <v>700</v>
      </c>
      <c r="F211" s="39">
        <v>700</v>
      </c>
      <c r="G211" s="39">
        <v>700</v>
      </c>
      <c r="H211" s="39">
        <v>700</v>
      </c>
      <c r="I211" s="39">
        <v>700</v>
      </c>
      <c r="J211" s="39">
        <v>0</v>
      </c>
      <c r="K211" s="41" t="s">
        <v>38</v>
      </c>
      <c r="L211" s="42" t="s">
        <v>53</v>
      </c>
      <c r="M211" s="43"/>
    </row>
    <row r="212" spans="1:13" ht="72" x14ac:dyDescent="0.25">
      <c r="A212" s="1">
        <v>7</v>
      </c>
      <c r="B212" s="44">
        <f t="shared" si="18"/>
        <v>41</v>
      </c>
      <c r="C212" s="37" t="s">
        <v>337</v>
      </c>
      <c r="D212" s="38" t="s">
        <v>33</v>
      </c>
      <c r="E212" s="39">
        <f>2086.928+493.63</f>
        <v>2580.558</v>
      </c>
      <c r="F212" s="39">
        <v>2580.558</v>
      </c>
      <c r="G212" s="39">
        <v>2580.558</v>
      </c>
      <c r="H212" s="39">
        <v>2580.558</v>
      </c>
      <c r="I212" s="39">
        <v>2580.558</v>
      </c>
      <c r="J212" s="39">
        <v>0</v>
      </c>
      <c r="K212" s="41" t="s">
        <v>100</v>
      </c>
      <c r="L212" s="42"/>
      <c r="M212" s="43"/>
    </row>
    <row r="213" spans="1:13" ht="54" x14ac:dyDescent="0.25">
      <c r="A213" s="1">
        <v>7</v>
      </c>
      <c r="B213" s="36">
        <f t="shared" si="18"/>
        <v>42</v>
      </c>
      <c r="C213" s="37" t="s">
        <v>338</v>
      </c>
      <c r="D213" s="38" t="s">
        <v>37</v>
      </c>
      <c r="E213" s="39">
        <v>600</v>
      </c>
      <c r="F213" s="39">
        <v>600</v>
      </c>
      <c r="G213" s="39">
        <v>600</v>
      </c>
      <c r="H213" s="39">
        <v>600</v>
      </c>
      <c r="I213" s="39">
        <v>600</v>
      </c>
      <c r="J213" s="39">
        <v>0</v>
      </c>
      <c r="K213" s="41" t="s">
        <v>38</v>
      </c>
      <c r="L213" s="42" t="s">
        <v>53</v>
      </c>
      <c r="M213" s="43"/>
    </row>
    <row r="214" spans="1:13" ht="54" x14ac:dyDescent="0.25">
      <c r="A214" s="1">
        <v>7</v>
      </c>
      <c r="B214" s="36">
        <f t="shared" si="18"/>
        <v>43</v>
      </c>
      <c r="C214" s="37" t="s">
        <v>339</v>
      </c>
      <c r="D214" s="38" t="s">
        <v>37</v>
      </c>
      <c r="E214" s="39">
        <v>400</v>
      </c>
      <c r="F214" s="39">
        <v>400</v>
      </c>
      <c r="G214" s="39">
        <v>400</v>
      </c>
      <c r="H214" s="39">
        <v>399.99900000000002</v>
      </c>
      <c r="I214" s="39">
        <v>399.99900000000002</v>
      </c>
      <c r="J214" s="39">
        <v>0</v>
      </c>
      <c r="K214" s="41" t="s">
        <v>38</v>
      </c>
      <c r="L214" s="42" t="s">
        <v>53</v>
      </c>
      <c r="M214" s="43"/>
    </row>
    <row r="215" spans="1:13" ht="54" x14ac:dyDescent="0.25">
      <c r="A215" s="1">
        <v>7</v>
      </c>
      <c r="B215" s="36">
        <f t="shared" si="18"/>
        <v>44</v>
      </c>
      <c r="C215" s="37" t="s">
        <v>340</v>
      </c>
      <c r="D215" s="38" t="s">
        <v>37</v>
      </c>
      <c r="E215" s="39">
        <v>194.15799999999999</v>
      </c>
      <c r="F215" s="39">
        <v>194.15799999999999</v>
      </c>
      <c r="G215" s="39">
        <v>194.15799999999999</v>
      </c>
      <c r="H215" s="39">
        <v>194.15799999999999</v>
      </c>
      <c r="I215" s="39">
        <v>194.15799999999999</v>
      </c>
      <c r="J215" s="39">
        <v>0</v>
      </c>
      <c r="K215" s="41" t="s">
        <v>38</v>
      </c>
      <c r="L215" s="42" t="s">
        <v>53</v>
      </c>
      <c r="M215" s="43" t="s">
        <v>341</v>
      </c>
    </row>
    <row r="216" spans="1:13" ht="72" x14ac:dyDescent="0.25">
      <c r="A216" s="1">
        <v>7</v>
      </c>
      <c r="B216" s="36">
        <f t="shared" si="18"/>
        <v>45</v>
      </c>
      <c r="C216" s="37" t="s">
        <v>342</v>
      </c>
      <c r="D216" s="38" t="s">
        <v>37</v>
      </c>
      <c r="E216" s="39">
        <v>900</v>
      </c>
      <c r="F216" s="39">
        <v>900</v>
      </c>
      <c r="G216" s="39">
        <v>900</v>
      </c>
      <c r="H216" s="39">
        <v>900</v>
      </c>
      <c r="I216" s="39">
        <v>900</v>
      </c>
      <c r="J216" s="39">
        <v>0</v>
      </c>
      <c r="K216" s="41" t="s">
        <v>38</v>
      </c>
      <c r="L216" s="42" t="s">
        <v>53</v>
      </c>
      <c r="M216" s="43"/>
    </row>
    <row r="217" spans="1:13" ht="54" x14ac:dyDescent="0.25">
      <c r="A217" s="1">
        <v>7</v>
      </c>
      <c r="B217" s="36">
        <f t="shared" si="18"/>
        <v>46</v>
      </c>
      <c r="C217" s="37" t="s">
        <v>343</v>
      </c>
      <c r="D217" s="38" t="s">
        <v>37</v>
      </c>
      <c r="E217" s="39">
        <v>250</v>
      </c>
      <c r="F217" s="39">
        <v>250</v>
      </c>
      <c r="G217" s="39">
        <v>250</v>
      </c>
      <c r="H217" s="39">
        <v>250</v>
      </c>
      <c r="I217" s="39">
        <v>250</v>
      </c>
      <c r="J217" s="39">
        <v>0</v>
      </c>
      <c r="K217" s="41" t="s">
        <v>38</v>
      </c>
      <c r="L217" s="42" t="s">
        <v>53</v>
      </c>
      <c r="M217" s="43"/>
    </row>
    <row r="218" spans="1:13" ht="54" x14ac:dyDescent="0.25">
      <c r="A218" s="1">
        <v>7</v>
      </c>
      <c r="B218" s="36">
        <f t="shared" si="18"/>
        <v>47</v>
      </c>
      <c r="C218" s="37" t="s">
        <v>344</v>
      </c>
      <c r="D218" s="38" t="s">
        <v>37</v>
      </c>
      <c r="E218" s="39">
        <v>430.98899999999998</v>
      </c>
      <c r="F218" s="39">
        <v>430.98899999999998</v>
      </c>
      <c r="G218" s="39">
        <v>430.98899999999998</v>
      </c>
      <c r="H218" s="39">
        <v>430.98899999999998</v>
      </c>
      <c r="I218" s="39">
        <v>430.98899999999998</v>
      </c>
      <c r="J218" s="39">
        <v>0</v>
      </c>
      <c r="K218" s="41" t="s">
        <v>38</v>
      </c>
      <c r="L218" s="42" t="s">
        <v>53</v>
      </c>
      <c r="M218" s="43"/>
    </row>
    <row r="219" spans="1:13" ht="72" x14ac:dyDescent="0.25">
      <c r="A219" s="1">
        <v>7</v>
      </c>
      <c r="B219" s="44">
        <f t="shared" si="18"/>
        <v>48</v>
      </c>
      <c r="C219" s="37" t="s">
        <v>345</v>
      </c>
      <c r="D219" s="38" t="s">
        <v>37</v>
      </c>
      <c r="E219" s="39">
        <f>590.467-59.601</f>
        <v>530.86599999999999</v>
      </c>
      <c r="F219" s="39">
        <v>530.86599999999999</v>
      </c>
      <c r="G219" s="39">
        <v>530.86599999999999</v>
      </c>
      <c r="H219" s="39">
        <v>530.86599999999999</v>
      </c>
      <c r="I219" s="39">
        <v>530.86599999999999</v>
      </c>
      <c r="J219" s="39">
        <v>0</v>
      </c>
      <c r="K219" s="41" t="s">
        <v>38</v>
      </c>
      <c r="L219" s="42" t="s">
        <v>53</v>
      </c>
      <c r="M219" s="43"/>
    </row>
    <row r="220" spans="1:13" ht="72" x14ac:dyDescent="0.25">
      <c r="A220" s="1">
        <v>7</v>
      </c>
      <c r="B220" s="44">
        <f t="shared" si="18"/>
        <v>49</v>
      </c>
      <c r="C220" s="37" t="s">
        <v>346</v>
      </c>
      <c r="D220" s="38" t="s">
        <v>37</v>
      </c>
      <c r="E220" s="39">
        <f>576.803-15.226</f>
        <v>561.577</v>
      </c>
      <c r="F220" s="39">
        <v>561.577</v>
      </c>
      <c r="G220" s="39">
        <v>561.577</v>
      </c>
      <c r="H220" s="39">
        <v>561.577</v>
      </c>
      <c r="I220" s="39">
        <v>561.577</v>
      </c>
      <c r="J220" s="39">
        <v>0</v>
      </c>
      <c r="K220" s="41" t="s">
        <v>38</v>
      </c>
      <c r="L220" s="42" t="s">
        <v>53</v>
      </c>
      <c r="M220" s="43"/>
    </row>
    <row r="221" spans="1:13" ht="72" x14ac:dyDescent="0.25">
      <c r="A221" s="1">
        <v>7</v>
      </c>
      <c r="B221" s="44">
        <f t="shared" si="18"/>
        <v>50</v>
      </c>
      <c r="C221" s="37" t="s">
        <v>347</v>
      </c>
      <c r="D221" s="38" t="s">
        <v>33</v>
      </c>
      <c r="E221" s="39">
        <f>3000+1469.286</f>
        <v>4469.2860000000001</v>
      </c>
      <c r="F221" s="39">
        <v>4469.2860000000001</v>
      </c>
      <c r="G221" s="39">
        <v>4469.2860000000001</v>
      </c>
      <c r="H221" s="39">
        <v>4469.2860000000001</v>
      </c>
      <c r="I221" s="39">
        <v>4469.2860000000001</v>
      </c>
      <c r="J221" s="39">
        <v>0</v>
      </c>
      <c r="K221" s="41" t="s">
        <v>100</v>
      </c>
      <c r="L221" s="42"/>
      <c r="M221" s="43"/>
    </row>
    <row r="222" spans="1:13" ht="72" x14ac:dyDescent="0.25">
      <c r="A222" s="1">
        <v>7</v>
      </c>
      <c r="B222" s="36">
        <f t="shared" si="18"/>
        <v>51</v>
      </c>
      <c r="C222" s="37" t="s">
        <v>348</v>
      </c>
      <c r="D222" s="38" t="s">
        <v>37</v>
      </c>
      <c r="E222" s="39">
        <v>500</v>
      </c>
      <c r="F222" s="39">
        <v>500</v>
      </c>
      <c r="G222" s="39">
        <v>500</v>
      </c>
      <c r="H222" s="39">
        <v>500</v>
      </c>
      <c r="I222" s="39">
        <v>500</v>
      </c>
      <c r="J222" s="39">
        <v>0</v>
      </c>
      <c r="K222" s="41" t="s">
        <v>38</v>
      </c>
      <c r="L222" s="42" t="s">
        <v>53</v>
      </c>
      <c r="M222" s="43"/>
    </row>
    <row r="223" spans="1:13" ht="54" x14ac:dyDescent="0.25">
      <c r="A223" s="1">
        <v>7</v>
      </c>
      <c r="B223" s="36">
        <f t="shared" si="18"/>
        <v>52</v>
      </c>
      <c r="C223" s="37" t="s">
        <v>349</v>
      </c>
      <c r="D223" s="38" t="s">
        <v>37</v>
      </c>
      <c r="E223" s="39">
        <v>480</v>
      </c>
      <c r="F223" s="39">
        <v>480</v>
      </c>
      <c r="G223" s="39">
        <v>480</v>
      </c>
      <c r="H223" s="39">
        <v>480</v>
      </c>
      <c r="I223" s="39">
        <v>480</v>
      </c>
      <c r="J223" s="39">
        <v>0</v>
      </c>
      <c r="K223" s="41" t="s">
        <v>38</v>
      </c>
      <c r="L223" s="42" t="s">
        <v>53</v>
      </c>
      <c r="M223" s="43"/>
    </row>
    <row r="224" spans="1:13" ht="72" x14ac:dyDescent="0.25">
      <c r="A224" s="1">
        <v>7</v>
      </c>
      <c r="B224" s="36">
        <f t="shared" si="18"/>
        <v>53</v>
      </c>
      <c r="C224" s="37" t="s">
        <v>350</v>
      </c>
      <c r="D224" s="38" t="s">
        <v>37</v>
      </c>
      <c r="E224" s="39">
        <v>250</v>
      </c>
      <c r="F224" s="39">
        <v>250</v>
      </c>
      <c r="G224" s="39">
        <v>250</v>
      </c>
      <c r="H224" s="39">
        <v>250</v>
      </c>
      <c r="I224" s="39">
        <v>250</v>
      </c>
      <c r="J224" s="39">
        <v>0</v>
      </c>
      <c r="K224" s="41" t="s">
        <v>38</v>
      </c>
      <c r="L224" s="42" t="s">
        <v>53</v>
      </c>
      <c r="M224" s="43"/>
    </row>
    <row r="225" spans="1:13" ht="54" x14ac:dyDescent="0.25">
      <c r="A225" s="1">
        <v>7</v>
      </c>
      <c r="B225" s="36">
        <f t="shared" si="18"/>
        <v>54</v>
      </c>
      <c r="C225" s="37" t="s">
        <v>351</v>
      </c>
      <c r="D225" s="38" t="s">
        <v>37</v>
      </c>
      <c r="E225" s="39">
        <v>1192.1569999999999</v>
      </c>
      <c r="F225" s="39">
        <v>1192.1569999999999</v>
      </c>
      <c r="G225" s="39">
        <v>1192.1569999999999</v>
      </c>
      <c r="H225" s="39">
        <v>1192.1569999999999</v>
      </c>
      <c r="I225" s="39">
        <v>1192.1569999999999</v>
      </c>
      <c r="J225" s="39">
        <v>0</v>
      </c>
      <c r="K225" s="41" t="s">
        <v>38</v>
      </c>
      <c r="L225" s="42" t="s">
        <v>53</v>
      </c>
      <c r="M225" s="43"/>
    </row>
    <row r="226" spans="1:13" ht="72" x14ac:dyDescent="0.25">
      <c r="A226" s="1">
        <v>7</v>
      </c>
      <c r="B226" s="36">
        <f t="shared" si="18"/>
        <v>55</v>
      </c>
      <c r="C226" s="37" t="s">
        <v>352</v>
      </c>
      <c r="D226" s="38" t="s">
        <v>37</v>
      </c>
      <c r="E226" s="39">
        <v>800</v>
      </c>
      <c r="F226" s="39">
        <v>800</v>
      </c>
      <c r="G226" s="39">
        <v>800</v>
      </c>
      <c r="H226" s="39">
        <v>800</v>
      </c>
      <c r="I226" s="39">
        <v>800</v>
      </c>
      <c r="J226" s="39">
        <v>0</v>
      </c>
      <c r="K226" s="41" t="s">
        <v>38</v>
      </c>
      <c r="L226" s="42" t="s">
        <v>53</v>
      </c>
      <c r="M226" s="43"/>
    </row>
    <row r="227" spans="1:13" ht="54" x14ac:dyDescent="0.25">
      <c r="A227" s="1">
        <v>7</v>
      </c>
      <c r="B227" s="36">
        <f t="shared" si="18"/>
        <v>56</v>
      </c>
      <c r="C227" s="37" t="s">
        <v>353</v>
      </c>
      <c r="D227" s="38" t="s">
        <v>37</v>
      </c>
      <c r="E227" s="39">
        <v>640</v>
      </c>
      <c r="F227" s="39">
        <v>640</v>
      </c>
      <c r="G227" s="39">
        <v>640</v>
      </c>
      <c r="H227" s="39">
        <v>640</v>
      </c>
      <c r="I227" s="39">
        <v>640</v>
      </c>
      <c r="J227" s="39">
        <v>0</v>
      </c>
      <c r="K227" s="41" t="s">
        <v>38</v>
      </c>
      <c r="L227" s="42" t="s">
        <v>53</v>
      </c>
      <c r="M227" s="43"/>
    </row>
    <row r="228" spans="1:13" ht="72" x14ac:dyDescent="0.25">
      <c r="A228" s="1">
        <v>7</v>
      </c>
      <c r="B228" s="36">
        <f t="shared" si="18"/>
        <v>57</v>
      </c>
      <c r="C228" s="37" t="s">
        <v>354</v>
      </c>
      <c r="D228" s="38" t="s">
        <v>37</v>
      </c>
      <c r="E228" s="39">
        <v>2170</v>
      </c>
      <c r="F228" s="39">
        <v>2170</v>
      </c>
      <c r="G228" s="39">
        <v>2170</v>
      </c>
      <c r="H228" s="39">
        <v>2170</v>
      </c>
      <c r="I228" s="39">
        <v>2170</v>
      </c>
      <c r="J228" s="39">
        <v>0</v>
      </c>
      <c r="K228" s="41" t="s">
        <v>38</v>
      </c>
      <c r="L228" s="42" t="s">
        <v>53</v>
      </c>
      <c r="M228" s="43"/>
    </row>
    <row r="229" spans="1:13" ht="54" x14ac:dyDescent="0.25">
      <c r="A229" s="1">
        <v>7</v>
      </c>
      <c r="B229" s="36">
        <f t="shared" si="18"/>
        <v>58</v>
      </c>
      <c r="C229" s="37" t="s">
        <v>355</v>
      </c>
      <c r="D229" s="38" t="s">
        <v>37</v>
      </c>
      <c r="E229" s="39">
        <v>1100</v>
      </c>
      <c r="F229" s="39">
        <v>1100</v>
      </c>
      <c r="G229" s="39">
        <v>1100</v>
      </c>
      <c r="H229" s="39">
        <v>1087.4559999999999</v>
      </c>
      <c r="I229" s="39">
        <v>1087.4559999999999</v>
      </c>
      <c r="J229" s="39">
        <v>0</v>
      </c>
      <c r="K229" s="41" t="s">
        <v>38</v>
      </c>
      <c r="L229" s="42" t="s">
        <v>53</v>
      </c>
      <c r="M229" s="43"/>
    </row>
    <row r="230" spans="1:13" ht="90" x14ac:dyDescent="0.25">
      <c r="A230" s="1">
        <v>7</v>
      </c>
      <c r="B230" s="36">
        <f t="shared" si="18"/>
        <v>59</v>
      </c>
      <c r="C230" s="37" t="s">
        <v>356</v>
      </c>
      <c r="D230" s="38" t="s">
        <v>37</v>
      </c>
      <c r="E230" s="39">
        <v>750.4</v>
      </c>
      <c r="F230" s="39">
        <v>750.4</v>
      </c>
      <c r="G230" s="39">
        <v>750.4</v>
      </c>
      <c r="H230" s="39">
        <v>750.4</v>
      </c>
      <c r="I230" s="39">
        <v>750.4</v>
      </c>
      <c r="J230" s="39">
        <v>0</v>
      </c>
      <c r="K230" s="41" t="s">
        <v>38</v>
      </c>
      <c r="L230" s="42" t="s">
        <v>53</v>
      </c>
      <c r="M230" s="43"/>
    </row>
    <row r="231" spans="1:13" ht="108" x14ac:dyDescent="0.25">
      <c r="A231" s="1">
        <v>7</v>
      </c>
      <c r="B231" s="36">
        <f t="shared" si="18"/>
        <v>60</v>
      </c>
      <c r="C231" s="37" t="s">
        <v>357</v>
      </c>
      <c r="D231" s="38" t="s">
        <v>37</v>
      </c>
      <c r="E231" s="39">
        <v>3500</v>
      </c>
      <c r="F231" s="39">
        <v>3500</v>
      </c>
      <c r="G231" s="39">
        <v>3500</v>
      </c>
      <c r="H231" s="39">
        <v>3222.1460000000002</v>
      </c>
      <c r="I231" s="39">
        <v>3222.1460000000002</v>
      </c>
      <c r="J231" s="39">
        <v>0</v>
      </c>
      <c r="K231" s="41" t="s">
        <v>38</v>
      </c>
      <c r="L231" s="42" t="s">
        <v>53</v>
      </c>
      <c r="M231" s="43"/>
    </row>
    <row r="232" spans="1:13" ht="54" x14ac:dyDescent="0.25">
      <c r="A232" s="1">
        <v>7</v>
      </c>
      <c r="B232" s="36">
        <f t="shared" si="18"/>
        <v>61</v>
      </c>
      <c r="C232" s="37" t="s">
        <v>358</v>
      </c>
      <c r="D232" s="38" t="s">
        <v>37</v>
      </c>
      <c r="E232" s="39">
        <v>280</v>
      </c>
      <c r="F232" s="39">
        <v>280</v>
      </c>
      <c r="G232" s="39">
        <v>280</v>
      </c>
      <c r="H232" s="39">
        <v>280</v>
      </c>
      <c r="I232" s="39">
        <v>280</v>
      </c>
      <c r="J232" s="39">
        <v>0</v>
      </c>
      <c r="K232" s="41" t="s">
        <v>38</v>
      </c>
      <c r="L232" s="42" t="s">
        <v>296</v>
      </c>
      <c r="M232" s="43"/>
    </row>
    <row r="233" spans="1:13" ht="72" x14ac:dyDescent="0.25">
      <c r="A233" s="1">
        <v>7</v>
      </c>
      <c r="B233" s="36">
        <f t="shared" si="18"/>
        <v>62</v>
      </c>
      <c r="C233" s="37" t="s">
        <v>359</v>
      </c>
      <c r="D233" s="38" t="s">
        <v>37</v>
      </c>
      <c r="E233" s="39">
        <v>3353.377</v>
      </c>
      <c r="F233" s="39">
        <v>3353.377</v>
      </c>
      <c r="G233" s="39">
        <v>3353.377</v>
      </c>
      <c r="H233" s="39">
        <v>3353.377</v>
      </c>
      <c r="I233" s="39">
        <v>3353.377</v>
      </c>
      <c r="J233" s="39">
        <v>0</v>
      </c>
      <c r="K233" s="41" t="s">
        <v>38</v>
      </c>
      <c r="L233" s="42" t="s">
        <v>53</v>
      </c>
      <c r="M233" s="43"/>
    </row>
    <row r="234" spans="1:13" ht="54" x14ac:dyDescent="0.25">
      <c r="A234" s="1">
        <v>7</v>
      </c>
      <c r="B234" s="36">
        <f t="shared" si="18"/>
        <v>63</v>
      </c>
      <c r="C234" s="37" t="s">
        <v>360</v>
      </c>
      <c r="D234" s="38" t="s">
        <v>37</v>
      </c>
      <c r="E234" s="39">
        <v>700</v>
      </c>
      <c r="F234" s="39">
        <v>700</v>
      </c>
      <c r="G234" s="39">
        <v>700</v>
      </c>
      <c r="H234" s="39">
        <v>700</v>
      </c>
      <c r="I234" s="39">
        <v>700</v>
      </c>
      <c r="J234" s="39">
        <v>0</v>
      </c>
      <c r="K234" s="41" t="s">
        <v>38</v>
      </c>
      <c r="L234" s="42" t="s">
        <v>361</v>
      </c>
      <c r="M234" s="43"/>
    </row>
    <row r="235" spans="1:13" ht="54" x14ac:dyDescent="0.25">
      <c r="A235" s="1">
        <v>7</v>
      </c>
      <c r="B235" s="36">
        <f t="shared" si="18"/>
        <v>64</v>
      </c>
      <c r="C235" s="37" t="s">
        <v>362</v>
      </c>
      <c r="D235" s="38" t="s">
        <v>37</v>
      </c>
      <c r="E235" s="39">
        <v>650</v>
      </c>
      <c r="F235" s="39">
        <v>650</v>
      </c>
      <c r="G235" s="39">
        <v>650</v>
      </c>
      <c r="H235" s="39">
        <v>650</v>
      </c>
      <c r="I235" s="39">
        <v>650</v>
      </c>
      <c r="J235" s="39">
        <v>0</v>
      </c>
      <c r="K235" s="41" t="s">
        <v>38</v>
      </c>
      <c r="L235" s="42" t="s">
        <v>363</v>
      </c>
      <c r="M235" s="43"/>
    </row>
    <row r="236" spans="1:13" ht="72" x14ac:dyDescent="0.25">
      <c r="A236" s="1">
        <v>7</v>
      </c>
      <c r="B236" s="36">
        <f t="shared" si="18"/>
        <v>65</v>
      </c>
      <c r="C236" s="37" t="s">
        <v>364</v>
      </c>
      <c r="D236" s="38" t="s">
        <v>33</v>
      </c>
      <c r="E236" s="39">
        <v>6000</v>
      </c>
      <c r="F236" s="39">
        <v>6000</v>
      </c>
      <c r="G236" s="39">
        <v>6000</v>
      </c>
      <c r="H236" s="39">
        <v>6000</v>
      </c>
      <c r="I236" s="39">
        <v>6000</v>
      </c>
      <c r="J236" s="39">
        <v>0</v>
      </c>
      <c r="K236" s="41" t="s">
        <v>28</v>
      </c>
      <c r="L236" s="42"/>
      <c r="M236" s="43"/>
    </row>
    <row r="237" spans="1:13" ht="54" x14ac:dyDescent="0.25">
      <c r="A237" s="1">
        <v>7</v>
      </c>
      <c r="B237" s="36">
        <f t="shared" si="18"/>
        <v>66</v>
      </c>
      <c r="C237" s="37" t="s">
        <v>365</v>
      </c>
      <c r="D237" s="38" t="s">
        <v>37</v>
      </c>
      <c r="E237" s="39">
        <v>74.361000000000004</v>
      </c>
      <c r="F237" s="39">
        <v>74.361000000000004</v>
      </c>
      <c r="G237" s="39">
        <v>74.361000000000004</v>
      </c>
      <c r="H237" s="39">
        <v>74.361000000000004</v>
      </c>
      <c r="I237" s="39">
        <v>74.361000000000004</v>
      </c>
      <c r="J237" s="39">
        <v>0</v>
      </c>
      <c r="K237" s="41" t="s">
        <v>38</v>
      </c>
      <c r="L237" s="42" t="s">
        <v>53</v>
      </c>
      <c r="M237" s="43"/>
    </row>
    <row r="238" spans="1:13" ht="54" x14ac:dyDescent="0.25">
      <c r="A238" s="1">
        <v>7</v>
      </c>
      <c r="B238" s="36">
        <f t="shared" ref="B238:B261" si="19">B237+1</f>
        <v>67</v>
      </c>
      <c r="C238" s="37" t="s">
        <v>366</v>
      </c>
      <c r="D238" s="38" t="s">
        <v>37</v>
      </c>
      <c r="E238" s="39">
        <v>630.24800000000005</v>
      </c>
      <c r="F238" s="39">
        <v>630.24800000000005</v>
      </c>
      <c r="G238" s="39">
        <v>630.24800000000005</v>
      </c>
      <c r="H238" s="39">
        <v>630.24800000000005</v>
      </c>
      <c r="I238" s="39">
        <v>630.24800000000005</v>
      </c>
      <c r="J238" s="39">
        <v>0</v>
      </c>
      <c r="K238" s="41" t="s">
        <v>38</v>
      </c>
      <c r="L238" s="42" t="s">
        <v>53</v>
      </c>
      <c r="M238" s="43"/>
    </row>
    <row r="239" spans="1:13" ht="54" x14ac:dyDescent="0.25">
      <c r="A239" s="1">
        <v>7</v>
      </c>
      <c r="B239" s="36">
        <f t="shared" si="19"/>
        <v>68</v>
      </c>
      <c r="C239" s="37" t="s">
        <v>367</v>
      </c>
      <c r="D239" s="38" t="s">
        <v>49</v>
      </c>
      <c r="E239" s="39">
        <v>1950</v>
      </c>
      <c r="F239" s="39">
        <v>1950</v>
      </c>
      <c r="G239" s="39">
        <v>1950</v>
      </c>
      <c r="H239" s="39">
        <v>1950</v>
      </c>
      <c r="I239" s="39">
        <v>1950</v>
      </c>
      <c r="J239" s="39">
        <v>0</v>
      </c>
      <c r="K239" s="41" t="s">
        <v>38</v>
      </c>
      <c r="L239" s="42" t="s">
        <v>368</v>
      </c>
      <c r="M239" s="43"/>
    </row>
    <row r="240" spans="1:13" ht="54" x14ac:dyDescent="0.25">
      <c r="A240" s="1">
        <v>7</v>
      </c>
      <c r="B240" s="36">
        <f t="shared" si="19"/>
        <v>69</v>
      </c>
      <c r="C240" s="37" t="s">
        <v>369</v>
      </c>
      <c r="D240" s="38" t="s">
        <v>37</v>
      </c>
      <c r="E240" s="39">
        <v>800</v>
      </c>
      <c r="F240" s="39">
        <v>800</v>
      </c>
      <c r="G240" s="39">
        <v>800</v>
      </c>
      <c r="H240" s="39">
        <v>799.53200000000004</v>
      </c>
      <c r="I240" s="39">
        <v>799.53200000000004</v>
      </c>
      <c r="J240" s="39">
        <v>0</v>
      </c>
      <c r="K240" s="41" t="s">
        <v>38</v>
      </c>
      <c r="L240" s="42" t="s">
        <v>370</v>
      </c>
      <c r="M240" s="43"/>
    </row>
    <row r="241" spans="1:13" ht="72" x14ac:dyDescent="0.25">
      <c r="A241" s="1">
        <v>7</v>
      </c>
      <c r="B241" s="36">
        <f t="shared" si="19"/>
        <v>70</v>
      </c>
      <c r="C241" s="37" t="s">
        <v>371</v>
      </c>
      <c r="D241" s="38" t="s">
        <v>37</v>
      </c>
      <c r="E241" s="39">
        <v>800</v>
      </c>
      <c r="F241" s="39">
        <v>800</v>
      </c>
      <c r="G241" s="39">
        <v>800</v>
      </c>
      <c r="H241" s="39">
        <v>800</v>
      </c>
      <c r="I241" s="39">
        <v>800</v>
      </c>
      <c r="J241" s="39">
        <v>0</v>
      </c>
      <c r="K241" s="41" t="s">
        <v>38</v>
      </c>
      <c r="L241" s="42" t="s">
        <v>372</v>
      </c>
      <c r="M241" s="43"/>
    </row>
    <row r="242" spans="1:13" ht="54" x14ac:dyDescent="0.25">
      <c r="A242" s="1">
        <v>7</v>
      </c>
      <c r="B242" s="36">
        <f t="shared" si="19"/>
        <v>71</v>
      </c>
      <c r="C242" s="37" t="s">
        <v>373</v>
      </c>
      <c r="D242" s="38" t="s">
        <v>37</v>
      </c>
      <c r="E242" s="39">
        <v>800</v>
      </c>
      <c r="F242" s="39">
        <v>800</v>
      </c>
      <c r="G242" s="39">
        <v>800</v>
      </c>
      <c r="H242" s="39">
        <v>800</v>
      </c>
      <c r="I242" s="39">
        <v>800</v>
      </c>
      <c r="J242" s="39">
        <v>0</v>
      </c>
      <c r="K242" s="41" t="s">
        <v>38</v>
      </c>
      <c r="L242" s="42" t="s">
        <v>374</v>
      </c>
      <c r="M242" s="43"/>
    </row>
    <row r="243" spans="1:13" ht="72" x14ac:dyDescent="0.25">
      <c r="A243" s="1">
        <v>7</v>
      </c>
      <c r="B243" s="44">
        <f t="shared" si="19"/>
        <v>72</v>
      </c>
      <c r="C243" s="37" t="s">
        <v>375</v>
      </c>
      <c r="D243" s="38" t="s">
        <v>37</v>
      </c>
      <c r="E243" s="39">
        <f>3000+1176.614</f>
        <v>4176.6139999999996</v>
      </c>
      <c r="F243" s="39">
        <v>4176.6139999999996</v>
      </c>
      <c r="G243" s="39">
        <v>4176.6139999999996</v>
      </c>
      <c r="H243" s="39">
        <v>4176.1779999999999</v>
      </c>
      <c r="I243" s="39">
        <v>4176.1779999999999</v>
      </c>
      <c r="J243" s="39">
        <v>0</v>
      </c>
      <c r="K243" s="41" t="s">
        <v>38</v>
      </c>
      <c r="L243" s="42" t="s">
        <v>376</v>
      </c>
      <c r="M243" s="43"/>
    </row>
    <row r="244" spans="1:13" ht="54" x14ac:dyDescent="0.25">
      <c r="A244" s="1">
        <v>7</v>
      </c>
      <c r="B244" s="36">
        <f t="shared" si="19"/>
        <v>73</v>
      </c>
      <c r="C244" s="37" t="s">
        <v>377</v>
      </c>
      <c r="D244" s="38" t="s">
        <v>37</v>
      </c>
      <c r="E244" s="39">
        <v>3000</v>
      </c>
      <c r="F244" s="39">
        <v>3000</v>
      </c>
      <c r="G244" s="39">
        <v>3000</v>
      </c>
      <c r="H244" s="39">
        <v>3000</v>
      </c>
      <c r="I244" s="39">
        <v>3000</v>
      </c>
      <c r="J244" s="39">
        <v>0</v>
      </c>
      <c r="K244" s="41" t="s">
        <v>38</v>
      </c>
      <c r="L244" s="42" t="s">
        <v>378</v>
      </c>
      <c r="M244" s="43"/>
    </row>
    <row r="245" spans="1:13" ht="54" x14ac:dyDescent="0.25">
      <c r="A245" s="1">
        <v>7</v>
      </c>
      <c r="B245" s="36">
        <f t="shared" si="19"/>
        <v>74</v>
      </c>
      <c r="C245" s="37" t="s">
        <v>379</v>
      </c>
      <c r="D245" s="38" t="s">
        <v>110</v>
      </c>
      <c r="E245" s="39">
        <v>4000</v>
      </c>
      <c r="F245" s="39">
        <v>4000</v>
      </c>
      <c r="G245" s="39">
        <v>4000</v>
      </c>
      <c r="H245" s="39">
        <v>3998.6149999999998</v>
      </c>
      <c r="I245" s="39">
        <v>3998.6149999999998</v>
      </c>
      <c r="J245" s="39">
        <v>0</v>
      </c>
      <c r="K245" s="41" t="s">
        <v>38</v>
      </c>
      <c r="L245" s="42" t="s">
        <v>380</v>
      </c>
      <c r="M245" s="43"/>
    </row>
    <row r="246" spans="1:13" ht="72" x14ac:dyDescent="0.25">
      <c r="A246" s="1">
        <v>7</v>
      </c>
      <c r="B246" s="44">
        <f t="shared" si="19"/>
        <v>75</v>
      </c>
      <c r="C246" s="37" t="s">
        <v>381</v>
      </c>
      <c r="D246" s="38" t="s">
        <v>49</v>
      </c>
      <c r="E246" s="39">
        <f>2300-1100</f>
        <v>1200</v>
      </c>
      <c r="F246" s="39">
        <v>1200</v>
      </c>
      <c r="G246" s="39">
        <v>1200</v>
      </c>
      <c r="H246" s="39">
        <v>464.411</v>
      </c>
      <c r="I246" s="39">
        <v>464.411</v>
      </c>
      <c r="J246" s="39">
        <v>0</v>
      </c>
      <c r="K246" s="41" t="s">
        <v>28</v>
      </c>
      <c r="L246" s="77"/>
      <c r="M246" s="43"/>
    </row>
    <row r="247" spans="1:13" ht="54" x14ac:dyDescent="0.25">
      <c r="A247" s="1">
        <v>7</v>
      </c>
      <c r="B247" s="36">
        <f t="shared" si="19"/>
        <v>76</v>
      </c>
      <c r="C247" s="37" t="s">
        <v>382</v>
      </c>
      <c r="D247" s="38" t="s">
        <v>37</v>
      </c>
      <c r="E247" s="39">
        <v>700</v>
      </c>
      <c r="F247" s="39">
        <v>700</v>
      </c>
      <c r="G247" s="39">
        <v>700</v>
      </c>
      <c r="H247" s="39">
        <v>700</v>
      </c>
      <c r="I247" s="39">
        <v>700</v>
      </c>
      <c r="J247" s="39">
        <v>0</v>
      </c>
      <c r="K247" s="41" t="s">
        <v>38</v>
      </c>
      <c r="L247" s="42" t="s">
        <v>53</v>
      </c>
      <c r="M247" s="43"/>
    </row>
    <row r="248" spans="1:13" ht="54" x14ac:dyDescent="0.25">
      <c r="A248" s="1">
        <v>7</v>
      </c>
      <c r="B248" s="36">
        <f t="shared" si="19"/>
        <v>77</v>
      </c>
      <c r="C248" s="37" t="s">
        <v>383</v>
      </c>
      <c r="D248" s="38" t="s">
        <v>37</v>
      </c>
      <c r="E248" s="39">
        <v>300</v>
      </c>
      <c r="F248" s="39">
        <v>300</v>
      </c>
      <c r="G248" s="39">
        <v>300</v>
      </c>
      <c r="H248" s="39">
        <v>300</v>
      </c>
      <c r="I248" s="39">
        <v>300</v>
      </c>
      <c r="J248" s="39">
        <v>0</v>
      </c>
      <c r="K248" s="41" t="s">
        <v>38</v>
      </c>
      <c r="L248" s="42" t="s">
        <v>53</v>
      </c>
      <c r="M248" s="43"/>
    </row>
    <row r="249" spans="1:13" ht="54" x14ac:dyDescent="0.25">
      <c r="A249" s="1">
        <v>7</v>
      </c>
      <c r="B249" s="36">
        <f t="shared" si="19"/>
        <v>78</v>
      </c>
      <c r="C249" s="37" t="s">
        <v>384</v>
      </c>
      <c r="D249" s="38" t="s">
        <v>37</v>
      </c>
      <c r="E249" s="39">
        <v>250</v>
      </c>
      <c r="F249" s="39">
        <v>250</v>
      </c>
      <c r="G249" s="39">
        <v>250</v>
      </c>
      <c r="H249" s="39">
        <v>250</v>
      </c>
      <c r="I249" s="39">
        <v>250</v>
      </c>
      <c r="J249" s="39">
        <v>0</v>
      </c>
      <c r="K249" s="41" t="s">
        <v>38</v>
      </c>
      <c r="L249" s="42" t="s">
        <v>53</v>
      </c>
      <c r="M249" s="43"/>
    </row>
    <row r="250" spans="1:13" ht="54" x14ac:dyDescent="0.25">
      <c r="A250" s="1">
        <v>7</v>
      </c>
      <c r="B250" s="36">
        <f t="shared" si="19"/>
        <v>79</v>
      </c>
      <c r="C250" s="37" t="s">
        <v>385</v>
      </c>
      <c r="D250" s="38" t="s">
        <v>37</v>
      </c>
      <c r="E250" s="39">
        <v>600</v>
      </c>
      <c r="F250" s="39">
        <v>600</v>
      </c>
      <c r="G250" s="39">
        <v>600</v>
      </c>
      <c r="H250" s="39">
        <v>600</v>
      </c>
      <c r="I250" s="39">
        <v>600</v>
      </c>
      <c r="J250" s="39">
        <v>0</v>
      </c>
      <c r="K250" s="41" t="s">
        <v>38</v>
      </c>
      <c r="L250" s="42" t="s">
        <v>53</v>
      </c>
      <c r="M250" s="43"/>
    </row>
    <row r="251" spans="1:13" ht="54" x14ac:dyDescent="0.25">
      <c r="A251" s="1">
        <v>7</v>
      </c>
      <c r="B251" s="36">
        <f t="shared" si="19"/>
        <v>80</v>
      </c>
      <c r="C251" s="37" t="s">
        <v>386</v>
      </c>
      <c r="D251" s="38" t="s">
        <v>37</v>
      </c>
      <c r="E251" s="39">
        <v>350</v>
      </c>
      <c r="F251" s="39">
        <v>350</v>
      </c>
      <c r="G251" s="39">
        <v>350</v>
      </c>
      <c r="H251" s="39">
        <v>350</v>
      </c>
      <c r="I251" s="39">
        <v>350</v>
      </c>
      <c r="J251" s="39">
        <v>0</v>
      </c>
      <c r="K251" s="41" t="s">
        <v>38</v>
      </c>
      <c r="L251" s="42" t="s">
        <v>53</v>
      </c>
      <c r="M251" s="43"/>
    </row>
    <row r="252" spans="1:13" ht="54" x14ac:dyDescent="0.25">
      <c r="A252" s="1">
        <v>7</v>
      </c>
      <c r="B252" s="36">
        <f t="shared" si="19"/>
        <v>81</v>
      </c>
      <c r="C252" s="37" t="s">
        <v>387</v>
      </c>
      <c r="D252" s="38" t="s">
        <v>37</v>
      </c>
      <c r="E252" s="39">
        <v>350</v>
      </c>
      <c r="F252" s="39">
        <v>350</v>
      </c>
      <c r="G252" s="39">
        <v>350</v>
      </c>
      <c r="H252" s="39">
        <v>350</v>
      </c>
      <c r="I252" s="39">
        <v>350</v>
      </c>
      <c r="J252" s="39">
        <v>0</v>
      </c>
      <c r="K252" s="41" t="s">
        <v>38</v>
      </c>
      <c r="L252" s="42" t="s">
        <v>53</v>
      </c>
      <c r="M252" s="43"/>
    </row>
    <row r="253" spans="1:13" ht="54" x14ac:dyDescent="0.25">
      <c r="A253" s="1">
        <v>7</v>
      </c>
      <c r="B253" s="36">
        <f t="shared" si="19"/>
        <v>82</v>
      </c>
      <c r="C253" s="37" t="s">
        <v>388</v>
      </c>
      <c r="D253" s="38" t="s">
        <v>37</v>
      </c>
      <c r="E253" s="39">
        <v>400</v>
      </c>
      <c r="F253" s="39">
        <v>400</v>
      </c>
      <c r="G253" s="39">
        <v>400</v>
      </c>
      <c r="H253" s="39">
        <v>400</v>
      </c>
      <c r="I253" s="39">
        <v>400</v>
      </c>
      <c r="J253" s="39">
        <v>0</v>
      </c>
      <c r="K253" s="41" t="s">
        <v>38</v>
      </c>
      <c r="L253" s="42" t="s">
        <v>53</v>
      </c>
      <c r="M253" s="43"/>
    </row>
    <row r="254" spans="1:13" ht="54" x14ac:dyDescent="0.25">
      <c r="A254" s="1">
        <v>7</v>
      </c>
      <c r="B254" s="36">
        <f t="shared" si="19"/>
        <v>83</v>
      </c>
      <c r="C254" s="37" t="s">
        <v>389</v>
      </c>
      <c r="D254" s="38" t="s">
        <v>37</v>
      </c>
      <c r="E254" s="39">
        <v>150</v>
      </c>
      <c r="F254" s="39">
        <v>150</v>
      </c>
      <c r="G254" s="39">
        <v>150</v>
      </c>
      <c r="H254" s="39">
        <v>150</v>
      </c>
      <c r="I254" s="39">
        <v>150</v>
      </c>
      <c r="J254" s="39">
        <v>0</v>
      </c>
      <c r="K254" s="41" t="s">
        <v>38</v>
      </c>
      <c r="L254" s="42" t="s">
        <v>53</v>
      </c>
      <c r="M254" s="43"/>
    </row>
    <row r="255" spans="1:13" ht="72" x14ac:dyDescent="0.25">
      <c r="A255" s="1">
        <v>7</v>
      </c>
      <c r="B255" s="36">
        <f t="shared" si="19"/>
        <v>84</v>
      </c>
      <c r="C255" s="37" t="s">
        <v>390</v>
      </c>
      <c r="D255" s="38" t="s">
        <v>37</v>
      </c>
      <c r="E255" s="39">
        <v>1200</v>
      </c>
      <c r="F255" s="39">
        <v>1200</v>
      </c>
      <c r="G255" s="39">
        <v>1200</v>
      </c>
      <c r="H255" s="39">
        <v>1200</v>
      </c>
      <c r="I255" s="39">
        <v>1200</v>
      </c>
      <c r="J255" s="39">
        <v>0</v>
      </c>
      <c r="K255" s="41" t="s">
        <v>38</v>
      </c>
      <c r="L255" s="42" t="s">
        <v>53</v>
      </c>
      <c r="M255" s="43"/>
    </row>
    <row r="256" spans="1:13" ht="90" x14ac:dyDescent="0.25">
      <c r="A256" s="1">
        <v>7</v>
      </c>
      <c r="B256" s="36">
        <f t="shared" si="19"/>
        <v>85</v>
      </c>
      <c r="C256" s="37" t="s">
        <v>391</v>
      </c>
      <c r="D256" s="38" t="s">
        <v>37</v>
      </c>
      <c r="E256" s="39">
        <v>1700</v>
      </c>
      <c r="F256" s="39">
        <v>1700</v>
      </c>
      <c r="G256" s="39">
        <v>1700</v>
      </c>
      <c r="H256" s="39">
        <v>1667.037</v>
      </c>
      <c r="I256" s="39">
        <v>1667.037</v>
      </c>
      <c r="J256" s="39">
        <v>0</v>
      </c>
      <c r="K256" s="41" t="s">
        <v>38</v>
      </c>
      <c r="L256" s="42" t="s">
        <v>53</v>
      </c>
      <c r="M256" s="43"/>
    </row>
    <row r="257" spans="1:13" ht="72" x14ac:dyDescent="0.25">
      <c r="A257" s="1">
        <v>7</v>
      </c>
      <c r="B257" s="36">
        <f t="shared" si="19"/>
        <v>86</v>
      </c>
      <c r="C257" s="37" t="s">
        <v>392</v>
      </c>
      <c r="D257" s="38" t="s">
        <v>37</v>
      </c>
      <c r="E257" s="39">
        <v>1798.7360000000001</v>
      </c>
      <c r="F257" s="39">
        <v>1798.7360000000001</v>
      </c>
      <c r="G257" s="39">
        <v>1798.7360000000001</v>
      </c>
      <c r="H257" s="39">
        <v>1798.7360000000001</v>
      </c>
      <c r="I257" s="39">
        <v>1798.7360000000001</v>
      </c>
      <c r="J257" s="39">
        <v>0</v>
      </c>
      <c r="K257" s="41" t="s">
        <v>38</v>
      </c>
      <c r="L257" s="42" t="s">
        <v>53</v>
      </c>
      <c r="M257" s="43"/>
    </row>
    <row r="258" spans="1:13" ht="54" x14ac:dyDescent="0.25">
      <c r="A258" s="1">
        <v>7</v>
      </c>
      <c r="B258" s="36">
        <f t="shared" si="19"/>
        <v>87</v>
      </c>
      <c r="C258" s="37" t="s">
        <v>393</v>
      </c>
      <c r="D258" s="38" t="s">
        <v>37</v>
      </c>
      <c r="E258" s="39">
        <v>450</v>
      </c>
      <c r="F258" s="39">
        <v>450</v>
      </c>
      <c r="G258" s="39">
        <v>450</v>
      </c>
      <c r="H258" s="39">
        <v>450</v>
      </c>
      <c r="I258" s="39">
        <v>450</v>
      </c>
      <c r="J258" s="39">
        <v>0</v>
      </c>
      <c r="K258" s="41" t="s">
        <v>38</v>
      </c>
      <c r="L258" s="42" t="s">
        <v>53</v>
      </c>
      <c r="M258" s="43"/>
    </row>
    <row r="259" spans="1:13" ht="54" x14ac:dyDescent="0.25">
      <c r="A259" s="1">
        <v>7</v>
      </c>
      <c r="B259" s="36">
        <f t="shared" si="19"/>
        <v>88</v>
      </c>
      <c r="C259" s="37" t="s">
        <v>394</v>
      </c>
      <c r="D259" s="38" t="s">
        <v>37</v>
      </c>
      <c r="E259" s="39">
        <v>400</v>
      </c>
      <c r="F259" s="39">
        <v>400</v>
      </c>
      <c r="G259" s="39">
        <v>400</v>
      </c>
      <c r="H259" s="39">
        <v>400</v>
      </c>
      <c r="I259" s="39">
        <v>400</v>
      </c>
      <c r="J259" s="39">
        <v>0</v>
      </c>
      <c r="K259" s="41" t="s">
        <v>38</v>
      </c>
      <c r="L259" s="42" t="s">
        <v>53</v>
      </c>
      <c r="M259" s="43"/>
    </row>
    <row r="260" spans="1:13" ht="72" x14ac:dyDescent="0.25">
      <c r="A260" s="1">
        <v>7</v>
      </c>
      <c r="B260" s="36">
        <f t="shared" si="19"/>
        <v>89</v>
      </c>
      <c r="C260" s="37" t="s">
        <v>395</v>
      </c>
      <c r="D260" s="38" t="s">
        <v>37</v>
      </c>
      <c r="E260" s="39">
        <v>1700</v>
      </c>
      <c r="F260" s="39">
        <v>1700</v>
      </c>
      <c r="G260" s="39">
        <v>1700</v>
      </c>
      <c r="H260" s="39">
        <v>1700</v>
      </c>
      <c r="I260" s="39">
        <v>1700</v>
      </c>
      <c r="J260" s="39">
        <v>0</v>
      </c>
      <c r="K260" s="41" t="s">
        <v>38</v>
      </c>
      <c r="L260" s="42" t="s">
        <v>53</v>
      </c>
      <c r="M260" s="43"/>
    </row>
    <row r="261" spans="1:13" ht="90.75" thickBot="1" x14ac:dyDescent="0.3">
      <c r="A261" s="1">
        <v>7</v>
      </c>
      <c r="B261" s="56">
        <f t="shared" si="19"/>
        <v>90</v>
      </c>
      <c r="C261" s="57" t="s">
        <v>396</v>
      </c>
      <c r="D261" s="67" t="s">
        <v>37</v>
      </c>
      <c r="E261" s="69">
        <v>3025</v>
      </c>
      <c r="F261" s="69">
        <v>3025</v>
      </c>
      <c r="G261" s="69">
        <v>3025</v>
      </c>
      <c r="H261" s="69">
        <v>3025</v>
      </c>
      <c r="I261" s="69">
        <v>3025</v>
      </c>
      <c r="J261" s="69">
        <v>0</v>
      </c>
      <c r="K261" s="78" t="s">
        <v>38</v>
      </c>
      <c r="L261" s="71" t="s">
        <v>53</v>
      </c>
      <c r="M261" s="72"/>
    </row>
    <row r="262" spans="1:13" ht="18" x14ac:dyDescent="0.25">
      <c r="A262" s="1">
        <v>8</v>
      </c>
      <c r="B262" s="112" t="s">
        <v>397</v>
      </c>
      <c r="C262" s="113"/>
      <c r="D262" s="113"/>
      <c r="E262" s="113"/>
      <c r="F262" s="113"/>
      <c r="G262" s="113"/>
      <c r="H262" s="113"/>
      <c r="I262" s="113"/>
      <c r="J262" s="113"/>
      <c r="K262" s="113"/>
      <c r="L262" s="113"/>
      <c r="M262" s="114"/>
    </row>
    <row r="263" spans="1:13" ht="18" x14ac:dyDescent="0.25">
      <c r="A263" s="1">
        <v>8</v>
      </c>
      <c r="B263" s="21"/>
      <c r="C263" s="22" t="s">
        <v>25</v>
      </c>
      <c r="D263" s="23"/>
      <c r="E263" s="34">
        <f t="shared" ref="E263:J263" si="20">SUM(E264,E266:E277)</f>
        <v>98472.61500000002</v>
      </c>
      <c r="F263" s="34">
        <f t="shared" si="20"/>
        <v>98472.61500000002</v>
      </c>
      <c r="G263" s="34">
        <f t="shared" si="20"/>
        <v>98472.61500000002</v>
      </c>
      <c r="H263" s="34">
        <f t="shared" si="20"/>
        <v>52519.199249999998</v>
      </c>
      <c r="I263" s="35">
        <f t="shared" si="20"/>
        <v>52468.321810000001</v>
      </c>
      <c r="J263" s="35">
        <f t="shared" si="20"/>
        <v>0</v>
      </c>
      <c r="K263" s="23"/>
      <c r="L263" s="23"/>
      <c r="M263" s="26"/>
    </row>
    <row r="264" spans="1:13" ht="18" x14ac:dyDescent="0.25">
      <c r="A264" s="1">
        <v>8</v>
      </c>
      <c r="B264" s="21"/>
      <c r="C264" s="22" t="s">
        <v>22</v>
      </c>
      <c r="D264" s="23"/>
      <c r="E264" s="34">
        <v>0</v>
      </c>
      <c r="F264" s="34">
        <v>0</v>
      </c>
      <c r="G264" s="34">
        <v>0</v>
      </c>
      <c r="H264" s="34"/>
      <c r="I264" s="34"/>
      <c r="J264" s="34"/>
      <c r="K264" s="23"/>
      <c r="L264" s="23"/>
      <c r="M264" s="26"/>
    </row>
    <row r="265" spans="1:13" ht="36" x14ac:dyDescent="0.25">
      <c r="A265" s="1">
        <v>8</v>
      </c>
      <c r="B265" s="21"/>
      <c r="C265" s="22" t="s">
        <v>23</v>
      </c>
      <c r="D265" s="23"/>
      <c r="E265" s="34">
        <f t="shared" ref="E265:J265" si="21">SUM(E266:E277)</f>
        <v>98472.61500000002</v>
      </c>
      <c r="F265" s="34">
        <f t="shared" si="21"/>
        <v>98472.61500000002</v>
      </c>
      <c r="G265" s="34">
        <f t="shared" si="21"/>
        <v>98472.61500000002</v>
      </c>
      <c r="H265" s="34">
        <f t="shared" si="21"/>
        <v>52519.199249999998</v>
      </c>
      <c r="I265" s="34">
        <f t="shared" si="21"/>
        <v>52468.321810000001</v>
      </c>
      <c r="J265" s="34">
        <f t="shared" si="21"/>
        <v>0</v>
      </c>
      <c r="K265" s="23"/>
      <c r="L265" s="23"/>
      <c r="M265" s="26"/>
    </row>
    <row r="266" spans="1:13" ht="72" x14ac:dyDescent="0.25">
      <c r="A266" s="1">
        <v>8</v>
      </c>
      <c r="B266" s="36">
        <v>1</v>
      </c>
      <c r="C266" s="79" t="s">
        <v>398</v>
      </c>
      <c r="D266" s="38" t="s">
        <v>399</v>
      </c>
      <c r="E266" s="40">
        <v>5872.7479999999996</v>
      </c>
      <c r="F266" s="40">
        <v>5872.7479999999996</v>
      </c>
      <c r="G266" s="40">
        <v>5872.7479999999996</v>
      </c>
      <c r="H266" s="40">
        <f>5070.82274+0.00044</f>
        <v>5070.8231799999994</v>
      </c>
      <c r="I266" s="40">
        <v>5070.8227399999996</v>
      </c>
      <c r="J266" s="40">
        <v>0</v>
      </c>
      <c r="K266" s="64" t="s">
        <v>115</v>
      </c>
      <c r="L266" s="42"/>
      <c r="M266" s="43"/>
    </row>
    <row r="267" spans="1:13" ht="54" x14ac:dyDescent="0.25">
      <c r="A267" s="1">
        <v>8</v>
      </c>
      <c r="B267" s="36">
        <f>B266+1</f>
        <v>2</v>
      </c>
      <c r="C267" s="79" t="s">
        <v>400</v>
      </c>
      <c r="D267" s="38" t="s">
        <v>65</v>
      </c>
      <c r="E267" s="40">
        <v>21261.172999999999</v>
      </c>
      <c r="F267" s="40">
        <v>21261.172999999999</v>
      </c>
      <c r="G267" s="40">
        <v>21261.172999999999</v>
      </c>
      <c r="H267" s="40">
        <v>16460.11263</v>
      </c>
      <c r="I267" s="40">
        <v>16460.11263</v>
      </c>
      <c r="J267" s="40">
        <v>0</v>
      </c>
      <c r="K267" s="64" t="s">
        <v>115</v>
      </c>
      <c r="L267" s="42"/>
      <c r="M267" s="43"/>
    </row>
    <row r="268" spans="1:13" ht="54" x14ac:dyDescent="0.25">
      <c r="A268" s="1">
        <v>8</v>
      </c>
      <c r="B268" s="36">
        <f t="shared" ref="B268:B277" si="22">B267+1</f>
        <v>3</v>
      </c>
      <c r="C268" s="79" t="s">
        <v>401</v>
      </c>
      <c r="D268" s="38" t="s">
        <v>47</v>
      </c>
      <c r="E268" s="40">
        <v>12014.484</v>
      </c>
      <c r="F268" s="40">
        <v>12014.484</v>
      </c>
      <c r="G268" s="40">
        <v>12014.484</v>
      </c>
      <c r="H268" s="40">
        <v>585</v>
      </c>
      <c r="I268" s="40">
        <v>0</v>
      </c>
      <c r="J268" s="40">
        <v>0</v>
      </c>
      <c r="K268" s="64" t="s">
        <v>115</v>
      </c>
      <c r="L268" s="42"/>
      <c r="M268" s="43"/>
    </row>
    <row r="269" spans="1:13" ht="108" x14ac:dyDescent="0.25">
      <c r="A269" s="1">
        <v>8</v>
      </c>
      <c r="B269" s="36">
        <f t="shared" si="22"/>
        <v>4</v>
      </c>
      <c r="C269" s="79" t="s">
        <v>402</v>
      </c>
      <c r="D269" s="38" t="s">
        <v>37</v>
      </c>
      <c r="E269" s="40">
        <v>13186.58</v>
      </c>
      <c r="F269" s="40">
        <v>13186.58</v>
      </c>
      <c r="G269" s="40">
        <v>13186.58</v>
      </c>
      <c r="H269" s="40">
        <v>10797.3495</v>
      </c>
      <c r="I269" s="40">
        <v>10797.3495</v>
      </c>
      <c r="J269" s="40">
        <v>0</v>
      </c>
      <c r="K269" s="64" t="s">
        <v>106</v>
      </c>
      <c r="L269" s="42"/>
      <c r="M269" s="43"/>
    </row>
    <row r="270" spans="1:13" ht="54" x14ac:dyDescent="0.25">
      <c r="A270" s="1">
        <v>8</v>
      </c>
      <c r="B270" s="36">
        <f t="shared" si="22"/>
        <v>5</v>
      </c>
      <c r="C270" s="79" t="s">
        <v>403</v>
      </c>
      <c r="D270" s="38" t="s">
        <v>41</v>
      </c>
      <c r="E270" s="40">
        <v>10798.648999999999</v>
      </c>
      <c r="F270" s="40">
        <v>10798.648999999999</v>
      </c>
      <c r="G270" s="40">
        <v>10798.648999999999</v>
      </c>
      <c r="H270" s="40">
        <v>10302.883459999999</v>
      </c>
      <c r="I270" s="40">
        <v>12593.77046</v>
      </c>
      <c r="J270" s="40">
        <v>0</v>
      </c>
      <c r="K270" s="64" t="s">
        <v>115</v>
      </c>
      <c r="L270" s="42"/>
      <c r="M270" s="43"/>
    </row>
    <row r="271" spans="1:13" ht="54" x14ac:dyDescent="0.25">
      <c r="A271" s="1">
        <v>8</v>
      </c>
      <c r="B271" s="36">
        <f t="shared" si="22"/>
        <v>6</v>
      </c>
      <c r="C271" s="79" t="s">
        <v>404</v>
      </c>
      <c r="D271" s="38" t="s">
        <v>95</v>
      </c>
      <c r="E271" s="40">
        <v>6446.165</v>
      </c>
      <c r="F271" s="40">
        <v>6446.165</v>
      </c>
      <c r="G271" s="40">
        <v>6446.165</v>
      </c>
      <c r="H271" s="40">
        <v>3366.7331199999999</v>
      </c>
      <c r="I271" s="40">
        <v>3366.7331199999999</v>
      </c>
      <c r="J271" s="40">
        <v>0</v>
      </c>
      <c r="K271" s="64" t="s">
        <v>106</v>
      </c>
      <c r="L271" s="42"/>
      <c r="M271" s="43"/>
    </row>
    <row r="272" spans="1:13" ht="54" x14ac:dyDescent="0.25">
      <c r="A272" s="1">
        <v>8</v>
      </c>
      <c r="B272" s="36">
        <f t="shared" si="22"/>
        <v>7</v>
      </c>
      <c r="C272" s="79" t="s">
        <v>405</v>
      </c>
      <c r="D272" s="38" t="s">
        <v>37</v>
      </c>
      <c r="E272" s="40">
        <v>5185.085</v>
      </c>
      <c r="F272" s="40">
        <v>5185.085</v>
      </c>
      <c r="G272" s="40">
        <v>5185.085</v>
      </c>
      <c r="H272" s="40">
        <v>1885.3269</v>
      </c>
      <c r="I272" s="40">
        <v>1885.3269</v>
      </c>
      <c r="J272" s="40">
        <v>0</v>
      </c>
      <c r="K272" s="64" t="s">
        <v>106</v>
      </c>
      <c r="L272" s="42"/>
      <c r="M272" s="43"/>
    </row>
    <row r="273" spans="1:13" ht="54" x14ac:dyDescent="0.25">
      <c r="A273" s="1">
        <v>8</v>
      </c>
      <c r="B273" s="36">
        <f t="shared" si="22"/>
        <v>8</v>
      </c>
      <c r="C273" s="79" t="s">
        <v>406</v>
      </c>
      <c r="D273" s="38" t="s">
        <v>37</v>
      </c>
      <c r="E273" s="40">
        <v>4060.7280000000001</v>
      </c>
      <c r="F273" s="40">
        <v>4060.7280000000001</v>
      </c>
      <c r="G273" s="40">
        <v>4060.7280000000001</v>
      </c>
      <c r="H273" s="40">
        <v>0</v>
      </c>
      <c r="I273" s="40">
        <v>0</v>
      </c>
      <c r="J273" s="40">
        <v>0</v>
      </c>
      <c r="K273" s="64" t="s">
        <v>106</v>
      </c>
      <c r="L273" s="42"/>
      <c r="M273" s="43"/>
    </row>
    <row r="274" spans="1:13" ht="54" x14ac:dyDescent="0.25">
      <c r="A274" s="1">
        <v>8</v>
      </c>
      <c r="B274" s="36">
        <f t="shared" si="22"/>
        <v>9</v>
      </c>
      <c r="C274" s="79" t="s">
        <v>407</v>
      </c>
      <c r="D274" s="38" t="s">
        <v>49</v>
      </c>
      <c r="E274" s="40">
        <v>5305.0510000000004</v>
      </c>
      <c r="F274" s="40">
        <v>5305.0510000000004</v>
      </c>
      <c r="G274" s="40">
        <v>5305.0510000000004</v>
      </c>
      <c r="H274" s="40">
        <v>1436.62834</v>
      </c>
      <c r="I274" s="40">
        <v>510.68434000000002</v>
      </c>
      <c r="J274" s="40">
        <v>0</v>
      </c>
      <c r="K274" s="64" t="s">
        <v>106</v>
      </c>
      <c r="L274" s="42"/>
      <c r="M274" s="43"/>
    </row>
    <row r="275" spans="1:13" ht="54" x14ac:dyDescent="0.25">
      <c r="A275" s="1">
        <v>8</v>
      </c>
      <c r="B275" s="36">
        <f t="shared" si="22"/>
        <v>10</v>
      </c>
      <c r="C275" s="79" t="s">
        <v>408</v>
      </c>
      <c r="D275" s="38" t="s">
        <v>37</v>
      </c>
      <c r="E275" s="40">
        <v>4574.78</v>
      </c>
      <c r="F275" s="40">
        <v>4574.78</v>
      </c>
      <c r="G275" s="40">
        <v>4574.78</v>
      </c>
      <c r="H275" s="40">
        <v>1214.80312</v>
      </c>
      <c r="I275" s="40">
        <v>383.98311999999999</v>
      </c>
      <c r="J275" s="40">
        <v>0</v>
      </c>
      <c r="K275" s="64" t="s">
        <v>106</v>
      </c>
      <c r="L275" s="42"/>
      <c r="M275" s="43"/>
    </row>
    <row r="276" spans="1:13" ht="54" x14ac:dyDescent="0.25">
      <c r="A276" s="1">
        <v>8</v>
      </c>
      <c r="B276" s="36">
        <f t="shared" si="22"/>
        <v>11</v>
      </c>
      <c r="C276" s="79" t="s">
        <v>409</v>
      </c>
      <c r="D276" s="38" t="s">
        <v>37</v>
      </c>
      <c r="E276" s="40">
        <v>4997.1719999999996</v>
      </c>
      <c r="F276" s="40">
        <v>4997.1719999999996</v>
      </c>
      <c r="G276" s="40">
        <v>4997.1719999999996</v>
      </c>
      <c r="H276" s="40">
        <v>1141.6369999999999</v>
      </c>
      <c r="I276" s="40">
        <v>1141.6369999999999</v>
      </c>
      <c r="J276" s="40">
        <v>0</v>
      </c>
      <c r="K276" s="64" t="s">
        <v>106</v>
      </c>
      <c r="L276" s="42"/>
      <c r="M276" s="43"/>
    </row>
    <row r="277" spans="1:13" ht="54.75" thickBot="1" x14ac:dyDescent="0.3">
      <c r="A277" s="1">
        <v>8</v>
      </c>
      <c r="B277" s="56">
        <f t="shared" si="22"/>
        <v>12</v>
      </c>
      <c r="C277" s="80" t="s">
        <v>410</v>
      </c>
      <c r="D277" s="67" t="s">
        <v>33</v>
      </c>
      <c r="E277" s="68">
        <v>4770</v>
      </c>
      <c r="F277" s="68">
        <v>4770</v>
      </c>
      <c r="G277" s="68">
        <v>4770</v>
      </c>
      <c r="H277" s="68">
        <v>257.90199999999999</v>
      </c>
      <c r="I277" s="68">
        <v>257.90199999999999</v>
      </c>
      <c r="J277" s="68">
        <v>0</v>
      </c>
      <c r="K277" s="70" t="s">
        <v>115</v>
      </c>
      <c r="L277" s="71"/>
      <c r="M277" s="72"/>
    </row>
    <row r="278" spans="1:13" ht="18" x14ac:dyDescent="0.25">
      <c r="A278" s="1">
        <v>9</v>
      </c>
      <c r="B278" s="112" t="s">
        <v>411</v>
      </c>
      <c r="C278" s="113"/>
      <c r="D278" s="113"/>
      <c r="E278" s="113"/>
      <c r="F278" s="113"/>
      <c r="G278" s="113"/>
      <c r="H278" s="113"/>
      <c r="I278" s="113"/>
      <c r="J278" s="113"/>
      <c r="K278" s="113"/>
      <c r="L278" s="113"/>
      <c r="M278" s="114"/>
    </row>
    <row r="279" spans="1:13" ht="18" x14ac:dyDescent="0.25">
      <c r="A279" s="1">
        <v>9</v>
      </c>
      <c r="B279" s="21"/>
      <c r="C279" s="22" t="s">
        <v>25</v>
      </c>
      <c r="D279" s="23"/>
      <c r="E279" s="34">
        <f>SUM(E280,E282:E307)</f>
        <v>121357.21700000002</v>
      </c>
      <c r="F279" s="34">
        <f t="shared" ref="F279:J279" si="23">SUM(F280,F282:F307)</f>
        <v>121357.21700000002</v>
      </c>
      <c r="G279" s="34">
        <f t="shared" si="23"/>
        <v>121357.21700000002</v>
      </c>
      <c r="H279" s="34">
        <f t="shared" si="23"/>
        <v>115131.15450000002</v>
      </c>
      <c r="I279" s="34">
        <f t="shared" si="23"/>
        <v>114679.45450000001</v>
      </c>
      <c r="J279" s="34">
        <f t="shared" si="23"/>
        <v>0</v>
      </c>
      <c r="K279" s="23"/>
      <c r="L279" s="23"/>
      <c r="M279" s="26"/>
    </row>
    <row r="280" spans="1:13" ht="18" x14ac:dyDescent="0.25">
      <c r="A280" s="1">
        <v>9</v>
      </c>
      <c r="B280" s="21"/>
      <c r="C280" s="22" t="s">
        <v>22</v>
      </c>
      <c r="D280" s="23"/>
      <c r="E280" s="34">
        <v>0</v>
      </c>
      <c r="F280" s="34">
        <v>0</v>
      </c>
      <c r="G280" s="34">
        <v>0</v>
      </c>
      <c r="H280" s="34"/>
      <c r="I280" s="34"/>
      <c r="J280" s="34"/>
      <c r="K280" s="23"/>
      <c r="L280" s="23"/>
      <c r="M280" s="26"/>
    </row>
    <row r="281" spans="1:13" ht="36" x14ac:dyDescent="0.25">
      <c r="A281" s="1">
        <v>9</v>
      </c>
      <c r="B281" s="21"/>
      <c r="C281" s="22" t="s">
        <v>23</v>
      </c>
      <c r="D281" s="23"/>
      <c r="E281" s="34">
        <f t="shared" ref="E281:J281" si="24">SUM(E282:E307)</f>
        <v>121357.21700000002</v>
      </c>
      <c r="F281" s="34">
        <f t="shared" si="24"/>
        <v>121357.21700000002</v>
      </c>
      <c r="G281" s="34">
        <f t="shared" si="24"/>
        <v>121357.21700000002</v>
      </c>
      <c r="H281" s="34">
        <f t="shared" si="24"/>
        <v>115131.15450000002</v>
      </c>
      <c r="I281" s="34">
        <f t="shared" si="24"/>
        <v>114679.45450000001</v>
      </c>
      <c r="J281" s="34">
        <f t="shared" si="24"/>
        <v>0</v>
      </c>
      <c r="K281" s="23"/>
      <c r="L281" s="23"/>
      <c r="M281" s="26"/>
    </row>
    <row r="282" spans="1:13" ht="90" x14ac:dyDescent="0.25">
      <c r="A282" s="1">
        <v>9</v>
      </c>
      <c r="B282" s="36">
        <v>1</v>
      </c>
      <c r="C282" s="37" t="s">
        <v>412</v>
      </c>
      <c r="D282" s="38" t="s">
        <v>37</v>
      </c>
      <c r="E282" s="40">
        <v>31000</v>
      </c>
      <c r="F282" s="40">
        <v>31000</v>
      </c>
      <c r="G282" s="40">
        <v>31000</v>
      </c>
      <c r="H282" s="40">
        <v>31000</v>
      </c>
      <c r="I282" s="40">
        <v>31000</v>
      </c>
      <c r="J282" s="40">
        <v>0</v>
      </c>
      <c r="K282" s="64" t="s">
        <v>38</v>
      </c>
      <c r="L282" s="42" t="s">
        <v>413</v>
      </c>
      <c r="M282" s="43"/>
    </row>
    <row r="283" spans="1:13" ht="72" x14ac:dyDescent="0.25">
      <c r="A283" s="1">
        <v>9</v>
      </c>
      <c r="B283" s="36">
        <f>B282+1</f>
        <v>2</v>
      </c>
      <c r="C283" s="37" t="s">
        <v>414</v>
      </c>
      <c r="D283" s="38" t="s">
        <v>35</v>
      </c>
      <c r="E283" s="40">
        <v>500</v>
      </c>
      <c r="F283" s="40">
        <v>500</v>
      </c>
      <c r="G283" s="40">
        <v>500</v>
      </c>
      <c r="H283" s="40">
        <v>500</v>
      </c>
      <c r="I283" s="40">
        <v>500</v>
      </c>
      <c r="J283" s="40">
        <v>0</v>
      </c>
      <c r="K283" s="64" t="s">
        <v>115</v>
      </c>
      <c r="L283" s="42"/>
      <c r="M283" s="43"/>
    </row>
    <row r="284" spans="1:13" ht="54" x14ac:dyDescent="0.25">
      <c r="A284" s="1">
        <v>9</v>
      </c>
      <c r="B284" s="36">
        <f t="shared" ref="B284:B307" si="25">B283+1</f>
        <v>3</v>
      </c>
      <c r="C284" s="37" t="s">
        <v>415</v>
      </c>
      <c r="D284" s="38" t="s">
        <v>399</v>
      </c>
      <c r="E284" s="40">
        <v>1000</v>
      </c>
      <c r="F284" s="40">
        <v>1000</v>
      </c>
      <c r="G284" s="40">
        <v>1000</v>
      </c>
      <c r="H284" s="40">
        <v>999.35794999999996</v>
      </c>
      <c r="I284" s="40">
        <v>999.35794999999996</v>
      </c>
      <c r="J284" s="40">
        <v>0</v>
      </c>
      <c r="K284" s="64" t="s">
        <v>115</v>
      </c>
      <c r="L284" s="42"/>
      <c r="M284" s="43"/>
    </row>
    <row r="285" spans="1:13" ht="90" x14ac:dyDescent="0.25">
      <c r="A285" s="1">
        <v>9</v>
      </c>
      <c r="B285" s="36">
        <f t="shared" si="25"/>
        <v>4</v>
      </c>
      <c r="C285" s="37" t="s">
        <v>416</v>
      </c>
      <c r="D285" s="38" t="s">
        <v>65</v>
      </c>
      <c r="E285" s="40">
        <v>1000</v>
      </c>
      <c r="F285" s="40">
        <v>1000</v>
      </c>
      <c r="G285" s="40">
        <v>1000</v>
      </c>
      <c r="H285" s="40">
        <v>982.07528000000002</v>
      </c>
      <c r="I285" s="40">
        <v>982.07528000000002</v>
      </c>
      <c r="J285" s="40">
        <v>0</v>
      </c>
      <c r="K285" s="64" t="s">
        <v>115</v>
      </c>
      <c r="L285" s="42"/>
      <c r="M285" s="43"/>
    </row>
    <row r="286" spans="1:13" ht="72" x14ac:dyDescent="0.25">
      <c r="A286" s="1">
        <v>9</v>
      </c>
      <c r="B286" s="36">
        <f t="shared" si="25"/>
        <v>5</v>
      </c>
      <c r="C286" s="37" t="s">
        <v>417</v>
      </c>
      <c r="D286" s="38" t="s">
        <v>45</v>
      </c>
      <c r="E286" s="40">
        <v>1000</v>
      </c>
      <c r="F286" s="40">
        <v>1000</v>
      </c>
      <c r="G286" s="40">
        <v>1000</v>
      </c>
      <c r="H286" s="40">
        <v>1000</v>
      </c>
      <c r="I286" s="40">
        <v>1000</v>
      </c>
      <c r="J286" s="40">
        <v>0</v>
      </c>
      <c r="K286" s="64" t="s">
        <v>115</v>
      </c>
      <c r="L286" s="42"/>
      <c r="M286" s="43"/>
    </row>
    <row r="287" spans="1:13" ht="54" x14ac:dyDescent="0.25">
      <c r="A287" s="1">
        <v>9</v>
      </c>
      <c r="B287" s="44">
        <f t="shared" si="25"/>
        <v>6</v>
      </c>
      <c r="C287" s="37" t="s">
        <v>418</v>
      </c>
      <c r="D287" s="38" t="s">
        <v>33</v>
      </c>
      <c r="E287" s="40">
        <f>1000-600</f>
        <v>400</v>
      </c>
      <c r="F287" s="40">
        <v>400</v>
      </c>
      <c r="G287" s="40">
        <v>400</v>
      </c>
      <c r="H287" s="40">
        <v>356.37400000000002</v>
      </c>
      <c r="I287" s="40">
        <v>356.67399999999998</v>
      </c>
      <c r="J287" s="40">
        <v>0</v>
      </c>
      <c r="K287" s="64" t="s">
        <v>115</v>
      </c>
      <c r="L287" s="42"/>
      <c r="M287" s="43"/>
    </row>
    <row r="288" spans="1:13" ht="54" x14ac:dyDescent="0.25">
      <c r="A288" s="1">
        <v>9</v>
      </c>
      <c r="B288" s="36">
        <f t="shared" si="25"/>
        <v>7</v>
      </c>
      <c r="C288" s="37" t="s">
        <v>419</v>
      </c>
      <c r="D288" s="38" t="s">
        <v>95</v>
      </c>
      <c r="E288" s="40">
        <v>3073.442</v>
      </c>
      <c r="F288" s="40">
        <v>3073.442</v>
      </c>
      <c r="G288" s="40">
        <v>3073.442</v>
      </c>
      <c r="H288" s="40">
        <v>3073.442</v>
      </c>
      <c r="I288" s="40">
        <v>3073.442</v>
      </c>
      <c r="J288" s="40">
        <v>0</v>
      </c>
      <c r="K288" s="64" t="s">
        <v>115</v>
      </c>
      <c r="L288" s="42"/>
      <c r="M288" s="43"/>
    </row>
    <row r="289" spans="1:13" ht="54" x14ac:dyDescent="0.25">
      <c r="A289" s="1">
        <v>9</v>
      </c>
      <c r="B289" s="44">
        <f t="shared" si="25"/>
        <v>8</v>
      </c>
      <c r="C289" s="37" t="s">
        <v>420</v>
      </c>
      <c r="D289" s="38" t="s">
        <v>73</v>
      </c>
      <c r="E289" s="39">
        <f>2734.5-1200</f>
        <v>1534.5</v>
      </c>
      <c r="F289" s="39">
        <v>1534.5</v>
      </c>
      <c r="G289" s="40">
        <v>1534.5</v>
      </c>
      <c r="H289" s="40">
        <v>1520.93345</v>
      </c>
      <c r="I289" s="40">
        <v>1068.93345</v>
      </c>
      <c r="J289" s="40">
        <v>0</v>
      </c>
      <c r="K289" s="64" t="s">
        <v>115</v>
      </c>
      <c r="L289" s="42"/>
      <c r="M289" s="43"/>
    </row>
    <row r="290" spans="1:13" ht="72" x14ac:dyDescent="0.25">
      <c r="A290" s="1">
        <v>9</v>
      </c>
      <c r="B290" s="36">
        <f t="shared" si="25"/>
        <v>9</v>
      </c>
      <c r="C290" s="37" t="s">
        <v>421</v>
      </c>
      <c r="D290" s="38" t="s">
        <v>45</v>
      </c>
      <c r="E290" s="40">
        <v>1000</v>
      </c>
      <c r="F290" s="40">
        <v>1000</v>
      </c>
      <c r="G290" s="40">
        <v>1000</v>
      </c>
      <c r="H290" s="40">
        <v>1000</v>
      </c>
      <c r="I290" s="40">
        <v>1000</v>
      </c>
      <c r="J290" s="40">
        <v>0</v>
      </c>
      <c r="K290" s="64" t="s">
        <v>115</v>
      </c>
      <c r="L290" s="42"/>
      <c r="M290" s="43"/>
    </row>
    <row r="291" spans="1:13" ht="54" x14ac:dyDescent="0.25">
      <c r="A291" s="1">
        <v>9</v>
      </c>
      <c r="B291" s="36">
        <f t="shared" si="25"/>
        <v>10</v>
      </c>
      <c r="C291" s="37" t="s">
        <v>422</v>
      </c>
      <c r="D291" s="38" t="s">
        <v>423</v>
      </c>
      <c r="E291" s="40">
        <v>500</v>
      </c>
      <c r="F291" s="40">
        <v>500</v>
      </c>
      <c r="G291" s="40">
        <v>500</v>
      </c>
      <c r="H291" s="40">
        <v>500</v>
      </c>
      <c r="I291" s="40">
        <v>500</v>
      </c>
      <c r="J291" s="40">
        <v>0</v>
      </c>
      <c r="K291" s="64" t="s">
        <v>115</v>
      </c>
      <c r="L291" s="42"/>
      <c r="M291" s="43"/>
    </row>
    <row r="292" spans="1:13" ht="90" x14ac:dyDescent="0.25">
      <c r="A292" s="1">
        <v>9</v>
      </c>
      <c r="B292" s="36">
        <f t="shared" si="25"/>
        <v>11</v>
      </c>
      <c r="C292" s="37" t="s">
        <v>424</v>
      </c>
      <c r="D292" s="38" t="s">
        <v>37</v>
      </c>
      <c r="E292" s="40">
        <v>19500</v>
      </c>
      <c r="F292" s="40">
        <v>19500</v>
      </c>
      <c r="G292" s="40">
        <v>19500</v>
      </c>
      <c r="H292" s="40">
        <v>19500</v>
      </c>
      <c r="I292" s="40">
        <v>19500</v>
      </c>
      <c r="J292" s="40">
        <v>0</v>
      </c>
      <c r="K292" s="64" t="s">
        <v>38</v>
      </c>
      <c r="L292" s="42" t="s">
        <v>425</v>
      </c>
      <c r="M292" s="43"/>
    </row>
    <row r="293" spans="1:13" ht="54" x14ac:dyDescent="0.25">
      <c r="A293" s="1">
        <v>9</v>
      </c>
      <c r="B293" s="36">
        <f t="shared" si="25"/>
        <v>12</v>
      </c>
      <c r="C293" s="37" t="s">
        <v>426</v>
      </c>
      <c r="D293" s="38" t="s">
        <v>37</v>
      </c>
      <c r="E293" s="40">
        <v>19500</v>
      </c>
      <c r="F293" s="40">
        <v>19500</v>
      </c>
      <c r="G293" s="40">
        <v>19500</v>
      </c>
      <c r="H293" s="40">
        <v>16129.117</v>
      </c>
      <c r="I293" s="40">
        <v>16129.117</v>
      </c>
      <c r="J293" s="40">
        <v>0</v>
      </c>
      <c r="K293" s="64" t="s">
        <v>115</v>
      </c>
      <c r="L293" s="42"/>
      <c r="M293" s="43"/>
    </row>
    <row r="294" spans="1:13" ht="75" x14ac:dyDescent="0.25">
      <c r="A294" s="1">
        <v>9</v>
      </c>
      <c r="B294" s="36">
        <f t="shared" si="25"/>
        <v>13</v>
      </c>
      <c r="C294" s="37" t="s">
        <v>427</v>
      </c>
      <c r="D294" s="38" t="s">
        <v>37</v>
      </c>
      <c r="E294" s="40">
        <v>17000</v>
      </c>
      <c r="F294" s="40">
        <v>17000</v>
      </c>
      <c r="G294" s="40">
        <v>17000</v>
      </c>
      <c r="H294" s="40">
        <v>17000</v>
      </c>
      <c r="I294" s="40">
        <v>17000</v>
      </c>
      <c r="J294" s="40">
        <v>0</v>
      </c>
      <c r="K294" s="64" t="s">
        <v>38</v>
      </c>
      <c r="L294" s="42" t="s">
        <v>428</v>
      </c>
      <c r="M294" s="43"/>
    </row>
    <row r="295" spans="1:13" ht="54" x14ac:dyDescent="0.25">
      <c r="A295" s="1">
        <v>9</v>
      </c>
      <c r="B295" s="36">
        <f t="shared" si="25"/>
        <v>14</v>
      </c>
      <c r="C295" s="37" t="s">
        <v>429</v>
      </c>
      <c r="D295" s="38" t="s">
        <v>37</v>
      </c>
      <c r="E295" s="40">
        <v>1998</v>
      </c>
      <c r="F295" s="40">
        <v>1998</v>
      </c>
      <c r="G295" s="40">
        <v>1998</v>
      </c>
      <c r="H295" s="40">
        <v>0</v>
      </c>
      <c r="I295" s="40">
        <v>0</v>
      </c>
      <c r="J295" s="40">
        <v>0</v>
      </c>
      <c r="K295" s="64" t="s">
        <v>115</v>
      </c>
      <c r="L295" s="42"/>
      <c r="M295" s="43"/>
    </row>
    <row r="296" spans="1:13" ht="54" x14ac:dyDescent="0.25">
      <c r="A296" s="1">
        <v>9</v>
      </c>
      <c r="B296" s="36">
        <f t="shared" si="25"/>
        <v>15</v>
      </c>
      <c r="C296" s="37" t="s">
        <v>430</v>
      </c>
      <c r="D296" s="38" t="s">
        <v>423</v>
      </c>
      <c r="E296" s="40">
        <v>3392.058</v>
      </c>
      <c r="F296" s="40">
        <v>3392.058</v>
      </c>
      <c r="G296" s="40">
        <v>3392.058</v>
      </c>
      <c r="H296" s="40">
        <v>3270</v>
      </c>
      <c r="I296" s="40">
        <v>3270</v>
      </c>
      <c r="J296" s="40">
        <v>0</v>
      </c>
      <c r="K296" s="64" t="s">
        <v>115</v>
      </c>
      <c r="L296" s="42"/>
      <c r="M296" s="43"/>
    </row>
    <row r="297" spans="1:13" ht="36" x14ac:dyDescent="0.25">
      <c r="A297" s="1">
        <v>9</v>
      </c>
      <c r="B297" s="36">
        <f t="shared" si="25"/>
        <v>16</v>
      </c>
      <c r="C297" s="37" t="s">
        <v>431</v>
      </c>
      <c r="D297" s="38" t="s">
        <v>65</v>
      </c>
      <c r="E297" s="40">
        <v>2000</v>
      </c>
      <c r="F297" s="40">
        <v>2000</v>
      </c>
      <c r="G297" s="40">
        <v>2000</v>
      </c>
      <c r="H297" s="40">
        <v>2000</v>
      </c>
      <c r="I297" s="40">
        <v>2000</v>
      </c>
      <c r="J297" s="40">
        <v>0</v>
      </c>
      <c r="K297" s="64" t="s">
        <v>75</v>
      </c>
      <c r="L297" s="42"/>
      <c r="M297" s="43"/>
    </row>
    <row r="298" spans="1:13" ht="72" x14ac:dyDescent="0.25">
      <c r="A298" s="1">
        <v>9</v>
      </c>
      <c r="B298" s="36">
        <f t="shared" si="25"/>
        <v>17</v>
      </c>
      <c r="C298" s="37" t="s">
        <v>432</v>
      </c>
      <c r="D298" s="38" t="s">
        <v>423</v>
      </c>
      <c r="E298" s="40">
        <v>1500</v>
      </c>
      <c r="F298" s="40">
        <v>1500</v>
      </c>
      <c r="G298" s="40">
        <v>1500</v>
      </c>
      <c r="H298" s="40">
        <v>1500</v>
      </c>
      <c r="I298" s="40">
        <v>1500</v>
      </c>
      <c r="J298" s="40">
        <v>0</v>
      </c>
      <c r="K298" s="64" t="s">
        <v>106</v>
      </c>
      <c r="L298" s="42"/>
      <c r="M298" s="43"/>
    </row>
    <row r="299" spans="1:13" ht="54" x14ac:dyDescent="0.25">
      <c r="A299" s="1">
        <v>9</v>
      </c>
      <c r="B299" s="36">
        <f t="shared" si="25"/>
        <v>18</v>
      </c>
      <c r="C299" s="37" t="s">
        <v>433</v>
      </c>
      <c r="D299" s="38" t="s">
        <v>37</v>
      </c>
      <c r="E299" s="40">
        <v>1329.5740000000001</v>
      </c>
      <c r="F299" s="40">
        <v>1329.5740000000001</v>
      </c>
      <c r="G299" s="40">
        <v>1329.5740000000001</v>
      </c>
      <c r="H299" s="40">
        <v>1329.5740000000001</v>
      </c>
      <c r="I299" s="40">
        <v>1329.5740000000001</v>
      </c>
      <c r="J299" s="40">
        <v>0</v>
      </c>
      <c r="K299" s="64" t="s">
        <v>38</v>
      </c>
      <c r="L299" s="42" t="s">
        <v>434</v>
      </c>
      <c r="M299" s="43"/>
    </row>
    <row r="300" spans="1:13" ht="54" x14ac:dyDescent="0.25">
      <c r="A300" s="1">
        <v>9</v>
      </c>
      <c r="B300" s="36">
        <f t="shared" si="25"/>
        <v>19</v>
      </c>
      <c r="C300" s="37" t="s">
        <v>435</v>
      </c>
      <c r="D300" s="38" t="s">
        <v>37</v>
      </c>
      <c r="E300" s="40">
        <v>1185</v>
      </c>
      <c r="F300" s="40">
        <v>1185</v>
      </c>
      <c r="G300" s="40">
        <v>1185</v>
      </c>
      <c r="H300" s="40">
        <v>857.07</v>
      </c>
      <c r="I300" s="40">
        <v>857.07</v>
      </c>
      <c r="J300" s="40">
        <v>0</v>
      </c>
      <c r="K300" s="64" t="s">
        <v>38</v>
      </c>
      <c r="L300" s="42" t="s">
        <v>436</v>
      </c>
      <c r="M300" s="43"/>
    </row>
    <row r="301" spans="1:13" ht="72" x14ac:dyDescent="0.25">
      <c r="A301" s="1">
        <v>9</v>
      </c>
      <c r="B301" s="36">
        <f t="shared" si="25"/>
        <v>20</v>
      </c>
      <c r="C301" s="37" t="s">
        <v>437</v>
      </c>
      <c r="D301" s="38" t="s">
        <v>73</v>
      </c>
      <c r="E301" s="40">
        <v>1372.1</v>
      </c>
      <c r="F301" s="40">
        <v>1372.1</v>
      </c>
      <c r="G301" s="40">
        <v>1372.1</v>
      </c>
      <c r="H301" s="40">
        <v>1044.0203899999999</v>
      </c>
      <c r="I301" s="40">
        <v>1044.0203899999999</v>
      </c>
      <c r="J301" s="40">
        <v>0</v>
      </c>
      <c r="K301" s="64" t="s">
        <v>38</v>
      </c>
      <c r="L301" s="42" t="s">
        <v>438</v>
      </c>
      <c r="M301" s="43"/>
    </row>
    <row r="302" spans="1:13" ht="72" x14ac:dyDescent="0.25">
      <c r="A302" s="1">
        <v>9</v>
      </c>
      <c r="B302" s="36">
        <f t="shared" si="25"/>
        <v>21</v>
      </c>
      <c r="C302" s="37" t="s">
        <v>439</v>
      </c>
      <c r="D302" s="38" t="s">
        <v>61</v>
      </c>
      <c r="E302" s="40">
        <v>2700</v>
      </c>
      <c r="F302" s="40">
        <v>2700</v>
      </c>
      <c r="G302" s="40">
        <v>2700</v>
      </c>
      <c r="H302" s="40">
        <v>2700</v>
      </c>
      <c r="I302" s="40">
        <v>2700</v>
      </c>
      <c r="J302" s="40">
        <v>0</v>
      </c>
      <c r="K302" s="64" t="s">
        <v>106</v>
      </c>
      <c r="L302" s="42"/>
      <c r="M302" s="43"/>
    </row>
    <row r="303" spans="1:13" ht="108" x14ac:dyDescent="0.25">
      <c r="A303" s="1">
        <v>9</v>
      </c>
      <c r="B303" s="44">
        <f t="shared" si="25"/>
        <v>22</v>
      </c>
      <c r="C303" s="37" t="s">
        <v>440</v>
      </c>
      <c r="D303" s="38" t="s">
        <v>37</v>
      </c>
      <c r="E303" s="40">
        <f>746.543+600</f>
        <v>1346.5430000000001</v>
      </c>
      <c r="F303" s="40">
        <v>1346.5430000000001</v>
      </c>
      <c r="G303" s="40">
        <v>1346.5430000000001</v>
      </c>
      <c r="H303" s="40">
        <v>1346.1904300000001</v>
      </c>
      <c r="I303" s="40">
        <v>1346.1904300000001</v>
      </c>
      <c r="J303" s="40">
        <v>0</v>
      </c>
      <c r="K303" s="64" t="s">
        <v>38</v>
      </c>
      <c r="L303" s="42" t="s">
        <v>441</v>
      </c>
      <c r="M303" s="43"/>
    </row>
    <row r="304" spans="1:13" ht="54" x14ac:dyDescent="0.25">
      <c r="A304" s="1">
        <v>9</v>
      </c>
      <c r="B304" s="36">
        <f t="shared" si="25"/>
        <v>23</v>
      </c>
      <c r="C304" s="37" t="s">
        <v>442</v>
      </c>
      <c r="D304" s="38" t="s">
        <v>41</v>
      </c>
      <c r="E304" s="40">
        <v>3000</v>
      </c>
      <c r="F304" s="40">
        <v>3000</v>
      </c>
      <c r="G304" s="40">
        <v>3000</v>
      </c>
      <c r="H304" s="40">
        <v>3000</v>
      </c>
      <c r="I304" s="40">
        <v>3000</v>
      </c>
      <c r="J304" s="40">
        <v>0</v>
      </c>
      <c r="K304" s="64" t="s">
        <v>115</v>
      </c>
      <c r="L304" s="42"/>
      <c r="M304" s="43"/>
    </row>
    <row r="305" spans="1:13" ht="72" x14ac:dyDescent="0.25">
      <c r="A305" s="1">
        <v>9</v>
      </c>
      <c r="B305" s="36">
        <f t="shared" si="25"/>
        <v>24</v>
      </c>
      <c r="C305" s="37" t="s">
        <v>443</v>
      </c>
      <c r="D305" s="38" t="s">
        <v>65</v>
      </c>
      <c r="E305" s="40">
        <v>2000</v>
      </c>
      <c r="F305" s="40">
        <v>2000</v>
      </c>
      <c r="G305" s="40">
        <v>2000</v>
      </c>
      <c r="H305" s="40">
        <v>2000</v>
      </c>
      <c r="I305" s="40">
        <v>2000</v>
      </c>
      <c r="J305" s="40">
        <v>0</v>
      </c>
      <c r="K305" s="64" t="s">
        <v>115</v>
      </c>
      <c r="L305" s="42"/>
      <c r="M305" s="43"/>
    </row>
    <row r="306" spans="1:13" ht="72" x14ac:dyDescent="0.25">
      <c r="A306" s="1">
        <v>9</v>
      </c>
      <c r="B306" s="36">
        <f t="shared" si="25"/>
        <v>25</v>
      </c>
      <c r="C306" s="37" t="s">
        <v>444</v>
      </c>
      <c r="D306" s="38" t="s">
        <v>37</v>
      </c>
      <c r="E306" s="39">
        <v>1326</v>
      </c>
      <c r="F306" s="39">
        <v>1326</v>
      </c>
      <c r="G306" s="39">
        <v>1326</v>
      </c>
      <c r="H306" s="39">
        <v>1323</v>
      </c>
      <c r="I306" s="39">
        <v>1323</v>
      </c>
      <c r="J306" s="40">
        <v>0</v>
      </c>
      <c r="K306" s="41" t="s">
        <v>38</v>
      </c>
      <c r="L306" s="42" t="s">
        <v>445</v>
      </c>
      <c r="M306" s="43" t="s">
        <v>157</v>
      </c>
    </row>
    <row r="307" spans="1:13" ht="72.75" thickBot="1" x14ac:dyDescent="0.3">
      <c r="A307" s="1">
        <v>9</v>
      </c>
      <c r="B307" s="66">
        <f t="shared" si="25"/>
        <v>26</v>
      </c>
      <c r="C307" s="57" t="s">
        <v>446</v>
      </c>
      <c r="D307" s="67" t="s">
        <v>33</v>
      </c>
      <c r="E307" s="69">
        <v>1200</v>
      </c>
      <c r="F307" s="69">
        <v>1200</v>
      </c>
      <c r="G307" s="69">
        <v>1200</v>
      </c>
      <c r="H307" s="69">
        <v>1200</v>
      </c>
      <c r="I307" s="69">
        <v>1200</v>
      </c>
      <c r="J307" s="68">
        <v>0</v>
      </c>
      <c r="K307" s="78" t="s">
        <v>447</v>
      </c>
      <c r="L307" s="71"/>
      <c r="M307" s="72"/>
    </row>
    <row r="308" spans="1:13" ht="18" x14ac:dyDescent="0.25">
      <c r="A308" s="1">
        <v>10</v>
      </c>
      <c r="B308" s="112" t="s">
        <v>448</v>
      </c>
      <c r="C308" s="113"/>
      <c r="D308" s="113"/>
      <c r="E308" s="113"/>
      <c r="F308" s="113"/>
      <c r="G308" s="113"/>
      <c r="H308" s="113"/>
      <c r="I308" s="113"/>
      <c r="J308" s="113"/>
      <c r="K308" s="113"/>
      <c r="L308" s="113"/>
      <c r="M308" s="114"/>
    </row>
    <row r="309" spans="1:13" ht="18" x14ac:dyDescent="0.25">
      <c r="A309" s="1">
        <v>10</v>
      </c>
      <c r="B309" s="21"/>
      <c r="C309" s="22" t="s">
        <v>25</v>
      </c>
      <c r="D309" s="23"/>
      <c r="E309" s="34">
        <f t="shared" ref="E309:J309" si="26">SUM(E310,E312:E330)</f>
        <v>97127.05</v>
      </c>
      <c r="F309" s="34">
        <f t="shared" si="26"/>
        <v>97127.05</v>
      </c>
      <c r="G309" s="34">
        <f t="shared" si="26"/>
        <v>97127.05</v>
      </c>
      <c r="H309" s="34">
        <f t="shared" si="26"/>
        <v>96500.294289999976</v>
      </c>
      <c r="I309" s="34">
        <f t="shared" si="26"/>
        <v>96500.294289999976</v>
      </c>
      <c r="J309" s="34">
        <f t="shared" si="26"/>
        <v>0</v>
      </c>
      <c r="K309" s="23"/>
      <c r="L309" s="23"/>
      <c r="M309" s="26"/>
    </row>
    <row r="310" spans="1:13" ht="18" x14ac:dyDescent="0.25">
      <c r="A310" s="1">
        <v>10</v>
      </c>
      <c r="B310" s="21"/>
      <c r="C310" s="22" t="s">
        <v>22</v>
      </c>
      <c r="D310" s="23"/>
      <c r="E310" s="34">
        <v>0</v>
      </c>
      <c r="F310" s="34">
        <v>0</v>
      </c>
      <c r="G310" s="34">
        <v>0</v>
      </c>
      <c r="H310" s="34"/>
      <c r="I310" s="34"/>
      <c r="J310" s="34"/>
      <c r="K310" s="23"/>
      <c r="L310" s="23"/>
      <c r="M310" s="26"/>
    </row>
    <row r="311" spans="1:13" ht="36" x14ac:dyDescent="0.25">
      <c r="A311" s="1">
        <v>10</v>
      </c>
      <c r="B311" s="21"/>
      <c r="C311" s="22" t="s">
        <v>23</v>
      </c>
      <c r="D311" s="23"/>
      <c r="E311" s="34">
        <f t="shared" ref="E311:J311" si="27">SUM(E312:E330)</f>
        <v>97127.05</v>
      </c>
      <c r="F311" s="34">
        <f t="shared" si="27"/>
        <v>97127.05</v>
      </c>
      <c r="G311" s="34">
        <f t="shared" si="27"/>
        <v>97127.05</v>
      </c>
      <c r="H311" s="34">
        <f t="shared" si="27"/>
        <v>96500.294289999976</v>
      </c>
      <c r="I311" s="34">
        <f t="shared" si="27"/>
        <v>96500.294289999976</v>
      </c>
      <c r="J311" s="34">
        <f t="shared" si="27"/>
        <v>0</v>
      </c>
      <c r="K311" s="23"/>
      <c r="L311" s="23"/>
      <c r="M311" s="26"/>
    </row>
    <row r="312" spans="1:13" ht="72" x14ac:dyDescent="0.25">
      <c r="A312" s="1">
        <v>10</v>
      </c>
      <c r="B312" s="36">
        <v>1</v>
      </c>
      <c r="C312" s="37" t="s">
        <v>449</v>
      </c>
      <c r="D312" s="38" t="s">
        <v>450</v>
      </c>
      <c r="E312" s="40">
        <v>5172.5829999999996</v>
      </c>
      <c r="F312" s="40">
        <v>5172.5829999999996</v>
      </c>
      <c r="G312" s="40">
        <v>5172.5829999999996</v>
      </c>
      <c r="H312" s="40">
        <v>5160.19506</v>
      </c>
      <c r="I312" s="40">
        <v>5160.19506</v>
      </c>
      <c r="J312" s="40">
        <v>0</v>
      </c>
      <c r="K312" s="64" t="s">
        <v>451</v>
      </c>
      <c r="L312" s="42"/>
      <c r="M312" s="43"/>
    </row>
    <row r="313" spans="1:13" ht="54" x14ac:dyDescent="0.25">
      <c r="A313" s="1">
        <v>10</v>
      </c>
      <c r="B313" s="36">
        <f>B312+1</f>
        <v>2</v>
      </c>
      <c r="C313" s="37" t="s">
        <v>452</v>
      </c>
      <c r="D313" s="38" t="s">
        <v>330</v>
      </c>
      <c r="E313" s="40">
        <v>15000</v>
      </c>
      <c r="F313" s="40">
        <v>15000</v>
      </c>
      <c r="G313" s="40">
        <v>15000</v>
      </c>
      <c r="H313" s="40">
        <v>14994.121800000001</v>
      </c>
      <c r="I313" s="40">
        <v>14994.121800000001</v>
      </c>
      <c r="J313" s="40">
        <v>0</v>
      </c>
      <c r="K313" s="64" t="s">
        <v>451</v>
      </c>
      <c r="L313" s="42"/>
      <c r="M313" s="43"/>
    </row>
    <row r="314" spans="1:13" ht="72" x14ac:dyDescent="0.25">
      <c r="A314" s="1">
        <v>10</v>
      </c>
      <c r="B314" s="36">
        <f t="shared" ref="B314:B330" si="28">B313+1</f>
        <v>3</v>
      </c>
      <c r="C314" s="37" t="s">
        <v>453</v>
      </c>
      <c r="D314" s="38" t="s">
        <v>33</v>
      </c>
      <c r="E314" s="40">
        <v>8000</v>
      </c>
      <c r="F314" s="40">
        <v>8000</v>
      </c>
      <c r="G314" s="40">
        <v>8000</v>
      </c>
      <c r="H314" s="40">
        <v>7998.3119999999999</v>
      </c>
      <c r="I314" s="40">
        <v>7998.3119999999999</v>
      </c>
      <c r="J314" s="40">
        <v>0</v>
      </c>
      <c r="K314" s="64" t="s">
        <v>454</v>
      </c>
      <c r="L314" s="42"/>
      <c r="M314" s="43"/>
    </row>
    <row r="315" spans="1:13" ht="54" x14ac:dyDescent="0.25">
      <c r="A315" s="1">
        <v>10</v>
      </c>
      <c r="B315" s="36">
        <f t="shared" si="28"/>
        <v>4</v>
      </c>
      <c r="C315" s="37" t="s">
        <v>455</v>
      </c>
      <c r="D315" s="38" t="s">
        <v>330</v>
      </c>
      <c r="E315" s="40">
        <v>7474.942</v>
      </c>
      <c r="F315" s="40">
        <v>7474.942</v>
      </c>
      <c r="G315" s="40">
        <v>7474.942</v>
      </c>
      <c r="H315" s="40">
        <v>7463.6176799999994</v>
      </c>
      <c r="I315" s="40">
        <v>7463.6176799999994</v>
      </c>
      <c r="J315" s="40">
        <v>0</v>
      </c>
      <c r="K315" s="64" t="s">
        <v>454</v>
      </c>
      <c r="L315" s="42"/>
      <c r="M315" s="43"/>
    </row>
    <row r="316" spans="1:13" ht="54" x14ac:dyDescent="0.25">
      <c r="A316" s="1">
        <v>10</v>
      </c>
      <c r="B316" s="36">
        <f t="shared" si="28"/>
        <v>5</v>
      </c>
      <c r="C316" s="37" t="s">
        <v>456</v>
      </c>
      <c r="D316" s="38" t="s">
        <v>33</v>
      </c>
      <c r="E316" s="40">
        <v>4666.2659999999996</v>
      </c>
      <c r="F316" s="40">
        <v>4666.2659999999996</v>
      </c>
      <c r="G316" s="40">
        <v>4666.2659999999996</v>
      </c>
      <c r="H316" s="40">
        <v>4662.4906700000001</v>
      </c>
      <c r="I316" s="40">
        <v>4662.4906700000001</v>
      </c>
      <c r="J316" s="40">
        <v>0</v>
      </c>
      <c r="K316" s="64" t="s">
        <v>454</v>
      </c>
      <c r="L316" s="42"/>
      <c r="M316" s="43"/>
    </row>
    <row r="317" spans="1:13" ht="72" x14ac:dyDescent="0.25">
      <c r="A317" s="1">
        <v>10</v>
      </c>
      <c r="B317" s="36">
        <f t="shared" si="28"/>
        <v>6</v>
      </c>
      <c r="C317" s="37" t="s">
        <v>457</v>
      </c>
      <c r="D317" s="38" t="s">
        <v>33</v>
      </c>
      <c r="E317" s="40">
        <v>7000</v>
      </c>
      <c r="F317" s="40">
        <v>7000</v>
      </c>
      <c r="G317" s="40">
        <v>7000</v>
      </c>
      <c r="H317" s="40">
        <v>6907.4294400000008</v>
      </c>
      <c r="I317" s="40">
        <v>6907.4294400000008</v>
      </c>
      <c r="J317" s="40">
        <v>0</v>
      </c>
      <c r="K317" s="64" t="s">
        <v>454</v>
      </c>
      <c r="L317" s="42"/>
      <c r="M317" s="43"/>
    </row>
    <row r="318" spans="1:13" ht="72" x14ac:dyDescent="0.25">
      <c r="A318" s="1">
        <v>10</v>
      </c>
      <c r="B318" s="44">
        <f t="shared" si="28"/>
        <v>7</v>
      </c>
      <c r="C318" s="37" t="s">
        <v>458</v>
      </c>
      <c r="D318" s="38" t="s">
        <v>37</v>
      </c>
      <c r="E318" s="40">
        <f>5758.288-991.919</f>
        <v>4766.3689999999997</v>
      </c>
      <c r="F318" s="40">
        <v>4766.3689999999997</v>
      </c>
      <c r="G318" s="40">
        <v>4766.3689999999997</v>
      </c>
      <c r="H318" s="40">
        <v>4586.8207499999999</v>
      </c>
      <c r="I318" s="40">
        <v>4586.8207499999999</v>
      </c>
      <c r="J318" s="40">
        <v>0</v>
      </c>
      <c r="K318" s="64" t="s">
        <v>454</v>
      </c>
      <c r="L318" s="42"/>
      <c r="M318" s="43"/>
    </row>
    <row r="319" spans="1:13" ht="72" x14ac:dyDescent="0.25">
      <c r="A319" s="1">
        <v>10</v>
      </c>
      <c r="B319" s="36">
        <f t="shared" si="28"/>
        <v>8</v>
      </c>
      <c r="C319" s="37" t="s">
        <v>459</v>
      </c>
      <c r="D319" s="38" t="s">
        <v>37</v>
      </c>
      <c r="E319" s="40">
        <v>1289.624</v>
      </c>
      <c r="F319" s="40">
        <v>1289.624</v>
      </c>
      <c r="G319" s="40">
        <v>1289.624</v>
      </c>
      <c r="H319" s="40">
        <v>1265.7381499999999</v>
      </c>
      <c r="I319" s="40">
        <v>1265.7381499999999</v>
      </c>
      <c r="J319" s="40">
        <v>0</v>
      </c>
      <c r="K319" s="64" t="s">
        <v>145</v>
      </c>
      <c r="L319" s="73" t="s">
        <v>460</v>
      </c>
      <c r="M319" s="81"/>
    </row>
    <row r="320" spans="1:13" ht="72" x14ac:dyDescent="0.25">
      <c r="A320" s="1">
        <v>10</v>
      </c>
      <c r="B320" s="36">
        <f t="shared" si="28"/>
        <v>9</v>
      </c>
      <c r="C320" s="37" t="s">
        <v>461</v>
      </c>
      <c r="D320" s="38" t="s">
        <v>33</v>
      </c>
      <c r="E320" s="40">
        <v>8000</v>
      </c>
      <c r="F320" s="40">
        <v>8000</v>
      </c>
      <c r="G320" s="40">
        <v>8000</v>
      </c>
      <c r="H320" s="40">
        <v>7882.3622500000001</v>
      </c>
      <c r="I320" s="40">
        <v>7882.3622500000001</v>
      </c>
      <c r="J320" s="40">
        <v>0</v>
      </c>
      <c r="K320" s="64" t="s">
        <v>454</v>
      </c>
      <c r="L320" s="42"/>
      <c r="M320" s="81"/>
    </row>
    <row r="321" spans="1:13" ht="54" x14ac:dyDescent="0.25">
      <c r="A321" s="1">
        <v>10</v>
      </c>
      <c r="B321" s="36">
        <f t="shared" si="28"/>
        <v>10</v>
      </c>
      <c r="C321" s="37" t="s">
        <v>462</v>
      </c>
      <c r="D321" s="38" t="s">
        <v>330</v>
      </c>
      <c r="E321" s="40">
        <v>12439.794</v>
      </c>
      <c r="F321" s="40">
        <v>12439.794</v>
      </c>
      <c r="G321" s="40">
        <v>12439.794</v>
      </c>
      <c r="H321" s="40">
        <v>12420.2988</v>
      </c>
      <c r="I321" s="40">
        <v>12420.2988</v>
      </c>
      <c r="J321" s="40">
        <v>0</v>
      </c>
      <c r="K321" s="64" t="s">
        <v>451</v>
      </c>
      <c r="L321" s="42"/>
      <c r="M321" s="81"/>
    </row>
    <row r="322" spans="1:13" ht="72" x14ac:dyDescent="0.25">
      <c r="A322" s="1">
        <v>10</v>
      </c>
      <c r="B322" s="44">
        <f t="shared" si="28"/>
        <v>11</v>
      </c>
      <c r="C322" s="37" t="s">
        <v>463</v>
      </c>
      <c r="D322" s="38" t="s">
        <v>33</v>
      </c>
      <c r="E322" s="40">
        <f>1071.025+77.955+732.455</f>
        <v>1881.4349999999999</v>
      </c>
      <c r="F322" s="40">
        <v>1881.4349999999999</v>
      </c>
      <c r="G322" s="40">
        <v>1881.4349999999999</v>
      </c>
      <c r="H322" s="40">
        <v>1878.1348600000001</v>
      </c>
      <c r="I322" s="40">
        <v>1878.1348600000001</v>
      </c>
      <c r="J322" s="40">
        <v>0</v>
      </c>
      <c r="K322" s="64" t="s">
        <v>145</v>
      </c>
      <c r="L322" s="73" t="s">
        <v>464</v>
      </c>
      <c r="M322" s="81"/>
    </row>
    <row r="323" spans="1:13" ht="90" x14ac:dyDescent="0.25">
      <c r="A323" s="1">
        <v>10</v>
      </c>
      <c r="B323" s="44">
        <f t="shared" si="28"/>
        <v>12</v>
      </c>
      <c r="C323" s="37" t="s">
        <v>465</v>
      </c>
      <c r="D323" s="38" t="s">
        <v>37</v>
      </c>
      <c r="E323" s="40">
        <f>886.811+342.632</f>
        <v>1229.443</v>
      </c>
      <c r="F323" s="40">
        <v>1229.443</v>
      </c>
      <c r="G323" s="40">
        <v>1229.443</v>
      </c>
      <c r="H323" s="40">
        <v>1215.2352800000001</v>
      </c>
      <c r="I323" s="40">
        <v>1215.2352800000001</v>
      </c>
      <c r="J323" s="40">
        <v>0</v>
      </c>
      <c r="K323" s="64" t="s">
        <v>145</v>
      </c>
      <c r="L323" s="73" t="s">
        <v>466</v>
      </c>
      <c r="M323" s="81"/>
    </row>
    <row r="324" spans="1:13" ht="54" x14ac:dyDescent="0.25">
      <c r="A324" s="1">
        <v>10</v>
      </c>
      <c r="B324" s="36">
        <f t="shared" si="28"/>
        <v>13</v>
      </c>
      <c r="C324" s="37" t="s">
        <v>467</v>
      </c>
      <c r="D324" s="38" t="s">
        <v>37</v>
      </c>
      <c r="E324" s="40">
        <v>1340.09</v>
      </c>
      <c r="F324" s="40">
        <v>1340.09</v>
      </c>
      <c r="G324" s="40">
        <v>1340.09</v>
      </c>
      <c r="H324" s="40">
        <v>1307.7460000000001</v>
      </c>
      <c r="I324" s="40">
        <v>1307.7460000000001</v>
      </c>
      <c r="J324" s="40">
        <v>0</v>
      </c>
      <c r="K324" s="64" t="s">
        <v>38</v>
      </c>
      <c r="L324" s="73" t="s">
        <v>468</v>
      </c>
      <c r="M324" s="81"/>
    </row>
    <row r="325" spans="1:13" ht="90" x14ac:dyDescent="0.25">
      <c r="A325" s="1">
        <v>10</v>
      </c>
      <c r="B325" s="36">
        <f t="shared" si="28"/>
        <v>14</v>
      </c>
      <c r="C325" s="37" t="s">
        <v>469</v>
      </c>
      <c r="D325" s="38" t="s">
        <v>37</v>
      </c>
      <c r="E325" s="40">
        <v>945</v>
      </c>
      <c r="F325" s="40">
        <v>945</v>
      </c>
      <c r="G325" s="40">
        <v>945</v>
      </c>
      <c r="H325" s="40">
        <v>945</v>
      </c>
      <c r="I325" s="40">
        <v>945</v>
      </c>
      <c r="J325" s="40">
        <v>0</v>
      </c>
      <c r="K325" s="64" t="s">
        <v>38</v>
      </c>
      <c r="L325" s="42" t="s">
        <v>470</v>
      </c>
      <c r="M325" s="81" t="s">
        <v>157</v>
      </c>
    </row>
    <row r="326" spans="1:13" ht="72" x14ac:dyDescent="0.25">
      <c r="A326" s="1">
        <v>10</v>
      </c>
      <c r="B326" s="36">
        <f t="shared" si="28"/>
        <v>15</v>
      </c>
      <c r="C326" s="37" t="s">
        <v>471</v>
      </c>
      <c r="D326" s="38" t="s">
        <v>37</v>
      </c>
      <c r="E326" s="40">
        <v>1077.3989999999999</v>
      </c>
      <c r="F326" s="40">
        <v>1077.3989999999999</v>
      </c>
      <c r="G326" s="40">
        <v>1077.3989999999999</v>
      </c>
      <c r="H326" s="40">
        <v>993.76418000000001</v>
      </c>
      <c r="I326" s="40">
        <v>993.76418000000001</v>
      </c>
      <c r="J326" s="40">
        <v>0</v>
      </c>
      <c r="K326" s="64" t="s">
        <v>38</v>
      </c>
      <c r="L326" s="73" t="s">
        <v>296</v>
      </c>
      <c r="M326" s="81" t="s">
        <v>472</v>
      </c>
    </row>
    <row r="327" spans="1:13" ht="54" x14ac:dyDescent="0.25">
      <c r="A327" s="1">
        <v>10</v>
      </c>
      <c r="B327" s="36">
        <f t="shared" si="28"/>
        <v>16</v>
      </c>
      <c r="C327" s="37" t="s">
        <v>473</v>
      </c>
      <c r="D327" s="38" t="s">
        <v>33</v>
      </c>
      <c r="E327" s="40">
        <v>3516.5079999999998</v>
      </c>
      <c r="F327" s="40">
        <v>3516.5079999999998</v>
      </c>
      <c r="G327" s="40">
        <v>3516.5079999999998</v>
      </c>
      <c r="H327" s="40">
        <v>3512.3115600000001</v>
      </c>
      <c r="I327" s="40">
        <v>3512.3115600000001</v>
      </c>
      <c r="J327" s="40">
        <v>0</v>
      </c>
      <c r="K327" s="64" t="s">
        <v>454</v>
      </c>
      <c r="L327" s="42"/>
      <c r="M327" s="81"/>
    </row>
    <row r="328" spans="1:13" ht="72" x14ac:dyDescent="0.25">
      <c r="A328" s="1">
        <v>10</v>
      </c>
      <c r="B328" s="44">
        <f t="shared" si="28"/>
        <v>17</v>
      </c>
      <c r="C328" s="37" t="s">
        <v>474</v>
      </c>
      <c r="D328" s="38" t="s">
        <v>37</v>
      </c>
      <c r="E328" s="40">
        <f>4094.166-200.143</f>
        <v>3894.0230000000001</v>
      </c>
      <c r="F328" s="40">
        <v>3894.0230000000001</v>
      </c>
      <c r="G328" s="40">
        <v>3894.0230000000001</v>
      </c>
      <c r="H328" s="40">
        <v>3892.2392799999998</v>
      </c>
      <c r="I328" s="39">
        <v>3892.2392799999998</v>
      </c>
      <c r="J328" s="40">
        <v>0</v>
      </c>
      <c r="K328" s="64" t="s">
        <v>145</v>
      </c>
      <c r="L328" s="73" t="s">
        <v>475</v>
      </c>
      <c r="M328" s="81"/>
    </row>
    <row r="329" spans="1:13" ht="72" x14ac:dyDescent="0.25">
      <c r="A329" s="1">
        <v>10</v>
      </c>
      <c r="B329" s="82">
        <f t="shared" si="28"/>
        <v>18</v>
      </c>
      <c r="C329" s="83" t="s">
        <v>476</v>
      </c>
      <c r="D329" s="52" t="s">
        <v>33</v>
      </c>
      <c r="E329" s="84">
        <f>8077.177-962.343</f>
        <v>7114.8339999999998</v>
      </c>
      <c r="F329" s="84">
        <v>7114.8339999999998</v>
      </c>
      <c r="G329" s="84">
        <v>7114.8339999999998</v>
      </c>
      <c r="H329" s="84">
        <v>7110.7765300000001</v>
      </c>
      <c r="I329" s="84">
        <v>7110.7765300000001</v>
      </c>
      <c r="J329" s="84">
        <v>0</v>
      </c>
      <c r="K329" s="64" t="s">
        <v>145</v>
      </c>
      <c r="L329" s="73" t="s">
        <v>477</v>
      </c>
      <c r="M329" s="81"/>
    </row>
    <row r="330" spans="1:13" ht="54.75" thickBot="1" x14ac:dyDescent="0.3">
      <c r="A330" s="1">
        <v>10</v>
      </c>
      <c r="B330" s="66">
        <f t="shared" si="28"/>
        <v>19</v>
      </c>
      <c r="C330" s="57" t="s">
        <v>478</v>
      </c>
      <c r="D330" s="67" t="s">
        <v>41</v>
      </c>
      <c r="E330" s="68">
        <f>2059.276+259.464</f>
        <v>2318.7399999999998</v>
      </c>
      <c r="F330" s="68">
        <v>2318.7399999999998</v>
      </c>
      <c r="G330" s="68">
        <v>2318.7399999999998</v>
      </c>
      <c r="H330" s="68">
        <v>2303.6999999999998</v>
      </c>
      <c r="I330" s="68">
        <v>2303.6999999999998</v>
      </c>
      <c r="J330" s="68">
        <v>0</v>
      </c>
      <c r="K330" s="70" t="s">
        <v>454</v>
      </c>
      <c r="L330" s="71"/>
      <c r="M330" s="86"/>
    </row>
    <row r="331" spans="1:13" ht="18" x14ac:dyDescent="0.25">
      <c r="A331" s="1">
        <v>11</v>
      </c>
      <c r="B331" s="112" t="s">
        <v>479</v>
      </c>
      <c r="C331" s="113"/>
      <c r="D331" s="113"/>
      <c r="E331" s="113"/>
      <c r="F331" s="113"/>
      <c r="G331" s="113"/>
      <c r="H331" s="113"/>
      <c r="I331" s="113"/>
      <c r="J331" s="113"/>
      <c r="K331" s="113"/>
      <c r="L331" s="113"/>
      <c r="M331" s="114"/>
    </row>
    <row r="332" spans="1:13" ht="18" x14ac:dyDescent="0.25">
      <c r="A332" s="1">
        <v>11</v>
      </c>
      <c r="B332" s="21"/>
      <c r="C332" s="22" t="s">
        <v>25</v>
      </c>
      <c r="D332" s="23"/>
      <c r="E332" s="34">
        <f t="shared" ref="E332:J332" si="29">SUM(E333,E335:E350)</f>
        <v>54670.868999999999</v>
      </c>
      <c r="F332" s="34">
        <f t="shared" si="29"/>
        <v>54670.868999999999</v>
      </c>
      <c r="G332" s="34">
        <f t="shared" si="29"/>
        <v>54670.869000000006</v>
      </c>
      <c r="H332" s="34">
        <f t="shared" si="29"/>
        <v>53119.971090000014</v>
      </c>
      <c r="I332" s="34">
        <f t="shared" si="29"/>
        <v>53119.971090000014</v>
      </c>
      <c r="J332" s="34">
        <f t="shared" si="29"/>
        <v>0</v>
      </c>
      <c r="K332" s="23"/>
      <c r="L332" s="23"/>
      <c r="M332" s="26"/>
    </row>
    <row r="333" spans="1:13" ht="18" x14ac:dyDescent="0.25">
      <c r="A333" s="1">
        <v>11</v>
      </c>
      <c r="B333" s="21"/>
      <c r="C333" s="22" t="s">
        <v>22</v>
      </c>
      <c r="D333" s="23"/>
      <c r="E333" s="34">
        <v>0</v>
      </c>
      <c r="F333" s="34">
        <v>0</v>
      </c>
      <c r="G333" s="34">
        <f>0+1550.844</f>
        <v>1550.8440000000001</v>
      </c>
      <c r="H333" s="34"/>
      <c r="I333" s="34"/>
      <c r="J333" s="34"/>
      <c r="K333" s="23"/>
      <c r="L333" s="23"/>
      <c r="M333" s="26"/>
    </row>
    <row r="334" spans="1:13" ht="36" x14ac:dyDescent="0.25">
      <c r="A334" s="1">
        <v>11</v>
      </c>
      <c r="B334" s="21"/>
      <c r="C334" s="22" t="s">
        <v>23</v>
      </c>
      <c r="D334" s="23"/>
      <c r="E334" s="34">
        <f t="shared" ref="E334:J334" si="30">SUM(E335:E350)</f>
        <v>54670.868999999999</v>
      </c>
      <c r="F334" s="34">
        <f t="shared" si="30"/>
        <v>54670.868999999999</v>
      </c>
      <c r="G334" s="34">
        <f t="shared" si="30"/>
        <v>53120.025000000009</v>
      </c>
      <c r="H334" s="34">
        <f t="shared" si="30"/>
        <v>53119.971090000014</v>
      </c>
      <c r="I334" s="34">
        <f t="shared" si="30"/>
        <v>53119.971090000014</v>
      </c>
      <c r="J334" s="34">
        <f t="shared" si="30"/>
        <v>0</v>
      </c>
      <c r="K334" s="23"/>
      <c r="L334" s="23"/>
      <c r="M334" s="26"/>
    </row>
    <row r="335" spans="1:13" ht="72" x14ac:dyDescent="0.25">
      <c r="A335" s="1">
        <v>11</v>
      </c>
      <c r="B335" s="44">
        <v>1</v>
      </c>
      <c r="C335" s="37" t="s">
        <v>480</v>
      </c>
      <c r="D335" s="38" t="s">
        <v>37</v>
      </c>
      <c r="E335" s="40">
        <f>20624.396-91.3</f>
        <v>20533.096000000001</v>
      </c>
      <c r="F335" s="40">
        <v>20533.096000000001</v>
      </c>
      <c r="G335" s="40">
        <f>20533.096-0.00109</f>
        <v>20533.09491</v>
      </c>
      <c r="H335" s="40">
        <v>20533.042000000001</v>
      </c>
      <c r="I335" s="40">
        <v>20533.042000000001</v>
      </c>
      <c r="J335" s="40">
        <v>0</v>
      </c>
      <c r="K335" s="64" t="s">
        <v>38</v>
      </c>
      <c r="L335" s="73" t="s">
        <v>481</v>
      </c>
      <c r="M335" s="81"/>
    </row>
    <row r="336" spans="1:13" ht="90" x14ac:dyDescent="0.25">
      <c r="A336" s="1">
        <v>11</v>
      </c>
      <c r="B336" s="44">
        <f>B335+1</f>
        <v>2</v>
      </c>
      <c r="C336" s="37" t="s">
        <v>482</v>
      </c>
      <c r="D336" s="38" t="s">
        <v>37</v>
      </c>
      <c r="E336" s="40">
        <f>3102.742-206</f>
        <v>2896.7420000000002</v>
      </c>
      <c r="F336" s="40">
        <v>2896.7420000000002</v>
      </c>
      <c r="G336" s="40">
        <v>2370.6320000000001</v>
      </c>
      <c r="H336" s="40">
        <v>2370.6320000000001</v>
      </c>
      <c r="I336" s="40">
        <v>2370.6320000000001</v>
      </c>
      <c r="J336" s="40">
        <v>0</v>
      </c>
      <c r="K336" s="64" t="s">
        <v>38</v>
      </c>
      <c r="L336" s="42" t="s">
        <v>483</v>
      </c>
      <c r="M336" s="81"/>
    </row>
    <row r="337" spans="1:13" ht="54" x14ac:dyDescent="0.25">
      <c r="A337" s="1">
        <v>11</v>
      </c>
      <c r="B337" s="44">
        <f t="shared" ref="B337:B350" si="31">B336+1</f>
        <v>3</v>
      </c>
      <c r="C337" s="37" t="s">
        <v>484</v>
      </c>
      <c r="D337" s="38" t="s">
        <v>37</v>
      </c>
      <c r="E337" s="40">
        <f>3282.184-244.9</f>
        <v>3037.2840000000001</v>
      </c>
      <c r="F337" s="40">
        <v>3037.2840000000001</v>
      </c>
      <c r="G337" s="40">
        <v>2811.9009999999998</v>
      </c>
      <c r="H337" s="40">
        <v>2811.9009999999998</v>
      </c>
      <c r="I337" s="40">
        <v>2811.9009999999998</v>
      </c>
      <c r="J337" s="40">
        <v>0</v>
      </c>
      <c r="K337" s="64" t="s">
        <v>28</v>
      </c>
      <c r="L337" s="42"/>
      <c r="M337" s="43"/>
    </row>
    <row r="338" spans="1:13" ht="72" x14ac:dyDescent="0.25">
      <c r="A338" s="1">
        <v>11</v>
      </c>
      <c r="B338" s="36">
        <f t="shared" si="31"/>
        <v>4</v>
      </c>
      <c r="C338" s="37" t="s">
        <v>485</v>
      </c>
      <c r="D338" s="38" t="s">
        <v>37</v>
      </c>
      <c r="E338" s="40">
        <v>1768.2629999999999</v>
      </c>
      <c r="F338" s="40">
        <v>1768.2629999999999</v>
      </c>
      <c r="G338" s="40">
        <v>1703.6849999999999</v>
      </c>
      <c r="H338" s="40">
        <v>1703.6849999999999</v>
      </c>
      <c r="I338" s="40">
        <v>1703.6849999999999</v>
      </c>
      <c r="J338" s="40">
        <v>0</v>
      </c>
      <c r="K338" s="64" t="s">
        <v>38</v>
      </c>
      <c r="L338" s="42" t="s">
        <v>486</v>
      </c>
      <c r="M338" s="81"/>
    </row>
    <row r="339" spans="1:13" ht="54" x14ac:dyDescent="0.25">
      <c r="A339" s="1">
        <v>11</v>
      </c>
      <c r="B339" s="44">
        <f t="shared" si="31"/>
        <v>5</v>
      </c>
      <c r="C339" s="37" t="s">
        <v>487</v>
      </c>
      <c r="D339" s="38" t="s">
        <v>37</v>
      </c>
      <c r="E339" s="40">
        <f>3457.528+1174</f>
        <v>4631.5280000000002</v>
      </c>
      <c r="F339" s="40">
        <v>4631.5280000000002</v>
      </c>
      <c r="G339" s="40">
        <v>4400.5820000000003</v>
      </c>
      <c r="H339" s="40">
        <v>4400.5820000000003</v>
      </c>
      <c r="I339" s="40">
        <v>4400.5820000000003</v>
      </c>
      <c r="J339" s="40">
        <v>0</v>
      </c>
      <c r="K339" s="64" t="s">
        <v>145</v>
      </c>
      <c r="L339" s="42"/>
      <c r="M339" s="43"/>
    </row>
    <row r="340" spans="1:13" ht="90" x14ac:dyDescent="0.25">
      <c r="A340" s="1">
        <v>11</v>
      </c>
      <c r="B340" s="44">
        <f t="shared" si="31"/>
        <v>6</v>
      </c>
      <c r="C340" s="37" t="s">
        <v>488</v>
      </c>
      <c r="D340" s="38" t="s">
        <v>37</v>
      </c>
      <c r="E340" s="40">
        <f>1673.712-489</f>
        <v>1184.712</v>
      </c>
      <c r="F340" s="40">
        <v>1184.712</v>
      </c>
      <c r="G340" s="40">
        <v>1180.472</v>
      </c>
      <c r="H340" s="40">
        <v>1180.472</v>
      </c>
      <c r="I340" s="40">
        <v>1180.472</v>
      </c>
      <c r="J340" s="40">
        <v>0</v>
      </c>
      <c r="K340" s="64" t="s">
        <v>38</v>
      </c>
      <c r="L340" s="42" t="s">
        <v>489</v>
      </c>
      <c r="M340" s="81"/>
    </row>
    <row r="341" spans="1:13" ht="72" x14ac:dyDescent="0.25">
      <c r="A341" s="1">
        <v>11</v>
      </c>
      <c r="B341" s="36">
        <f t="shared" si="31"/>
        <v>7</v>
      </c>
      <c r="C341" s="37" t="s">
        <v>490</v>
      </c>
      <c r="D341" s="38" t="s">
        <v>37</v>
      </c>
      <c r="E341" s="40">
        <v>2009.08</v>
      </c>
      <c r="F341" s="40">
        <v>2009.08</v>
      </c>
      <c r="G341" s="40">
        <v>1941.567</v>
      </c>
      <c r="H341" s="40">
        <v>1941.567</v>
      </c>
      <c r="I341" s="40">
        <v>1941.567</v>
      </c>
      <c r="J341" s="40">
        <v>0</v>
      </c>
      <c r="K341" s="64" t="s">
        <v>28</v>
      </c>
      <c r="L341" s="42"/>
      <c r="M341" s="43"/>
    </row>
    <row r="342" spans="1:13" ht="72" x14ac:dyDescent="0.25">
      <c r="A342" s="1">
        <v>11</v>
      </c>
      <c r="B342" s="36">
        <f t="shared" si="31"/>
        <v>8</v>
      </c>
      <c r="C342" s="37" t="s">
        <v>491</v>
      </c>
      <c r="D342" s="38" t="s">
        <v>37</v>
      </c>
      <c r="E342" s="40">
        <v>1268.0509999999999</v>
      </c>
      <c r="F342" s="40">
        <v>1268.0509999999999</v>
      </c>
      <c r="G342" s="40">
        <v>1262.7560000000001</v>
      </c>
      <c r="H342" s="40">
        <v>1262.7560000000001</v>
      </c>
      <c r="I342" s="40">
        <v>1262.7560000000001</v>
      </c>
      <c r="J342" s="40">
        <v>0</v>
      </c>
      <c r="K342" s="64" t="s">
        <v>38</v>
      </c>
      <c r="L342" s="42" t="s">
        <v>492</v>
      </c>
      <c r="M342" s="43" t="s">
        <v>493</v>
      </c>
    </row>
    <row r="343" spans="1:13" ht="36" x14ac:dyDescent="0.25">
      <c r="A343" s="1">
        <v>11</v>
      </c>
      <c r="B343" s="44">
        <f t="shared" si="31"/>
        <v>9</v>
      </c>
      <c r="C343" s="37" t="s">
        <v>494</v>
      </c>
      <c r="D343" s="38" t="s">
        <v>37</v>
      </c>
      <c r="E343" s="40">
        <f>3237-109.5</f>
        <v>3127.5</v>
      </c>
      <c r="F343" s="40">
        <v>3127.5</v>
      </c>
      <c r="G343" s="40">
        <v>3126.2310000000002</v>
      </c>
      <c r="H343" s="40">
        <v>3126.2310000000002</v>
      </c>
      <c r="I343" s="40">
        <v>3126.2310000000002</v>
      </c>
      <c r="J343" s="40">
        <v>0</v>
      </c>
      <c r="K343" s="64" t="s">
        <v>28</v>
      </c>
      <c r="L343" s="42"/>
      <c r="M343" s="43"/>
    </row>
    <row r="344" spans="1:13" ht="54" x14ac:dyDescent="0.25">
      <c r="A344" s="1">
        <v>11</v>
      </c>
      <c r="B344" s="36">
        <f t="shared" si="31"/>
        <v>10</v>
      </c>
      <c r="C344" s="37" t="s">
        <v>495</v>
      </c>
      <c r="D344" s="38" t="s">
        <v>37</v>
      </c>
      <c r="E344" s="40">
        <v>1413.3620000000001</v>
      </c>
      <c r="F344" s="40">
        <v>1413.3620000000001</v>
      </c>
      <c r="G344" s="40">
        <v>1241.9829999999999</v>
      </c>
      <c r="H344" s="40">
        <v>1241.9829999999999</v>
      </c>
      <c r="I344" s="40">
        <v>1241.9829999999999</v>
      </c>
      <c r="J344" s="40">
        <v>0</v>
      </c>
      <c r="K344" s="64" t="s">
        <v>38</v>
      </c>
      <c r="L344" s="42" t="s">
        <v>496</v>
      </c>
      <c r="M344" s="81"/>
    </row>
    <row r="345" spans="1:13" ht="72" x14ac:dyDescent="0.25">
      <c r="A345" s="1">
        <v>11</v>
      </c>
      <c r="B345" s="36">
        <f t="shared" si="31"/>
        <v>11</v>
      </c>
      <c r="C345" s="37" t="s">
        <v>497</v>
      </c>
      <c r="D345" s="38" t="s">
        <v>37</v>
      </c>
      <c r="E345" s="40">
        <v>1124.595</v>
      </c>
      <c r="F345" s="40">
        <v>1124.595</v>
      </c>
      <c r="G345" s="40">
        <v>1085.604</v>
      </c>
      <c r="H345" s="40">
        <v>1085.604</v>
      </c>
      <c r="I345" s="40">
        <v>1085.604</v>
      </c>
      <c r="J345" s="40">
        <v>0</v>
      </c>
      <c r="K345" s="64" t="s">
        <v>28</v>
      </c>
      <c r="L345" s="42"/>
      <c r="M345" s="43"/>
    </row>
    <row r="346" spans="1:13" ht="72" x14ac:dyDescent="0.25">
      <c r="A346" s="1">
        <v>11</v>
      </c>
      <c r="B346" s="36">
        <f t="shared" si="31"/>
        <v>12</v>
      </c>
      <c r="C346" s="37" t="s">
        <v>498</v>
      </c>
      <c r="D346" s="38" t="s">
        <v>37</v>
      </c>
      <c r="E346" s="40">
        <v>693.84400000000005</v>
      </c>
      <c r="F346" s="40">
        <v>693.84400000000005</v>
      </c>
      <c r="G346" s="40">
        <f>689.029+0.00109</f>
        <v>689.03008999999997</v>
      </c>
      <c r="H346" s="40">
        <f>689.029+0.00009</f>
        <v>689.02909</v>
      </c>
      <c r="I346" s="40">
        <f>689.029+0.00009</f>
        <v>689.02909</v>
      </c>
      <c r="J346" s="40">
        <v>0</v>
      </c>
      <c r="K346" s="64" t="s">
        <v>306</v>
      </c>
      <c r="L346" s="42" t="s">
        <v>499</v>
      </c>
      <c r="M346" s="81"/>
    </row>
    <row r="347" spans="1:13" ht="72" x14ac:dyDescent="0.25">
      <c r="A347" s="1">
        <v>11</v>
      </c>
      <c r="B347" s="36">
        <f t="shared" si="31"/>
        <v>13</v>
      </c>
      <c r="C347" s="37" t="s">
        <v>500</v>
      </c>
      <c r="D347" s="38" t="s">
        <v>37</v>
      </c>
      <c r="E347" s="40">
        <v>1189.5129999999999</v>
      </c>
      <c r="F347" s="40">
        <v>1189.5129999999999</v>
      </c>
      <c r="G347" s="40">
        <v>1182.502</v>
      </c>
      <c r="H347" s="40">
        <v>1182.502</v>
      </c>
      <c r="I347" s="40">
        <v>1182.502</v>
      </c>
      <c r="J347" s="40">
        <v>0</v>
      </c>
      <c r="K347" s="64" t="s">
        <v>38</v>
      </c>
      <c r="L347" s="42" t="s">
        <v>501</v>
      </c>
      <c r="M347" s="43" t="s">
        <v>502</v>
      </c>
    </row>
    <row r="348" spans="1:13" ht="90" x14ac:dyDescent="0.25">
      <c r="A348" s="1">
        <v>11</v>
      </c>
      <c r="B348" s="36">
        <f t="shared" si="31"/>
        <v>14</v>
      </c>
      <c r="C348" s="37" t="s">
        <v>503</v>
      </c>
      <c r="D348" s="38" t="s">
        <v>37</v>
      </c>
      <c r="E348" s="40">
        <v>1172.384</v>
      </c>
      <c r="F348" s="40">
        <v>1172.384</v>
      </c>
      <c r="G348" s="40">
        <v>1082.5830000000001</v>
      </c>
      <c r="H348" s="40">
        <v>1082.5830000000001</v>
      </c>
      <c r="I348" s="40">
        <v>1082.5830000000001</v>
      </c>
      <c r="J348" s="40">
        <v>0</v>
      </c>
      <c r="K348" s="64" t="s">
        <v>38</v>
      </c>
      <c r="L348" s="42" t="s">
        <v>492</v>
      </c>
      <c r="M348" s="81"/>
    </row>
    <row r="349" spans="1:13" ht="72" x14ac:dyDescent="0.25">
      <c r="A349" s="1">
        <v>11</v>
      </c>
      <c r="B349" s="44">
        <f t="shared" si="31"/>
        <v>15</v>
      </c>
      <c r="C349" s="37" t="s">
        <v>504</v>
      </c>
      <c r="D349" s="38" t="s">
        <v>37</v>
      </c>
      <c r="E349" s="40">
        <f>1250.331-33.3</f>
        <v>1217.0309999999999</v>
      </c>
      <c r="F349" s="40">
        <v>1217.0309999999999</v>
      </c>
      <c r="G349" s="40">
        <v>1212.444</v>
      </c>
      <c r="H349" s="40">
        <v>1212.444</v>
      </c>
      <c r="I349" s="40">
        <v>1212.444</v>
      </c>
      <c r="J349" s="40">
        <v>0</v>
      </c>
      <c r="K349" s="64" t="s">
        <v>80</v>
      </c>
      <c r="L349" s="42" t="s">
        <v>505</v>
      </c>
      <c r="M349" s="43" t="s">
        <v>506</v>
      </c>
    </row>
    <row r="350" spans="1:13" ht="72.75" thickBot="1" x14ac:dyDescent="0.3">
      <c r="A350" s="1">
        <v>11</v>
      </c>
      <c r="B350" s="56">
        <f t="shared" si="31"/>
        <v>16</v>
      </c>
      <c r="C350" s="57" t="s">
        <v>507</v>
      </c>
      <c r="D350" s="67" t="s">
        <v>33</v>
      </c>
      <c r="E350" s="68">
        <v>7403.884</v>
      </c>
      <c r="F350" s="68">
        <v>7403.884</v>
      </c>
      <c r="G350" s="68">
        <v>7294.9579999999996</v>
      </c>
      <c r="H350" s="68">
        <v>7294.9579999999996</v>
      </c>
      <c r="I350" s="68">
        <v>7294.9579999999996</v>
      </c>
      <c r="J350" s="68">
        <v>0</v>
      </c>
      <c r="K350" s="70" t="s">
        <v>28</v>
      </c>
      <c r="L350" s="71"/>
      <c r="M350" s="72"/>
    </row>
    <row r="351" spans="1:13" ht="18" x14ac:dyDescent="0.25">
      <c r="A351" s="1">
        <v>12</v>
      </c>
      <c r="B351" s="112" t="s">
        <v>508</v>
      </c>
      <c r="C351" s="113"/>
      <c r="D351" s="113"/>
      <c r="E351" s="113"/>
      <c r="F351" s="113"/>
      <c r="G351" s="113"/>
      <c r="H351" s="113"/>
      <c r="I351" s="113"/>
      <c r="J351" s="113"/>
      <c r="K351" s="113"/>
      <c r="L351" s="113"/>
      <c r="M351" s="114"/>
    </row>
    <row r="352" spans="1:13" ht="18" x14ac:dyDescent="0.25">
      <c r="A352" s="1">
        <v>12</v>
      </c>
      <c r="B352" s="21"/>
      <c r="C352" s="22" t="s">
        <v>25</v>
      </c>
      <c r="D352" s="23"/>
      <c r="E352" s="34">
        <f>SUM(E353,E355:E406)</f>
        <v>193732.14700000003</v>
      </c>
      <c r="F352" s="34">
        <f t="shared" ref="F352:J352" si="32">SUM(F353,F355:F406)</f>
        <v>193732.14700000003</v>
      </c>
      <c r="G352" s="34">
        <f t="shared" si="32"/>
        <v>193732.147</v>
      </c>
      <c r="H352" s="34">
        <f t="shared" si="32"/>
        <v>108831.53513999998</v>
      </c>
      <c r="I352" s="34">
        <f t="shared" si="32"/>
        <v>90262.543600000005</v>
      </c>
      <c r="J352" s="34">
        <f t="shared" si="32"/>
        <v>0</v>
      </c>
      <c r="K352" s="23"/>
      <c r="L352" s="23"/>
      <c r="M352" s="26"/>
    </row>
    <row r="353" spans="1:13" ht="18" x14ac:dyDescent="0.25">
      <c r="A353" s="1">
        <v>12</v>
      </c>
      <c r="B353" s="21"/>
      <c r="C353" s="22" t="s">
        <v>22</v>
      </c>
      <c r="D353" s="23"/>
      <c r="E353" s="34">
        <v>0</v>
      </c>
      <c r="F353" s="34">
        <f>0+382.907-382.907</f>
        <v>0</v>
      </c>
      <c r="G353" s="34">
        <f>0+382.90654</f>
        <v>382.90654000000001</v>
      </c>
      <c r="H353" s="34"/>
      <c r="I353" s="34"/>
      <c r="J353" s="34"/>
      <c r="K353" s="23"/>
      <c r="L353" s="23"/>
      <c r="M353" s="26"/>
    </row>
    <row r="354" spans="1:13" ht="36" x14ac:dyDescent="0.25">
      <c r="A354" s="1">
        <v>12</v>
      </c>
      <c r="B354" s="21"/>
      <c r="C354" s="22" t="s">
        <v>23</v>
      </c>
      <c r="D354" s="23"/>
      <c r="E354" s="34">
        <f t="shared" ref="E354:J354" si="33">SUM(E355:E406)</f>
        <v>193732.14700000003</v>
      </c>
      <c r="F354" s="34">
        <f t="shared" si="33"/>
        <v>193732.14700000003</v>
      </c>
      <c r="G354" s="34">
        <f t="shared" si="33"/>
        <v>193349.24046</v>
      </c>
      <c r="H354" s="34">
        <f t="shared" si="33"/>
        <v>108831.53513999998</v>
      </c>
      <c r="I354" s="34">
        <f t="shared" si="33"/>
        <v>90262.543600000005</v>
      </c>
      <c r="J354" s="34">
        <f t="shared" si="33"/>
        <v>0</v>
      </c>
      <c r="K354" s="23"/>
      <c r="L354" s="23"/>
      <c r="M354" s="26"/>
    </row>
    <row r="355" spans="1:13" ht="90" x14ac:dyDescent="0.25">
      <c r="A355" s="1">
        <v>12</v>
      </c>
      <c r="B355" s="36">
        <v>1</v>
      </c>
      <c r="C355" s="37" t="s">
        <v>509</v>
      </c>
      <c r="D355" s="38" t="s">
        <v>37</v>
      </c>
      <c r="E355" s="39">
        <v>4347.4030000000002</v>
      </c>
      <c r="F355" s="39">
        <v>4347.4030000000002</v>
      </c>
      <c r="G355" s="40">
        <v>4347.4030000000002</v>
      </c>
      <c r="H355" s="40">
        <f>3056.05231-0.00001</f>
        <v>3056.0522999999998</v>
      </c>
      <c r="I355" s="40">
        <v>1807.2529999999999</v>
      </c>
      <c r="J355" s="40">
        <v>0</v>
      </c>
      <c r="K355" s="64" t="s">
        <v>115</v>
      </c>
      <c r="L355" s="77" t="s">
        <v>510</v>
      </c>
      <c r="M355" s="43"/>
    </row>
    <row r="356" spans="1:13" ht="72" x14ac:dyDescent="0.25">
      <c r="A356" s="1">
        <v>12</v>
      </c>
      <c r="B356" s="44">
        <f>B355+1</f>
        <v>2</v>
      </c>
      <c r="C356" s="37" t="s">
        <v>511</v>
      </c>
      <c r="D356" s="38" t="s">
        <v>37</v>
      </c>
      <c r="E356" s="39">
        <f>29183.634-2702.755</f>
        <v>26480.878999999997</v>
      </c>
      <c r="F356" s="39">
        <f>29183.634-2702.755</f>
        <v>26480.878999999997</v>
      </c>
      <c r="G356" s="40">
        <v>26480.879000000001</v>
      </c>
      <c r="H356" s="40">
        <v>22127.057000000001</v>
      </c>
      <c r="I356" s="40">
        <v>8308.982</v>
      </c>
      <c r="J356" s="40">
        <v>0</v>
      </c>
      <c r="K356" s="64" t="s">
        <v>115</v>
      </c>
      <c r="L356" s="77" t="s">
        <v>512</v>
      </c>
      <c r="M356" s="43"/>
    </row>
    <row r="357" spans="1:13" ht="72" x14ac:dyDescent="0.25">
      <c r="A357" s="1">
        <v>12</v>
      </c>
      <c r="B357" s="36">
        <f t="shared" ref="B357:B406" si="34">B356+1</f>
        <v>3</v>
      </c>
      <c r="C357" s="37" t="s">
        <v>513</v>
      </c>
      <c r="D357" s="38" t="s">
        <v>37</v>
      </c>
      <c r="E357" s="39">
        <v>3550.5</v>
      </c>
      <c r="F357" s="39">
        <v>3550.5</v>
      </c>
      <c r="G357" s="40">
        <v>3550.5</v>
      </c>
      <c r="H357" s="40">
        <v>799.35299999999995</v>
      </c>
      <c r="I357" s="40">
        <v>0</v>
      </c>
      <c r="J357" s="40">
        <v>0</v>
      </c>
      <c r="K357" s="64" t="s">
        <v>115</v>
      </c>
      <c r="L357" s="42"/>
      <c r="M357" s="43"/>
    </row>
    <row r="358" spans="1:13" ht="72" x14ac:dyDescent="0.25">
      <c r="A358" s="1">
        <v>12</v>
      </c>
      <c r="B358" s="36">
        <f t="shared" si="34"/>
        <v>4</v>
      </c>
      <c r="C358" s="37" t="s">
        <v>514</v>
      </c>
      <c r="D358" s="38" t="s">
        <v>37</v>
      </c>
      <c r="E358" s="40">
        <v>12679.85</v>
      </c>
      <c r="F358" s="40">
        <v>12679.85</v>
      </c>
      <c r="G358" s="40">
        <v>12679.85</v>
      </c>
      <c r="H358" s="40">
        <v>12128.781999999999</v>
      </c>
      <c r="I358" s="40">
        <v>12128.781999999999</v>
      </c>
      <c r="J358" s="40">
        <v>0</v>
      </c>
      <c r="K358" s="64" t="s">
        <v>38</v>
      </c>
      <c r="L358" s="42" t="s">
        <v>515</v>
      </c>
      <c r="M358" s="43" t="s">
        <v>516</v>
      </c>
    </row>
    <row r="359" spans="1:13" ht="54" x14ac:dyDescent="0.25">
      <c r="A359" s="1">
        <v>12</v>
      </c>
      <c r="B359" s="44">
        <f t="shared" si="34"/>
        <v>5</v>
      </c>
      <c r="C359" s="37" t="s">
        <v>517</v>
      </c>
      <c r="D359" s="38" t="s">
        <v>37</v>
      </c>
      <c r="E359" s="39">
        <f>10024.602-5500</f>
        <v>4524.6020000000008</v>
      </c>
      <c r="F359" s="39">
        <f>10024.602-5500</f>
        <v>4524.6020000000008</v>
      </c>
      <c r="G359" s="40">
        <v>4524.6019999999999</v>
      </c>
      <c r="H359" s="40">
        <v>1015.207</v>
      </c>
      <c r="I359" s="40">
        <v>1015.207</v>
      </c>
      <c r="J359" s="40">
        <v>0</v>
      </c>
      <c r="K359" s="64" t="s">
        <v>115</v>
      </c>
      <c r="L359" s="77" t="s">
        <v>518</v>
      </c>
      <c r="M359" s="43"/>
    </row>
    <row r="360" spans="1:13" ht="54" x14ac:dyDescent="0.25">
      <c r="A360" s="1">
        <v>12</v>
      </c>
      <c r="B360" s="36">
        <f t="shared" si="34"/>
        <v>6</v>
      </c>
      <c r="C360" s="37" t="s">
        <v>519</v>
      </c>
      <c r="D360" s="38" t="s">
        <v>49</v>
      </c>
      <c r="E360" s="40">
        <v>3168.5129999999999</v>
      </c>
      <c r="F360" s="40">
        <v>3168.5129999999999</v>
      </c>
      <c r="G360" s="40">
        <v>3168.5129999999999</v>
      </c>
      <c r="H360" s="40">
        <v>2541.8249999999998</v>
      </c>
      <c r="I360" s="40">
        <v>2541.8249999999998</v>
      </c>
      <c r="J360" s="40">
        <v>0</v>
      </c>
      <c r="K360" s="64" t="s">
        <v>38</v>
      </c>
      <c r="L360" s="42" t="s">
        <v>520</v>
      </c>
      <c r="M360" s="81"/>
    </row>
    <row r="361" spans="1:13" ht="54" x14ac:dyDescent="0.25">
      <c r="A361" s="1">
        <v>12</v>
      </c>
      <c r="B361" s="36">
        <f t="shared" si="34"/>
        <v>7</v>
      </c>
      <c r="C361" s="37" t="s">
        <v>521</v>
      </c>
      <c r="D361" s="38" t="s">
        <v>49</v>
      </c>
      <c r="E361" s="40">
        <v>3006.09</v>
      </c>
      <c r="F361" s="40">
        <v>3006.09</v>
      </c>
      <c r="G361" s="40">
        <v>3006.09</v>
      </c>
      <c r="H361" s="40">
        <v>2367.2649999999999</v>
      </c>
      <c r="I361" s="40">
        <v>2367.2649999999999</v>
      </c>
      <c r="J361" s="40">
        <v>0</v>
      </c>
      <c r="K361" s="64" t="s">
        <v>38</v>
      </c>
      <c r="L361" s="42" t="s">
        <v>522</v>
      </c>
      <c r="M361" s="81"/>
    </row>
    <row r="362" spans="1:13" ht="54" x14ac:dyDescent="0.25">
      <c r="A362" s="1">
        <v>12</v>
      </c>
      <c r="B362" s="44">
        <f t="shared" si="34"/>
        <v>8</v>
      </c>
      <c r="C362" s="37" t="s">
        <v>523</v>
      </c>
      <c r="D362" s="38" t="s">
        <v>73</v>
      </c>
      <c r="E362" s="39">
        <f>9962.28-1100</f>
        <v>8862.2800000000007</v>
      </c>
      <c r="F362" s="39">
        <f>9962.28-1100</f>
        <v>8862.2800000000007</v>
      </c>
      <c r="G362" s="40">
        <v>8862.2800000000007</v>
      </c>
      <c r="H362" s="40">
        <v>3091.5159800000001</v>
      </c>
      <c r="I362" s="40">
        <v>3091.5160000000001</v>
      </c>
      <c r="J362" s="40">
        <v>0</v>
      </c>
      <c r="K362" s="64" t="s">
        <v>115</v>
      </c>
      <c r="L362" s="77" t="s">
        <v>524</v>
      </c>
      <c r="M362" s="43"/>
    </row>
    <row r="363" spans="1:13" ht="54" x14ac:dyDescent="0.25">
      <c r="A363" s="1">
        <v>12</v>
      </c>
      <c r="B363" s="44">
        <f t="shared" si="34"/>
        <v>9</v>
      </c>
      <c r="C363" s="37" t="s">
        <v>525</v>
      </c>
      <c r="D363" s="38" t="s">
        <v>37</v>
      </c>
      <c r="E363" s="39">
        <f>1062-800</f>
        <v>262</v>
      </c>
      <c r="F363" s="39">
        <f>1062-800</f>
        <v>262</v>
      </c>
      <c r="G363" s="40">
        <v>262</v>
      </c>
      <c r="H363" s="40">
        <v>0</v>
      </c>
      <c r="I363" s="40">
        <v>0</v>
      </c>
      <c r="J363" s="40">
        <v>0</v>
      </c>
      <c r="K363" s="64" t="s">
        <v>115</v>
      </c>
      <c r="L363" s="42"/>
      <c r="M363" s="43"/>
    </row>
    <row r="364" spans="1:13" ht="54" x14ac:dyDescent="0.25">
      <c r="A364" s="1">
        <v>12</v>
      </c>
      <c r="B364" s="44">
        <f t="shared" si="34"/>
        <v>10</v>
      </c>
      <c r="C364" s="37" t="s">
        <v>526</v>
      </c>
      <c r="D364" s="38" t="s">
        <v>37</v>
      </c>
      <c r="E364" s="39">
        <f>8814.604-5999.998</f>
        <v>2814.6059999999998</v>
      </c>
      <c r="F364" s="39">
        <f>8814.604-5999.998</f>
        <v>2814.6059999999998</v>
      </c>
      <c r="G364" s="40">
        <v>2814.6060000000002</v>
      </c>
      <c r="H364" s="40">
        <v>0</v>
      </c>
      <c r="I364" s="40">
        <v>0</v>
      </c>
      <c r="J364" s="40">
        <v>0</v>
      </c>
      <c r="K364" s="64" t="s">
        <v>115</v>
      </c>
      <c r="L364" s="77" t="s">
        <v>527</v>
      </c>
      <c r="M364" s="43"/>
    </row>
    <row r="365" spans="1:13" ht="72" x14ac:dyDescent="0.25">
      <c r="A365" s="1">
        <v>12</v>
      </c>
      <c r="B365" s="36">
        <f t="shared" si="34"/>
        <v>11</v>
      </c>
      <c r="C365" s="37" t="s">
        <v>528</v>
      </c>
      <c r="D365" s="38" t="s">
        <v>37</v>
      </c>
      <c r="E365" s="40">
        <v>1589.7639999999999</v>
      </c>
      <c r="F365" s="40">
        <v>1589.7639999999999</v>
      </c>
      <c r="G365" s="40">
        <v>1589.7639999999999</v>
      </c>
      <c r="H365" s="40">
        <v>1420.2319600000001</v>
      </c>
      <c r="I365" s="40">
        <v>1420.232</v>
      </c>
      <c r="J365" s="40">
        <v>0</v>
      </c>
      <c r="K365" s="64" t="s">
        <v>38</v>
      </c>
      <c r="L365" s="42" t="s">
        <v>512</v>
      </c>
      <c r="M365" s="81"/>
    </row>
    <row r="366" spans="1:13" ht="72" x14ac:dyDescent="0.25">
      <c r="A366" s="1">
        <v>12</v>
      </c>
      <c r="B366" s="36">
        <f t="shared" si="34"/>
        <v>12</v>
      </c>
      <c r="C366" s="37" t="s">
        <v>529</v>
      </c>
      <c r="D366" s="38" t="s">
        <v>37</v>
      </c>
      <c r="E366" s="39">
        <v>4509.4070000000002</v>
      </c>
      <c r="F366" s="39">
        <v>4509.4070000000002</v>
      </c>
      <c r="G366" s="40">
        <v>4509.4070000000002</v>
      </c>
      <c r="H366" s="40">
        <v>0</v>
      </c>
      <c r="I366" s="40">
        <v>0</v>
      </c>
      <c r="J366" s="40">
        <v>0</v>
      </c>
      <c r="K366" s="64" t="s">
        <v>115</v>
      </c>
      <c r="L366" s="42"/>
      <c r="M366" s="43"/>
    </row>
    <row r="367" spans="1:13" ht="90" x14ac:dyDescent="0.25">
      <c r="A367" s="1">
        <v>12</v>
      </c>
      <c r="B367" s="36">
        <f t="shared" si="34"/>
        <v>13</v>
      </c>
      <c r="C367" s="37" t="s">
        <v>530</v>
      </c>
      <c r="D367" s="38" t="s">
        <v>37</v>
      </c>
      <c r="E367" s="39">
        <v>3423.165</v>
      </c>
      <c r="F367" s="39">
        <v>3423.165</v>
      </c>
      <c r="G367" s="40">
        <v>3423.165</v>
      </c>
      <c r="H367" s="40">
        <v>317.20805999999999</v>
      </c>
      <c r="I367" s="40">
        <v>317.20800000000003</v>
      </c>
      <c r="J367" s="40">
        <v>0</v>
      </c>
      <c r="K367" s="64" t="s">
        <v>115</v>
      </c>
      <c r="L367" s="87" t="s">
        <v>531</v>
      </c>
      <c r="M367" s="43"/>
    </row>
    <row r="368" spans="1:13" ht="72" x14ac:dyDescent="0.25">
      <c r="A368" s="1">
        <v>12</v>
      </c>
      <c r="B368" s="36">
        <f t="shared" si="34"/>
        <v>14</v>
      </c>
      <c r="C368" s="37" t="s">
        <v>532</v>
      </c>
      <c r="D368" s="38" t="s">
        <v>37</v>
      </c>
      <c r="E368" s="39">
        <v>845.78499999999997</v>
      </c>
      <c r="F368" s="39">
        <v>845.78499999999997</v>
      </c>
      <c r="G368" s="40">
        <v>845.78499999999997</v>
      </c>
      <c r="H368" s="40">
        <v>768.76156000000003</v>
      </c>
      <c r="I368" s="40">
        <v>768.76199999999994</v>
      </c>
      <c r="J368" s="40">
        <v>0</v>
      </c>
      <c r="K368" s="64" t="s">
        <v>38</v>
      </c>
      <c r="L368" s="42" t="s">
        <v>533</v>
      </c>
      <c r="M368" s="81"/>
    </row>
    <row r="369" spans="1:13" ht="72" x14ac:dyDescent="0.25">
      <c r="A369" s="1">
        <v>12</v>
      </c>
      <c r="B369" s="36">
        <f t="shared" si="34"/>
        <v>15</v>
      </c>
      <c r="C369" s="37" t="s">
        <v>534</v>
      </c>
      <c r="D369" s="38" t="s">
        <v>37</v>
      </c>
      <c r="E369" s="39">
        <v>4296.3999999999996</v>
      </c>
      <c r="F369" s="39">
        <v>4296.3999999999996</v>
      </c>
      <c r="G369" s="40">
        <v>4296.3999999999996</v>
      </c>
      <c r="H369" s="40">
        <v>3579.0345000000002</v>
      </c>
      <c r="I369" s="40">
        <v>3579.0345000000002</v>
      </c>
      <c r="J369" s="40">
        <v>0</v>
      </c>
      <c r="K369" s="64" t="s">
        <v>38</v>
      </c>
      <c r="L369" s="42" t="s">
        <v>90</v>
      </c>
      <c r="M369" s="43"/>
    </row>
    <row r="370" spans="1:13" ht="54" x14ac:dyDescent="0.25">
      <c r="A370" s="1">
        <v>12</v>
      </c>
      <c r="B370" s="36">
        <f t="shared" si="34"/>
        <v>16</v>
      </c>
      <c r="C370" s="37" t="s">
        <v>535</v>
      </c>
      <c r="D370" s="38" t="s">
        <v>37</v>
      </c>
      <c r="E370" s="39">
        <v>2764.63</v>
      </c>
      <c r="F370" s="39">
        <v>2764.63</v>
      </c>
      <c r="G370" s="40">
        <v>2764.63</v>
      </c>
      <c r="H370" s="40">
        <v>1789.77819</v>
      </c>
      <c r="I370" s="40">
        <v>1789.77819</v>
      </c>
      <c r="J370" s="40">
        <v>0</v>
      </c>
      <c r="K370" s="64" t="s">
        <v>38</v>
      </c>
      <c r="L370" s="42" t="s">
        <v>536</v>
      </c>
      <c r="M370" s="43"/>
    </row>
    <row r="371" spans="1:13" ht="72" x14ac:dyDescent="0.25">
      <c r="A371" s="1">
        <v>12</v>
      </c>
      <c r="B371" s="36">
        <f t="shared" si="34"/>
        <v>17</v>
      </c>
      <c r="C371" s="37" t="s">
        <v>537</v>
      </c>
      <c r="D371" s="38" t="s">
        <v>37</v>
      </c>
      <c r="E371" s="40">
        <v>439.77199999999999</v>
      </c>
      <c r="F371" s="40">
        <v>439.77199999999999</v>
      </c>
      <c r="G371" s="40">
        <v>439.77199999999999</v>
      </c>
      <c r="H371" s="40">
        <v>439.77199999999999</v>
      </c>
      <c r="I371" s="40">
        <v>439.77199999999999</v>
      </c>
      <c r="J371" s="40">
        <v>0</v>
      </c>
      <c r="K371" s="64" t="s">
        <v>38</v>
      </c>
      <c r="L371" s="42" t="s">
        <v>538</v>
      </c>
      <c r="M371" s="43" t="s">
        <v>539</v>
      </c>
    </row>
    <row r="372" spans="1:13" ht="54" x14ac:dyDescent="0.25">
      <c r="A372" s="1">
        <v>12</v>
      </c>
      <c r="B372" s="36">
        <f t="shared" si="34"/>
        <v>18</v>
      </c>
      <c r="C372" s="37" t="s">
        <v>540</v>
      </c>
      <c r="D372" s="38" t="s">
        <v>37</v>
      </c>
      <c r="E372" s="40">
        <v>284.28899999999999</v>
      </c>
      <c r="F372" s="40">
        <v>284.28899999999999</v>
      </c>
      <c r="G372" s="40">
        <v>284.28899999999999</v>
      </c>
      <c r="H372" s="40">
        <v>274.68536</v>
      </c>
      <c r="I372" s="40">
        <v>274.68536</v>
      </c>
      <c r="J372" s="40">
        <v>0</v>
      </c>
      <c r="K372" s="64" t="s">
        <v>541</v>
      </c>
      <c r="L372" s="42" t="s">
        <v>542</v>
      </c>
      <c r="M372" s="43" t="s">
        <v>543</v>
      </c>
    </row>
    <row r="373" spans="1:13" ht="90" x14ac:dyDescent="0.25">
      <c r="A373" s="1">
        <v>12</v>
      </c>
      <c r="B373" s="36">
        <f t="shared" si="34"/>
        <v>19</v>
      </c>
      <c r="C373" s="37" t="s">
        <v>544</v>
      </c>
      <c r="D373" s="38" t="s">
        <v>37</v>
      </c>
      <c r="E373" s="40">
        <v>1242.135</v>
      </c>
      <c r="F373" s="40">
        <v>1242.135</v>
      </c>
      <c r="G373" s="40">
        <v>1242.135</v>
      </c>
      <c r="H373" s="40">
        <v>1222.671</v>
      </c>
      <c r="I373" s="40">
        <v>1222.671</v>
      </c>
      <c r="J373" s="40">
        <v>0</v>
      </c>
      <c r="K373" s="64" t="s">
        <v>38</v>
      </c>
      <c r="L373" s="42" t="s">
        <v>184</v>
      </c>
      <c r="M373" s="88"/>
    </row>
    <row r="374" spans="1:13" ht="54" x14ac:dyDescent="0.25">
      <c r="A374" s="1">
        <v>12</v>
      </c>
      <c r="B374" s="36">
        <f t="shared" si="34"/>
        <v>20</v>
      </c>
      <c r="C374" s="37" t="s">
        <v>545</v>
      </c>
      <c r="D374" s="38" t="s">
        <v>37</v>
      </c>
      <c r="E374" s="40">
        <v>982.64499999999998</v>
      </c>
      <c r="F374" s="40">
        <v>982.64499999999998</v>
      </c>
      <c r="G374" s="40">
        <v>982.64499999999998</v>
      </c>
      <c r="H374" s="40">
        <v>916.31805999999995</v>
      </c>
      <c r="I374" s="40">
        <v>916.31799999999998</v>
      </c>
      <c r="J374" s="40">
        <v>0</v>
      </c>
      <c r="K374" s="64" t="s">
        <v>306</v>
      </c>
      <c r="L374" s="42" t="s">
        <v>546</v>
      </c>
      <c r="M374" s="43" t="s">
        <v>547</v>
      </c>
    </row>
    <row r="375" spans="1:13" ht="54" x14ac:dyDescent="0.25">
      <c r="A375" s="1">
        <v>12</v>
      </c>
      <c r="B375" s="36">
        <f t="shared" si="34"/>
        <v>21</v>
      </c>
      <c r="C375" s="37" t="s">
        <v>548</v>
      </c>
      <c r="D375" s="38" t="s">
        <v>37</v>
      </c>
      <c r="E375" s="39">
        <v>1500.5429999999999</v>
      </c>
      <c r="F375" s="39">
        <v>1500.5429999999999</v>
      </c>
      <c r="G375" s="40">
        <v>1500.5429999999999</v>
      </c>
      <c r="H375" s="40">
        <v>0</v>
      </c>
      <c r="I375" s="40">
        <v>0</v>
      </c>
      <c r="J375" s="40">
        <v>0</v>
      </c>
      <c r="K375" s="64" t="s">
        <v>115</v>
      </c>
      <c r="L375" s="42"/>
      <c r="M375" s="43"/>
    </row>
    <row r="376" spans="1:13" ht="108" x14ac:dyDescent="0.25">
      <c r="A376" s="1">
        <v>12</v>
      </c>
      <c r="B376" s="36">
        <f t="shared" si="34"/>
        <v>22</v>
      </c>
      <c r="C376" s="37" t="s">
        <v>549</v>
      </c>
      <c r="D376" s="38" t="s">
        <v>37</v>
      </c>
      <c r="E376" s="39">
        <v>1998.307</v>
      </c>
      <c r="F376" s="39">
        <v>1998.307</v>
      </c>
      <c r="G376" s="40">
        <v>1998.307</v>
      </c>
      <c r="H376" s="40">
        <v>1682.1754000000001</v>
      </c>
      <c r="I376" s="40">
        <v>1682.175</v>
      </c>
      <c r="J376" s="40">
        <v>0</v>
      </c>
      <c r="K376" s="64" t="s">
        <v>28</v>
      </c>
      <c r="L376" s="77" t="s">
        <v>518</v>
      </c>
      <c r="M376" s="43"/>
    </row>
    <row r="377" spans="1:13" ht="54" x14ac:dyDescent="0.25">
      <c r="A377" s="1">
        <v>12</v>
      </c>
      <c r="B377" s="36">
        <f t="shared" si="34"/>
        <v>23</v>
      </c>
      <c r="C377" s="37" t="s">
        <v>550</v>
      </c>
      <c r="D377" s="38" t="s">
        <v>37</v>
      </c>
      <c r="E377" s="39">
        <v>2034</v>
      </c>
      <c r="F377" s="39">
        <v>2034</v>
      </c>
      <c r="G377" s="40">
        <v>2034</v>
      </c>
      <c r="H377" s="40">
        <v>170.61354</v>
      </c>
      <c r="I377" s="40">
        <v>170.614</v>
      </c>
      <c r="J377" s="40">
        <v>0</v>
      </c>
      <c r="K377" s="64" t="s">
        <v>28</v>
      </c>
      <c r="L377" s="77" t="s">
        <v>551</v>
      </c>
      <c r="M377" s="43"/>
    </row>
    <row r="378" spans="1:13" ht="54" x14ac:dyDescent="0.25">
      <c r="A378" s="1">
        <v>12</v>
      </c>
      <c r="B378" s="36">
        <f t="shared" si="34"/>
        <v>24</v>
      </c>
      <c r="C378" s="37" t="s">
        <v>552</v>
      </c>
      <c r="D378" s="38" t="s">
        <v>37</v>
      </c>
      <c r="E378" s="39">
        <v>1539</v>
      </c>
      <c r="F378" s="39">
        <v>1539</v>
      </c>
      <c r="G378" s="40">
        <v>1539</v>
      </c>
      <c r="H378" s="40">
        <v>705.53596000000005</v>
      </c>
      <c r="I378" s="40">
        <v>705.53599999999994</v>
      </c>
      <c r="J378" s="40">
        <v>0</v>
      </c>
      <c r="K378" s="64" t="s">
        <v>28</v>
      </c>
      <c r="L378" s="77" t="s">
        <v>536</v>
      </c>
      <c r="M378" s="43"/>
    </row>
    <row r="379" spans="1:13" ht="54" x14ac:dyDescent="0.25">
      <c r="A379" s="1">
        <v>12</v>
      </c>
      <c r="B379" s="36">
        <f t="shared" si="34"/>
        <v>25</v>
      </c>
      <c r="C379" s="37" t="s">
        <v>553</v>
      </c>
      <c r="D379" s="38" t="s">
        <v>37</v>
      </c>
      <c r="E379" s="40">
        <v>11144.194</v>
      </c>
      <c r="F379" s="40">
        <v>11144.194</v>
      </c>
      <c r="G379" s="40">
        <v>11144.194</v>
      </c>
      <c r="H379" s="40">
        <v>11004.419</v>
      </c>
      <c r="I379" s="40">
        <v>11004.419</v>
      </c>
      <c r="J379" s="40">
        <v>0</v>
      </c>
      <c r="K379" s="64" t="s">
        <v>80</v>
      </c>
      <c r="L379" s="42" t="s">
        <v>554</v>
      </c>
      <c r="M379" s="43" t="s">
        <v>555</v>
      </c>
    </row>
    <row r="380" spans="1:13" ht="54" x14ac:dyDescent="0.25">
      <c r="A380" s="1">
        <v>12</v>
      </c>
      <c r="B380" s="36">
        <f t="shared" si="34"/>
        <v>26</v>
      </c>
      <c r="C380" s="37" t="s">
        <v>556</v>
      </c>
      <c r="D380" s="38" t="s">
        <v>37</v>
      </c>
      <c r="E380" s="40">
        <v>2847.23</v>
      </c>
      <c r="F380" s="40">
        <v>2847.23</v>
      </c>
      <c r="G380" s="40">
        <v>2847.23</v>
      </c>
      <c r="H380" s="40">
        <v>2763.0520000000001</v>
      </c>
      <c r="I380" s="40">
        <v>2763.0520000000001</v>
      </c>
      <c r="J380" s="40">
        <v>0</v>
      </c>
      <c r="K380" s="64" t="s">
        <v>80</v>
      </c>
      <c r="L380" s="42" t="s">
        <v>554</v>
      </c>
      <c r="M380" s="43" t="s">
        <v>557</v>
      </c>
    </row>
    <row r="381" spans="1:13" ht="60" x14ac:dyDescent="0.25">
      <c r="A381" s="1">
        <v>12</v>
      </c>
      <c r="B381" s="36">
        <f t="shared" si="34"/>
        <v>27</v>
      </c>
      <c r="C381" s="37" t="s">
        <v>558</v>
      </c>
      <c r="D381" s="38" t="s">
        <v>37</v>
      </c>
      <c r="E381" s="40">
        <v>11144.195</v>
      </c>
      <c r="F381" s="40">
        <v>11144.195</v>
      </c>
      <c r="G381" s="40">
        <v>11144.195</v>
      </c>
      <c r="H381" s="40">
        <v>10408.328</v>
      </c>
      <c r="I381" s="40">
        <v>10408.328</v>
      </c>
      <c r="J381" s="40">
        <v>0</v>
      </c>
      <c r="K381" s="64" t="s">
        <v>306</v>
      </c>
      <c r="L381" s="42" t="s">
        <v>559</v>
      </c>
      <c r="M381" s="43" t="s">
        <v>560</v>
      </c>
    </row>
    <row r="382" spans="1:13" ht="72" x14ac:dyDescent="0.25">
      <c r="A382" s="1">
        <v>12</v>
      </c>
      <c r="B382" s="36">
        <f t="shared" si="34"/>
        <v>28</v>
      </c>
      <c r="C382" s="37" t="s">
        <v>561</v>
      </c>
      <c r="D382" s="38" t="s">
        <v>37</v>
      </c>
      <c r="E382" s="39">
        <v>4021.9459999999999</v>
      </c>
      <c r="F382" s="39">
        <v>4021.9459999999999</v>
      </c>
      <c r="G382" s="40">
        <v>4021.9459999999999</v>
      </c>
      <c r="H382" s="40">
        <v>1280.3330000000001</v>
      </c>
      <c r="I382" s="40">
        <v>1280.3330000000001</v>
      </c>
      <c r="J382" s="40">
        <v>0</v>
      </c>
      <c r="K382" s="64" t="s">
        <v>28</v>
      </c>
      <c r="L382" s="77" t="s">
        <v>198</v>
      </c>
      <c r="M382" s="43"/>
    </row>
    <row r="383" spans="1:13" ht="72" x14ac:dyDescent="0.25">
      <c r="A383" s="1">
        <v>12</v>
      </c>
      <c r="B383" s="36">
        <f t="shared" si="34"/>
        <v>29</v>
      </c>
      <c r="C383" s="37" t="s">
        <v>562</v>
      </c>
      <c r="D383" s="38" t="s">
        <v>37</v>
      </c>
      <c r="E383" s="39">
        <v>7198.2259999999997</v>
      </c>
      <c r="F383" s="39">
        <v>7198.2259999999997</v>
      </c>
      <c r="G383" s="40">
        <v>7198.2259999999997</v>
      </c>
      <c r="H383" s="40">
        <v>3458.1890199999998</v>
      </c>
      <c r="I383" s="40">
        <v>3458.1889999999999</v>
      </c>
      <c r="J383" s="40">
        <v>0</v>
      </c>
      <c r="K383" s="64" t="s">
        <v>28</v>
      </c>
      <c r="L383" s="77" t="s">
        <v>124</v>
      </c>
      <c r="M383" s="43"/>
    </row>
    <row r="384" spans="1:13" ht="90" x14ac:dyDescent="0.25">
      <c r="A384" s="1">
        <v>12</v>
      </c>
      <c r="B384" s="36">
        <f t="shared" si="34"/>
        <v>30</v>
      </c>
      <c r="C384" s="37" t="s">
        <v>563</v>
      </c>
      <c r="D384" s="38" t="s">
        <v>37</v>
      </c>
      <c r="E384" s="40">
        <v>7916.8940000000002</v>
      </c>
      <c r="F384" s="40">
        <v>7916.8940000000002</v>
      </c>
      <c r="G384" s="40">
        <v>7916.8940000000002</v>
      </c>
      <c r="H384" s="40">
        <v>7914.6490000000003</v>
      </c>
      <c r="I384" s="40">
        <v>7914.6493799999998</v>
      </c>
      <c r="J384" s="40">
        <v>0</v>
      </c>
      <c r="K384" s="89" t="s">
        <v>38</v>
      </c>
      <c r="L384" s="42" t="s">
        <v>102</v>
      </c>
      <c r="M384" s="43"/>
    </row>
    <row r="385" spans="1:13" ht="90" x14ac:dyDescent="0.25">
      <c r="A385" s="1">
        <v>12</v>
      </c>
      <c r="B385" s="36">
        <f t="shared" si="34"/>
        <v>31</v>
      </c>
      <c r="C385" s="37" t="s">
        <v>564</v>
      </c>
      <c r="D385" s="38" t="s">
        <v>37</v>
      </c>
      <c r="E385" s="39">
        <v>17757.469000000001</v>
      </c>
      <c r="F385" s="39">
        <v>17757.469000000001</v>
      </c>
      <c r="G385" s="40">
        <v>17757.469000000001</v>
      </c>
      <c r="H385" s="40">
        <v>2047.8807899999999</v>
      </c>
      <c r="I385" s="40">
        <v>2047.8807899999999</v>
      </c>
      <c r="J385" s="40">
        <v>0</v>
      </c>
      <c r="K385" s="64" t="s">
        <v>115</v>
      </c>
      <c r="L385" s="77" t="s">
        <v>536</v>
      </c>
      <c r="M385" s="43"/>
    </row>
    <row r="386" spans="1:13" ht="72" x14ac:dyDescent="0.25">
      <c r="A386" s="1">
        <v>12</v>
      </c>
      <c r="B386" s="36">
        <f t="shared" si="34"/>
        <v>32</v>
      </c>
      <c r="C386" s="37" t="s">
        <v>565</v>
      </c>
      <c r="D386" s="38" t="s">
        <v>37</v>
      </c>
      <c r="E386" s="39">
        <v>3265.0810000000001</v>
      </c>
      <c r="F386" s="39">
        <v>3265.0810000000001</v>
      </c>
      <c r="G386" s="40">
        <v>3265.0810000000001</v>
      </c>
      <c r="H386" s="40">
        <v>661.79399999999998</v>
      </c>
      <c r="I386" s="40">
        <v>661.79412000000002</v>
      </c>
      <c r="J386" s="40">
        <v>0</v>
      </c>
      <c r="K386" s="64" t="s">
        <v>115</v>
      </c>
      <c r="L386" s="77" t="s">
        <v>566</v>
      </c>
      <c r="M386" s="43"/>
    </row>
    <row r="387" spans="1:13" ht="72" x14ac:dyDescent="0.25">
      <c r="A387" s="1">
        <v>12</v>
      </c>
      <c r="B387" s="50">
        <f t="shared" si="34"/>
        <v>33</v>
      </c>
      <c r="C387" s="51" t="s">
        <v>567</v>
      </c>
      <c r="D387" s="52" t="s">
        <v>37</v>
      </c>
      <c r="E387" s="85">
        <v>5531.3649999999998</v>
      </c>
      <c r="F387" s="85">
        <v>5531.3649999999998</v>
      </c>
      <c r="G387" s="84">
        <v>5531.3649999999998</v>
      </c>
      <c r="H387" s="84">
        <v>1253.623</v>
      </c>
      <c r="I387" s="84">
        <v>1253.6232600000001</v>
      </c>
      <c r="J387" s="84">
        <v>0</v>
      </c>
      <c r="K387" s="64" t="s">
        <v>115</v>
      </c>
      <c r="L387" s="87" t="s">
        <v>568</v>
      </c>
      <c r="M387" s="88"/>
    </row>
    <row r="388" spans="1:13" ht="109.5" x14ac:dyDescent="0.25">
      <c r="A388" s="1">
        <v>12</v>
      </c>
      <c r="B388" s="50">
        <f t="shared" si="34"/>
        <v>34</v>
      </c>
      <c r="C388" s="51" t="s">
        <v>569</v>
      </c>
      <c r="D388" s="52"/>
      <c r="E388" s="84">
        <v>1599.3779999999999</v>
      </c>
      <c r="F388" s="84">
        <v>1599.3779999999999</v>
      </c>
      <c r="G388" s="84">
        <v>1599.3783100000001</v>
      </c>
      <c r="H388" s="84">
        <v>1599.3783100000001</v>
      </c>
      <c r="I388" s="84">
        <v>0</v>
      </c>
      <c r="J388" s="84">
        <v>0</v>
      </c>
      <c r="K388" s="89" t="s">
        <v>570</v>
      </c>
      <c r="L388" s="65"/>
      <c r="M388" s="88"/>
    </row>
    <row r="389" spans="1:13" ht="109.5" x14ac:dyDescent="0.25">
      <c r="A389" s="1">
        <v>12</v>
      </c>
      <c r="B389" s="50">
        <f t="shared" si="34"/>
        <v>35</v>
      </c>
      <c r="C389" s="51" t="s">
        <v>571</v>
      </c>
      <c r="D389" s="52"/>
      <c r="E389" s="84">
        <v>1103.377</v>
      </c>
      <c r="F389" s="84">
        <v>1103.377</v>
      </c>
      <c r="G389" s="84">
        <v>1103.37715</v>
      </c>
      <c r="H389" s="84">
        <v>1103.37715</v>
      </c>
      <c r="I389" s="84">
        <v>0</v>
      </c>
      <c r="J389" s="84">
        <v>0</v>
      </c>
      <c r="K389" s="89" t="s">
        <v>570</v>
      </c>
      <c r="L389" s="65"/>
      <c r="M389" s="88"/>
    </row>
    <row r="390" spans="1:13" ht="90" x14ac:dyDescent="0.25">
      <c r="A390" s="1">
        <v>12</v>
      </c>
      <c r="B390" s="82">
        <f t="shared" si="34"/>
        <v>36</v>
      </c>
      <c r="C390" s="51" t="s">
        <v>572</v>
      </c>
      <c r="D390" s="52" t="s">
        <v>37</v>
      </c>
      <c r="E390" s="85">
        <v>899.87800000000004</v>
      </c>
      <c r="F390" s="85">
        <v>899.87800000000004</v>
      </c>
      <c r="G390" s="84">
        <v>899.87800000000004</v>
      </c>
      <c r="H390" s="84">
        <v>0</v>
      </c>
      <c r="I390" s="84">
        <v>0</v>
      </c>
      <c r="J390" s="84">
        <v>0</v>
      </c>
      <c r="K390" s="64" t="s">
        <v>115</v>
      </c>
      <c r="L390" s="65"/>
      <c r="M390" s="88"/>
    </row>
    <row r="391" spans="1:13" ht="90" x14ac:dyDescent="0.25">
      <c r="A391" s="1">
        <v>12</v>
      </c>
      <c r="B391" s="82">
        <f t="shared" si="34"/>
        <v>37</v>
      </c>
      <c r="C391" s="51" t="s">
        <v>573</v>
      </c>
      <c r="D391" s="52" t="s">
        <v>37</v>
      </c>
      <c r="E391" s="85">
        <v>899.98800000000006</v>
      </c>
      <c r="F391" s="85">
        <v>899.98800000000006</v>
      </c>
      <c r="G391" s="84">
        <v>899.98800000000006</v>
      </c>
      <c r="H391" s="84">
        <v>0</v>
      </c>
      <c r="I391" s="84">
        <v>0</v>
      </c>
      <c r="J391" s="84">
        <v>0</v>
      </c>
      <c r="K391" s="64" t="s">
        <v>115</v>
      </c>
      <c r="L391" s="65"/>
      <c r="M391" s="88"/>
    </row>
    <row r="392" spans="1:13" ht="72" x14ac:dyDescent="0.25">
      <c r="A392" s="1">
        <v>12</v>
      </c>
      <c r="B392" s="82">
        <f t="shared" si="34"/>
        <v>38</v>
      </c>
      <c r="C392" s="51" t="s">
        <v>574</v>
      </c>
      <c r="D392" s="52" t="s">
        <v>37</v>
      </c>
      <c r="E392" s="85">
        <v>873.87199999999996</v>
      </c>
      <c r="F392" s="85">
        <v>873.87199999999996</v>
      </c>
      <c r="G392" s="84">
        <v>873.87199999999996</v>
      </c>
      <c r="H392" s="84">
        <v>0</v>
      </c>
      <c r="I392" s="84">
        <v>0</v>
      </c>
      <c r="J392" s="84">
        <v>0</v>
      </c>
      <c r="K392" s="64" t="s">
        <v>115</v>
      </c>
      <c r="L392" s="65"/>
      <c r="M392" s="88"/>
    </row>
    <row r="393" spans="1:13" ht="54" x14ac:dyDescent="0.25">
      <c r="A393" s="1">
        <v>12</v>
      </c>
      <c r="B393" s="82">
        <f t="shared" si="34"/>
        <v>39</v>
      </c>
      <c r="C393" s="51" t="s">
        <v>575</v>
      </c>
      <c r="D393" s="52" t="s">
        <v>37</v>
      </c>
      <c r="E393" s="85">
        <v>1349.723</v>
      </c>
      <c r="F393" s="85">
        <v>1349.723</v>
      </c>
      <c r="G393" s="84">
        <v>1349.723</v>
      </c>
      <c r="H393" s="84">
        <v>0</v>
      </c>
      <c r="I393" s="84">
        <v>0</v>
      </c>
      <c r="J393" s="84">
        <v>0</v>
      </c>
      <c r="K393" s="64" t="s">
        <v>115</v>
      </c>
      <c r="L393" s="65"/>
      <c r="M393" s="88"/>
    </row>
    <row r="394" spans="1:13" ht="54" x14ac:dyDescent="0.25">
      <c r="A394" s="1">
        <v>12</v>
      </c>
      <c r="B394" s="82">
        <f t="shared" si="34"/>
        <v>40</v>
      </c>
      <c r="C394" s="51" t="s">
        <v>576</v>
      </c>
      <c r="D394" s="52" t="s">
        <v>37</v>
      </c>
      <c r="E394" s="85">
        <v>1349.9110000000001</v>
      </c>
      <c r="F394" s="85">
        <v>1349.9110000000001</v>
      </c>
      <c r="G394" s="84">
        <v>1349.9110000000001</v>
      </c>
      <c r="H394" s="84">
        <v>0</v>
      </c>
      <c r="I394" s="84">
        <v>0</v>
      </c>
      <c r="J394" s="84">
        <v>0</v>
      </c>
      <c r="K394" s="64" t="s">
        <v>115</v>
      </c>
      <c r="L394" s="65"/>
      <c r="M394" s="88"/>
    </row>
    <row r="395" spans="1:13" ht="54" x14ac:dyDescent="0.25">
      <c r="A395" s="1">
        <v>12</v>
      </c>
      <c r="B395" s="82">
        <f t="shared" si="34"/>
        <v>41</v>
      </c>
      <c r="C395" s="51" t="s">
        <v>577</v>
      </c>
      <c r="D395" s="52" t="s">
        <v>37</v>
      </c>
      <c r="E395" s="85">
        <v>767.09699999999998</v>
      </c>
      <c r="F395" s="85">
        <v>767.09699999999998</v>
      </c>
      <c r="G395" s="84">
        <v>767.09699999999998</v>
      </c>
      <c r="H395" s="84">
        <v>0</v>
      </c>
      <c r="I395" s="84">
        <v>0</v>
      </c>
      <c r="J395" s="84">
        <v>0</v>
      </c>
      <c r="K395" s="64" t="s">
        <v>115</v>
      </c>
      <c r="L395" s="65"/>
      <c r="M395" s="88"/>
    </row>
    <row r="396" spans="1:13" ht="162" x14ac:dyDescent="0.25">
      <c r="A396" s="1">
        <v>12</v>
      </c>
      <c r="B396" s="82">
        <f t="shared" si="34"/>
        <v>42</v>
      </c>
      <c r="C396" s="51" t="s">
        <v>578</v>
      </c>
      <c r="D396" s="52" t="s">
        <v>37</v>
      </c>
      <c r="E396" s="85">
        <v>4093.7069999999999</v>
      </c>
      <c r="F396" s="85">
        <v>4093.7069999999999</v>
      </c>
      <c r="G396" s="84">
        <v>4093.7069999999999</v>
      </c>
      <c r="H396" s="84">
        <v>0</v>
      </c>
      <c r="I396" s="84">
        <v>0</v>
      </c>
      <c r="J396" s="84">
        <v>0</v>
      </c>
      <c r="K396" s="64" t="s">
        <v>28</v>
      </c>
      <c r="L396" s="65"/>
      <c r="M396" s="88"/>
    </row>
    <row r="397" spans="1:13" ht="54" x14ac:dyDescent="0.25">
      <c r="A397" s="1">
        <v>12</v>
      </c>
      <c r="B397" s="82">
        <f t="shared" si="34"/>
        <v>43</v>
      </c>
      <c r="C397" s="51" t="s">
        <v>579</v>
      </c>
      <c r="D397" s="52" t="s">
        <v>37</v>
      </c>
      <c r="E397" s="85">
        <v>810</v>
      </c>
      <c r="F397" s="85">
        <v>810</v>
      </c>
      <c r="G397" s="84">
        <v>810</v>
      </c>
      <c r="H397" s="84">
        <v>0</v>
      </c>
      <c r="I397" s="84">
        <v>0</v>
      </c>
      <c r="J397" s="84">
        <v>0</v>
      </c>
      <c r="K397" s="64" t="s">
        <v>28</v>
      </c>
      <c r="L397" s="65"/>
      <c r="M397" s="88"/>
    </row>
    <row r="398" spans="1:13" ht="72" x14ac:dyDescent="0.25">
      <c r="A398" s="1">
        <v>12</v>
      </c>
      <c r="B398" s="82">
        <f t="shared" si="34"/>
        <v>44</v>
      </c>
      <c r="C398" s="51" t="s">
        <v>580</v>
      </c>
      <c r="D398" s="52" t="s">
        <v>37</v>
      </c>
      <c r="E398" s="85">
        <v>449.58499999999998</v>
      </c>
      <c r="F398" s="85">
        <v>449.58499999999998</v>
      </c>
      <c r="G398" s="84">
        <v>449.58499999999998</v>
      </c>
      <c r="H398" s="84">
        <v>0</v>
      </c>
      <c r="I398" s="84">
        <v>0</v>
      </c>
      <c r="J398" s="84">
        <v>0</v>
      </c>
      <c r="K398" s="64" t="s">
        <v>28</v>
      </c>
      <c r="L398" s="65"/>
      <c r="M398" s="88"/>
    </row>
    <row r="399" spans="1:13" ht="126" x14ac:dyDescent="0.25">
      <c r="A399" s="1">
        <v>12</v>
      </c>
      <c r="B399" s="82">
        <f t="shared" si="34"/>
        <v>45</v>
      </c>
      <c r="C399" s="51" t="s">
        <v>581</v>
      </c>
      <c r="D399" s="52" t="s">
        <v>37</v>
      </c>
      <c r="E399" s="85">
        <v>3780</v>
      </c>
      <c r="F399" s="85">
        <v>3780</v>
      </c>
      <c r="G399" s="84">
        <v>3780</v>
      </c>
      <c r="H399" s="84">
        <v>0</v>
      </c>
      <c r="I399" s="84">
        <v>0</v>
      </c>
      <c r="J399" s="84">
        <v>0</v>
      </c>
      <c r="K399" s="64" t="s">
        <v>28</v>
      </c>
      <c r="L399" s="65"/>
      <c r="M399" s="88"/>
    </row>
    <row r="400" spans="1:13" ht="108" x14ac:dyDescent="0.25">
      <c r="A400" s="1">
        <v>12</v>
      </c>
      <c r="B400" s="82">
        <f t="shared" si="34"/>
        <v>46</v>
      </c>
      <c r="C400" s="51" t="s">
        <v>582</v>
      </c>
      <c r="D400" s="52" t="s">
        <v>37</v>
      </c>
      <c r="E400" s="84">
        <v>900</v>
      </c>
      <c r="F400" s="84">
        <v>900</v>
      </c>
      <c r="G400" s="84">
        <v>900</v>
      </c>
      <c r="H400" s="84">
        <v>898.11</v>
      </c>
      <c r="I400" s="84">
        <v>898.1</v>
      </c>
      <c r="J400" s="84">
        <v>0</v>
      </c>
      <c r="K400" s="89" t="s">
        <v>38</v>
      </c>
      <c r="L400" s="65" t="s">
        <v>583</v>
      </c>
      <c r="M400" s="88" t="s">
        <v>157</v>
      </c>
    </row>
    <row r="401" spans="1:13" ht="108" x14ac:dyDescent="0.25">
      <c r="A401" s="1">
        <v>12</v>
      </c>
      <c r="B401" s="82">
        <f t="shared" si="34"/>
        <v>47</v>
      </c>
      <c r="C401" s="51" t="s">
        <v>584</v>
      </c>
      <c r="D401" s="52" t="s">
        <v>37</v>
      </c>
      <c r="E401" s="84">
        <v>720</v>
      </c>
      <c r="F401" s="84">
        <v>720</v>
      </c>
      <c r="G401" s="84">
        <v>720</v>
      </c>
      <c r="H401" s="84">
        <v>720</v>
      </c>
      <c r="I401" s="84">
        <v>720</v>
      </c>
      <c r="J401" s="84">
        <v>0</v>
      </c>
      <c r="K401" s="89" t="s">
        <v>38</v>
      </c>
      <c r="L401" s="65" t="s">
        <v>585</v>
      </c>
      <c r="M401" s="88" t="s">
        <v>157</v>
      </c>
    </row>
    <row r="402" spans="1:13" ht="72" x14ac:dyDescent="0.25">
      <c r="A402" s="1">
        <v>12</v>
      </c>
      <c r="B402" s="82">
        <f t="shared" si="34"/>
        <v>48</v>
      </c>
      <c r="C402" s="51" t="s">
        <v>586</v>
      </c>
      <c r="D402" s="52" t="s">
        <v>37</v>
      </c>
      <c r="E402" s="85">
        <v>382.90699999999998</v>
      </c>
      <c r="F402" s="85">
        <v>382.90699999999998</v>
      </c>
      <c r="G402" s="84">
        <v>0</v>
      </c>
      <c r="H402" s="84">
        <v>0</v>
      </c>
      <c r="I402" s="84">
        <v>0</v>
      </c>
      <c r="J402" s="84">
        <v>0</v>
      </c>
      <c r="K402" s="64" t="s">
        <v>28</v>
      </c>
      <c r="L402" s="65"/>
      <c r="M402" s="88"/>
    </row>
    <row r="403" spans="1:13" ht="90" x14ac:dyDescent="0.25">
      <c r="A403" s="1">
        <v>12</v>
      </c>
      <c r="B403" s="82">
        <f t="shared" si="34"/>
        <v>49</v>
      </c>
      <c r="C403" s="51" t="s">
        <v>587</v>
      </c>
      <c r="D403" s="52" t="s">
        <v>37</v>
      </c>
      <c r="E403" s="85">
        <v>2430</v>
      </c>
      <c r="F403" s="85">
        <v>2430</v>
      </c>
      <c r="G403" s="84">
        <v>2430</v>
      </c>
      <c r="H403" s="84">
        <v>0</v>
      </c>
      <c r="I403" s="84">
        <v>0</v>
      </c>
      <c r="J403" s="84">
        <v>0</v>
      </c>
      <c r="K403" s="64" t="s">
        <v>28</v>
      </c>
      <c r="L403" s="65"/>
      <c r="M403" s="88"/>
    </row>
    <row r="404" spans="1:13" ht="72" x14ac:dyDescent="0.25">
      <c r="A404" s="1">
        <v>12</v>
      </c>
      <c r="B404" s="82">
        <f t="shared" si="34"/>
        <v>50</v>
      </c>
      <c r="C404" s="51" t="s">
        <v>588</v>
      </c>
      <c r="D404" s="52" t="s">
        <v>37</v>
      </c>
      <c r="E404" s="85">
        <v>990</v>
      </c>
      <c r="F404" s="85">
        <v>990</v>
      </c>
      <c r="G404" s="84">
        <v>990</v>
      </c>
      <c r="H404" s="84">
        <v>990</v>
      </c>
      <c r="I404" s="84">
        <v>990</v>
      </c>
      <c r="J404" s="84">
        <v>0</v>
      </c>
      <c r="K404" s="41" t="s">
        <v>38</v>
      </c>
      <c r="L404" s="65" t="s">
        <v>589</v>
      </c>
      <c r="M404" s="88" t="s">
        <v>157</v>
      </c>
    </row>
    <row r="405" spans="1:13" ht="72" x14ac:dyDescent="0.25">
      <c r="A405" s="1">
        <v>12</v>
      </c>
      <c r="B405" s="44">
        <f t="shared" si="34"/>
        <v>51</v>
      </c>
      <c r="C405" s="37" t="s">
        <v>590</v>
      </c>
      <c r="D405" s="38" t="s">
        <v>37</v>
      </c>
      <c r="E405" s="39">
        <v>1440</v>
      </c>
      <c r="F405" s="39">
        <v>1440</v>
      </c>
      <c r="G405" s="39">
        <v>1440</v>
      </c>
      <c r="H405" s="39">
        <v>1395</v>
      </c>
      <c r="I405" s="39">
        <v>1395</v>
      </c>
      <c r="J405" s="40">
        <v>0</v>
      </c>
      <c r="K405" s="41" t="s">
        <v>38</v>
      </c>
      <c r="L405" s="42" t="s">
        <v>591</v>
      </c>
      <c r="M405" s="43" t="s">
        <v>157</v>
      </c>
    </row>
    <row r="406" spans="1:13" ht="72.75" thickBot="1" x14ac:dyDescent="0.3">
      <c r="A406" s="1">
        <v>12</v>
      </c>
      <c r="B406" s="66">
        <f t="shared" si="34"/>
        <v>52</v>
      </c>
      <c r="C406" s="57" t="s">
        <v>592</v>
      </c>
      <c r="D406" s="67" t="s">
        <v>37</v>
      </c>
      <c r="E406" s="69">
        <v>919.55899999999997</v>
      </c>
      <c r="F406" s="69">
        <v>919.55899999999997</v>
      </c>
      <c r="G406" s="69">
        <v>919.55899999999997</v>
      </c>
      <c r="H406" s="69">
        <v>919.55899999999997</v>
      </c>
      <c r="I406" s="69">
        <v>919.55899999999997</v>
      </c>
      <c r="J406" s="68">
        <v>0</v>
      </c>
      <c r="K406" s="78" t="s">
        <v>38</v>
      </c>
      <c r="L406" s="71" t="s">
        <v>475</v>
      </c>
      <c r="M406" s="72" t="s">
        <v>593</v>
      </c>
    </row>
    <row r="407" spans="1:13" ht="18" x14ac:dyDescent="0.25">
      <c r="A407" s="1">
        <v>13</v>
      </c>
      <c r="B407" s="112" t="s">
        <v>594</v>
      </c>
      <c r="C407" s="113"/>
      <c r="D407" s="113"/>
      <c r="E407" s="113"/>
      <c r="F407" s="113"/>
      <c r="G407" s="113"/>
      <c r="H407" s="113"/>
      <c r="I407" s="113"/>
      <c r="J407" s="113"/>
      <c r="K407" s="113"/>
      <c r="L407" s="113"/>
      <c r="M407" s="114"/>
    </row>
    <row r="408" spans="1:13" ht="18" x14ac:dyDescent="0.25">
      <c r="A408" s="1">
        <v>13</v>
      </c>
      <c r="B408" s="21"/>
      <c r="C408" s="22" t="s">
        <v>25</v>
      </c>
      <c r="D408" s="23"/>
      <c r="E408" s="34">
        <f t="shared" ref="E408:J408" si="35">SUM(E409,E411:E488)</f>
        <v>222523.77600000001</v>
      </c>
      <c r="F408" s="34">
        <f t="shared" si="35"/>
        <v>222523.77600000001</v>
      </c>
      <c r="G408" s="34">
        <f t="shared" si="35"/>
        <v>222523.77600000001</v>
      </c>
      <c r="H408" s="34">
        <f t="shared" si="35"/>
        <v>213468.61981</v>
      </c>
      <c r="I408" s="34">
        <f t="shared" si="35"/>
        <v>213468.61981</v>
      </c>
      <c r="J408" s="34">
        <f t="shared" si="35"/>
        <v>0</v>
      </c>
      <c r="K408" s="23"/>
      <c r="L408" s="23"/>
      <c r="M408" s="26"/>
    </row>
    <row r="409" spans="1:13" ht="18" x14ac:dyDescent="0.25">
      <c r="A409" s="1">
        <v>13</v>
      </c>
      <c r="B409" s="21"/>
      <c r="C409" s="22" t="s">
        <v>22</v>
      </c>
      <c r="D409" s="23"/>
      <c r="E409" s="34">
        <v>0</v>
      </c>
      <c r="F409" s="34">
        <f>(1965.7+2110.844)-(1965.7+2110.844)</f>
        <v>0</v>
      </c>
      <c r="G409" s="34">
        <f>0+45.758</f>
        <v>45.758000000000003</v>
      </c>
      <c r="H409" s="34"/>
      <c r="I409" s="34"/>
      <c r="J409" s="34"/>
      <c r="K409" s="23"/>
      <c r="L409" s="23"/>
      <c r="M409" s="26"/>
    </row>
    <row r="410" spans="1:13" ht="36" x14ac:dyDescent="0.25">
      <c r="A410" s="1">
        <v>13</v>
      </c>
      <c r="B410" s="21"/>
      <c r="C410" s="22" t="s">
        <v>23</v>
      </c>
      <c r="D410" s="23"/>
      <c r="E410" s="34">
        <f t="shared" ref="E410:J410" si="36">SUM(E411:E488)</f>
        <v>222523.77600000001</v>
      </c>
      <c r="F410" s="34">
        <f t="shared" si="36"/>
        <v>222523.77600000001</v>
      </c>
      <c r="G410" s="34">
        <f t="shared" si="36"/>
        <v>222478.01800000001</v>
      </c>
      <c r="H410" s="34">
        <f t="shared" si="36"/>
        <v>213468.61981</v>
      </c>
      <c r="I410" s="34">
        <f t="shared" si="36"/>
        <v>213468.61981</v>
      </c>
      <c r="J410" s="34">
        <f t="shared" si="36"/>
        <v>0</v>
      </c>
      <c r="K410" s="23"/>
      <c r="L410" s="23"/>
      <c r="M410" s="26"/>
    </row>
    <row r="411" spans="1:13" ht="72" x14ac:dyDescent="0.25">
      <c r="A411" s="1">
        <v>13</v>
      </c>
      <c r="B411" s="36">
        <v>1</v>
      </c>
      <c r="C411" s="37" t="s">
        <v>595</v>
      </c>
      <c r="D411" s="38" t="s">
        <v>33</v>
      </c>
      <c r="E411" s="39">
        <v>1800</v>
      </c>
      <c r="F411" s="40">
        <v>1800</v>
      </c>
      <c r="G411" s="40">
        <v>1800</v>
      </c>
      <c r="H411" s="40">
        <v>1356.3712399999999</v>
      </c>
      <c r="I411" s="40">
        <v>1356.3712399999999</v>
      </c>
      <c r="J411" s="40">
        <v>0</v>
      </c>
      <c r="K411" s="64" t="s">
        <v>596</v>
      </c>
      <c r="L411" s="74"/>
      <c r="M411" s="43"/>
    </row>
    <row r="412" spans="1:13" ht="108" x14ac:dyDescent="0.25">
      <c r="A412" s="1">
        <v>13</v>
      </c>
      <c r="B412" s="36">
        <f>B411+1</f>
        <v>2</v>
      </c>
      <c r="C412" s="79" t="s">
        <v>597</v>
      </c>
      <c r="D412" s="38">
        <v>2016</v>
      </c>
      <c r="E412" s="40">
        <v>9189.2000000000007</v>
      </c>
      <c r="F412" s="40">
        <v>9189.2000000000007</v>
      </c>
      <c r="G412" s="40">
        <v>9189.2000000000007</v>
      </c>
      <c r="H412" s="40">
        <v>9189.1982599999992</v>
      </c>
      <c r="I412" s="40">
        <v>9189.1982599999992</v>
      </c>
      <c r="J412" s="40">
        <v>0</v>
      </c>
      <c r="K412" s="64" t="s">
        <v>38</v>
      </c>
      <c r="L412" s="42" t="s">
        <v>598</v>
      </c>
      <c r="M412" s="43"/>
    </row>
    <row r="413" spans="1:13" ht="54" x14ac:dyDescent="0.25">
      <c r="A413" s="1">
        <v>13</v>
      </c>
      <c r="B413" s="36">
        <f t="shared" ref="B413:B476" si="37">B412+1</f>
        <v>3</v>
      </c>
      <c r="C413" s="79" t="s">
        <v>599</v>
      </c>
      <c r="D413" s="38" t="s">
        <v>330</v>
      </c>
      <c r="E413" s="39">
        <v>6000</v>
      </c>
      <c r="F413" s="40">
        <v>6000</v>
      </c>
      <c r="G413" s="40">
        <v>6000</v>
      </c>
      <c r="H413" s="40">
        <v>6000</v>
      </c>
      <c r="I413" s="40">
        <v>6000</v>
      </c>
      <c r="J413" s="40">
        <v>0</v>
      </c>
      <c r="K413" s="64" t="s">
        <v>596</v>
      </c>
      <c r="L413" s="74"/>
      <c r="M413" s="43"/>
    </row>
    <row r="414" spans="1:13" ht="54" x14ac:dyDescent="0.25">
      <c r="A414" s="1">
        <v>13</v>
      </c>
      <c r="B414" s="36">
        <f t="shared" si="37"/>
        <v>4</v>
      </c>
      <c r="C414" s="37" t="s">
        <v>600</v>
      </c>
      <c r="D414" s="38">
        <v>2016</v>
      </c>
      <c r="E414" s="40">
        <v>958</v>
      </c>
      <c r="F414" s="40">
        <v>958</v>
      </c>
      <c r="G414" s="40">
        <v>958</v>
      </c>
      <c r="H414" s="40">
        <v>958</v>
      </c>
      <c r="I414" s="40">
        <v>958</v>
      </c>
      <c r="J414" s="40">
        <v>0</v>
      </c>
      <c r="K414" s="64" t="s">
        <v>38</v>
      </c>
      <c r="L414" s="42" t="s">
        <v>460</v>
      </c>
      <c r="M414" s="43"/>
    </row>
    <row r="415" spans="1:13" ht="171" x14ac:dyDescent="0.25">
      <c r="A415" s="1">
        <v>13</v>
      </c>
      <c r="B415" s="44">
        <f t="shared" si="37"/>
        <v>5</v>
      </c>
      <c r="C415" s="37" t="s">
        <v>601</v>
      </c>
      <c r="D415" s="38">
        <v>2016</v>
      </c>
      <c r="E415" s="40">
        <f>2000-64.856</f>
        <v>1935.144</v>
      </c>
      <c r="F415" s="40">
        <v>1935.144</v>
      </c>
      <c r="G415" s="40">
        <v>1935.144</v>
      </c>
      <c r="H415" s="40">
        <v>1928.90985</v>
      </c>
      <c r="I415" s="40">
        <v>1928.90985</v>
      </c>
      <c r="J415" s="40">
        <v>0</v>
      </c>
      <c r="K415" s="64" t="s">
        <v>38</v>
      </c>
      <c r="L415" s="76" t="s">
        <v>602</v>
      </c>
      <c r="M415" s="43"/>
    </row>
    <row r="416" spans="1:13" ht="71.25" x14ac:dyDescent="0.25">
      <c r="A416" s="1">
        <v>13</v>
      </c>
      <c r="B416" s="36">
        <f t="shared" si="37"/>
        <v>6</v>
      </c>
      <c r="C416" s="37" t="s">
        <v>603</v>
      </c>
      <c r="D416" s="38" t="s">
        <v>604</v>
      </c>
      <c r="E416" s="39">
        <v>8869.08</v>
      </c>
      <c r="F416" s="40">
        <v>8869.08</v>
      </c>
      <c r="G416" s="40">
        <v>8869.08</v>
      </c>
      <c r="H416" s="40">
        <v>8869.08</v>
      </c>
      <c r="I416" s="40">
        <v>8869.08</v>
      </c>
      <c r="J416" s="40">
        <v>0</v>
      </c>
      <c r="K416" s="64" t="s">
        <v>596</v>
      </c>
      <c r="L416" s="74" t="s">
        <v>605</v>
      </c>
      <c r="M416" s="43"/>
    </row>
    <row r="417" spans="1:13" ht="142.5" x14ac:dyDescent="0.25">
      <c r="A417" s="1">
        <v>13</v>
      </c>
      <c r="B417" s="36">
        <f t="shared" si="37"/>
        <v>7</v>
      </c>
      <c r="C417" s="37" t="s">
        <v>606</v>
      </c>
      <c r="D417" s="38" t="s">
        <v>49</v>
      </c>
      <c r="E417" s="40">
        <v>1450.9</v>
      </c>
      <c r="F417" s="40">
        <v>1450.9</v>
      </c>
      <c r="G417" s="40">
        <v>1450.9</v>
      </c>
      <c r="H417" s="40">
        <v>1450.5640000000001</v>
      </c>
      <c r="I417" s="40">
        <v>1450.5640000000001</v>
      </c>
      <c r="J417" s="40">
        <v>0</v>
      </c>
      <c r="K417" s="90" t="s">
        <v>541</v>
      </c>
      <c r="L417" s="76" t="s">
        <v>607</v>
      </c>
      <c r="M417" s="43" t="s">
        <v>608</v>
      </c>
    </row>
    <row r="418" spans="1:13" ht="72" x14ac:dyDescent="0.25">
      <c r="A418" s="1">
        <v>13</v>
      </c>
      <c r="B418" s="36">
        <f t="shared" si="37"/>
        <v>8</v>
      </c>
      <c r="C418" s="37" t="s">
        <v>609</v>
      </c>
      <c r="D418" s="38">
        <v>2016</v>
      </c>
      <c r="E418" s="40">
        <v>895.67499999999995</v>
      </c>
      <c r="F418" s="40">
        <v>895.67499999999995</v>
      </c>
      <c r="G418" s="40">
        <v>895.67499999999995</v>
      </c>
      <c r="H418" s="40">
        <v>895.67499999999995</v>
      </c>
      <c r="I418" s="40">
        <v>895.67499999999995</v>
      </c>
      <c r="J418" s="40">
        <v>0</v>
      </c>
      <c r="K418" s="64" t="s">
        <v>38</v>
      </c>
      <c r="L418" s="73" t="s">
        <v>515</v>
      </c>
      <c r="M418" s="43"/>
    </row>
    <row r="419" spans="1:13" ht="54" x14ac:dyDescent="0.25">
      <c r="A419" s="1">
        <v>13</v>
      </c>
      <c r="B419" s="36">
        <f t="shared" si="37"/>
        <v>9</v>
      </c>
      <c r="C419" s="37" t="s">
        <v>610</v>
      </c>
      <c r="D419" s="38" t="s">
        <v>611</v>
      </c>
      <c r="E419" s="39">
        <v>3000</v>
      </c>
      <c r="F419" s="40">
        <v>3000</v>
      </c>
      <c r="G419" s="40">
        <v>3000</v>
      </c>
      <c r="H419" s="40">
        <v>3000</v>
      </c>
      <c r="I419" s="40">
        <v>3000</v>
      </c>
      <c r="J419" s="40">
        <v>0</v>
      </c>
      <c r="K419" s="64" t="s">
        <v>115</v>
      </c>
      <c r="L419" s="74"/>
      <c r="M419" s="43"/>
    </row>
    <row r="420" spans="1:13" ht="128.25" x14ac:dyDescent="0.25">
      <c r="A420" s="1">
        <v>13</v>
      </c>
      <c r="B420" s="44">
        <f t="shared" si="37"/>
        <v>10</v>
      </c>
      <c r="C420" s="37" t="s">
        <v>612</v>
      </c>
      <c r="D420" s="38" t="s">
        <v>33</v>
      </c>
      <c r="E420" s="39">
        <f>2000+1035.557</f>
        <v>3035.5569999999998</v>
      </c>
      <c r="F420" s="40">
        <v>3035.5569999999998</v>
      </c>
      <c r="G420" s="40">
        <v>3035.5569999999998</v>
      </c>
      <c r="H420" s="40">
        <v>3035.5569999999998</v>
      </c>
      <c r="I420" s="40">
        <v>3035.5569999999998</v>
      </c>
      <c r="J420" s="40">
        <v>0</v>
      </c>
      <c r="K420" s="64" t="s">
        <v>115</v>
      </c>
      <c r="L420" s="74" t="s">
        <v>613</v>
      </c>
      <c r="M420" s="43"/>
    </row>
    <row r="421" spans="1:13" ht="114" x14ac:dyDescent="0.25">
      <c r="A421" s="1">
        <v>13</v>
      </c>
      <c r="B421" s="36">
        <f t="shared" si="37"/>
        <v>11</v>
      </c>
      <c r="C421" s="37" t="s">
        <v>614</v>
      </c>
      <c r="D421" s="38" t="s">
        <v>37</v>
      </c>
      <c r="E421" s="40">
        <v>780</v>
      </c>
      <c r="F421" s="40">
        <v>780</v>
      </c>
      <c r="G421" s="40">
        <v>780</v>
      </c>
      <c r="H421" s="40">
        <v>780</v>
      </c>
      <c r="I421" s="40">
        <v>780</v>
      </c>
      <c r="J421" s="40">
        <v>0</v>
      </c>
      <c r="K421" s="64" t="s">
        <v>38</v>
      </c>
      <c r="L421" s="76" t="s">
        <v>615</v>
      </c>
      <c r="M421" s="43"/>
    </row>
    <row r="422" spans="1:13" ht="108" x14ac:dyDescent="0.25">
      <c r="A422" s="1">
        <v>13</v>
      </c>
      <c r="B422" s="36">
        <f t="shared" si="37"/>
        <v>12</v>
      </c>
      <c r="C422" s="37" t="s">
        <v>616</v>
      </c>
      <c r="D422" s="38" t="s">
        <v>33</v>
      </c>
      <c r="E422" s="39">
        <v>3652.6329999999998</v>
      </c>
      <c r="F422" s="40">
        <v>3652.6329999999998</v>
      </c>
      <c r="G422" s="40">
        <v>3652.6329999999998</v>
      </c>
      <c r="H422" s="40">
        <v>3321.3392000000003</v>
      </c>
      <c r="I422" s="40">
        <v>3321.3392000000003</v>
      </c>
      <c r="J422" s="40">
        <v>0</v>
      </c>
      <c r="K422" s="64" t="s">
        <v>115</v>
      </c>
      <c r="L422" s="74" t="s">
        <v>617</v>
      </c>
      <c r="M422" s="43"/>
    </row>
    <row r="423" spans="1:13" ht="72" x14ac:dyDescent="0.25">
      <c r="A423" s="1">
        <v>13</v>
      </c>
      <c r="B423" s="36">
        <f t="shared" si="37"/>
        <v>13</v>
      </c>
      <c r="C423" s="37" t="s">
        <v>618</v>
      </c>
      <c r="D423" s="38">
        <v>2016</v>
      </c>
      <c r="E423" s="40">
        <v>3841.1170000000002</v>
      </c>
      <c r="F423" s="40">
        <v>3841.1170000000002</v>
      </c>
      <c r="G423" s="40">
        <v>3841.1170000000002</v>
      </c>
      <c r="H423" s="40">
        <v>3841.1170000000002</v>
      </c>
      <c r="I423" s="40">
        <v>3841.1170000000002</v>
      </c>
      <c r="J423" s="40">
        <v>0</v>
      </c>
      <c r="K423" s="64" t="s">
        <v>38</v>
      </c>
      <c r="L423" s="42" t="s">
        <v>619</v>
      </c>
      <c r="M423" s="43"/>
    </row>
    <row r="424" spans="1:13" ht="72" x14ac:dyDescent="0.25">
      <c r="A424" s="1">
        <v>13</v>
      </c>
      <c r="B424" s="36">
        <f t="shared" si="37"/>
        <v>14</v>
      </c>
      <c r="C424" s="37" t="s">
        <v>620</v>
      </c>
      <c r="D424" s="38">
        <v>2016</v>
      </c>
      <c r="E424" s="40">
        <v>4050</v>
      </c>
      <c r="F424" s="40">
        <v>4050</v>
      </c>
      <c r="G424" s="40">
        <v>4050</v>
      </c>
      <c r="H424" s="40">
        <v>3749.3429999999998</v>
      </c>
      <c r="I424" s="40">
        <v>3749.3429999999998</v>
      </c>
      <c r="J424" s="40">
        <v>0</v>
      </c>
      <c r="K424" s="64" t="s">
        <v>38</v>
      </c>
      <c r="L424" s="42" t="s">
        <v>621</v>
      </c>
      <c r="M424" s="43" t="s">
        <v>157</v>
      </c>
    </row>
    <row r="425" spans="1:13" ht="60" x14ac:dyDescent="0.25">
      <c r="A425" s="1">
        <v>13</v>
      </c>
      <c r="B425" s="36">
        <f t="shared" si="37"/>
        <v>15</v>
      </c>
      <c r="C425" s="37" t="s">
        <v>622</v>
      </c>
      <c r="D425" s="38">
        <v>2016</v>
      </c>
      <c r="E425" s="40">
        <v>902.9</v>
      </c>
      <c r="F425" s="40">
        <v>902.9</v>
      </c>
      <c r="G425" s="40">
        <v>902.9</v>
      </c>
      <c r="H425" s="40">
        <v>890.5168000000001</v>
      </c>
      <c r="I425" s="40">
        <v>890.5168000000001</v>
      </c>
      <c r="J425" s="40">
        <v>0</v>
      </c>
      <c r="K425" s="64" t="s">
        <v>38</v>
      </c>
      <c r="L425" s="42" t="s">
        <v>623</v>
      </c>
      <c r="M425" s="43"/>
    </row>
    <row r="426" spans="1:13" ht="85.5" x14ac:dyDescent="0.25">
      <c r="A426" s="1">
        <v>13</v>
      </c>
      <c r="B426" s="36">
        <f t="shared" si="37"/>
        <v>16</v>
      </c>
      <c r="C426" s="37" t="s">
        <v>624</v>
      </c>
      <c r="D426" s="38">
        <v>2016</v>
      </c>
      <c r="E426" s="40">
        <v>617.6</v>
      </c>
      <c r="F426" s="40">
        <v>617.6</v>
      </c>
      <c r="G426" s="40">
        <v>617.6</v>
      </c>
      <c r="H426" s="40">
        <v>605.38</v>
      </c>
      <c r="I426" s="40">
        <v>605.38</v>
      </c>
      <c r="J426" s="40">
        <v>0</v>
      </c>
      <c r="K426" s="64" t="s">
        <v>38</v>
      </c>
      <c r="L426" s="76" t="s">
        <v>625</v>
      </c>
      <c r="M426" s="43"/>
    </row>
    <row r="427" spans="1:13" ht="72" x14ac:dyDescent="0.25">
      <c r="A427" s="1">
        <v>13</v>
      </c>
      <c r="B427" s="44">
        <f t="shared" si="37"/>
        <v>17</v>
      </c>
      <c r="C427" s="37" t="s">
        <v>626</v>
      </c>
      <c r="D427" s="38" t="s">
        <v>41</v>
      </c>
      <c r="E427" s="39">
        <f>6000-2800</f>
        <v>3200</v>
      </c>
      <c r="F427" s="40">
        <v>3200</v>
      </c>
      <c r="G427" s="40">
        <v>3200</v>
      </c>
      <c r="H427" s="40">
        <v>1872.1353000000001</v>
      </c>
      <c r="I427" s="40">
        <v>1872.1353000000001</v>
      </c>
      <c r="J427" s="40">
        <v>0</v>
      </c>
      <c r="K427" s="64" t="s">
        <v>115</v>
      </c>
      <c r="L427" s="74" t="s">
        <v>627</v>
      </c>
      <c r="M427" s="43"/>
    </row>
    <row r="428" spans="1:13" ht="54" x14ac:dyDescent="0.25">
      <c r="A428" s="1">
        <v>13</v>
      </c>
      <c r="B428" s="44">
        <f t="shared" si="37"/>
        <v>18</v>
      </c>
      <c r="C428" s="37" t="s">
        <v>628</v>
      </c>
      <c r="D428" s="38">
        <v>2016</v>
      </c>
      <c r="E428" s="40">
        <f>4813+2800</f>
        <v>7613</v>
      </c>
      <c r="F428" s="40">
        <v>7613</v>
      </c>
      <c r="G428" s="40">
        <v>7613</v>
      </c>
      <c r="H428" s="40">
        <v>7039.5980399999999</v>
      </c>
      <c r="I428" s="40">
        <v>7039.5980399999999</v>
      </c>
      <c r="J428" s="40">
        <v>0</v>
      </c>
      <c r="K428" s="64" t="s">
        <v>38</v>
      </c>
      <c r="L428" s="42" t="s">
        <v>629</v>
      </c>
      <c r="M428" s="43"/>
    </row>
    <row r="429" spans="1:13" ht="156.75" x14ac:dyDescent="0.25">
      <c r="A429" s="1">
        <v>13</v>
      </c>
      <c r="B429" s="36">
        <f t="shared" si="37"/>
        <v>19</v>
      </c>
      <c r="C429" s="37" t="s">
        <v>630</v>
      </c>
      <c r="D429" s="38" t="s">
        <v>631</v>
      </c>
      <c r="E429" s="39">
        <v>4200</v>
      </c>
      <c r="F429" s="40">
        <v>4200</v>
      </c>
      <c r="G429" s="40">
        <v>4200</v>
      </c>
      <c r="H429" s="40">
        <v>4200</v>
      </c>
      <c r="I429" s="40">
        <v>4200</v>
      </c>
      <c r="J429" s="40">
        <v>0</v>
      </c>
      <c r="K429" s="64" t="s">
        <v>596</v>
      </c>
      <c r="L429" s="74" t="s">
        <v>632</v>
      </c>
      <c r="M429" s="43"/>
    </row>
    <row r="430" spans="1:13" ht="85.5" x14ac:dyDescent="0.25">
      <c r="A430" s="1">
        <v>13</v>
      </c>
      <c r="B430" s="36">
        <f t="shared" si="37"/>
        <v>20</v>
      </c>
      <c r="C430" s="37" t="s">
        <v>633</v>
      </c>
      <c r="D430" s="38">
        <v>2016</v>
      </c>
      <c r="E430" s="40">
        <v>1857</v>
      </c>
      <c r="F430" s="40">
        <v>1857</v>
      </c>
      <c r="G430" s="40">
        <v>1857</v>
      </c>
      <c r="H430" s="40">
        <v>1857</v>
      </c>
      <c r="I430" s="40">
        <v>1857</v>
      </c>
      <c r="J430" s="40">
        <v>0</v>
      </c>
      <c r="K430" s="64" t="s">
        <v>38</v>
      </c>
      <c r="L430" s="76" t="s">
        <v>634</v>
      </c>
      <c r="M430" s="43"/>
    </row>
    <row r="431" spans="1:13" ht="228" x14ac:dyDescent="0.25">
      <c r="A431" s="1">
        <v>13</v>
      </c>
      <c r="B431" s="44">
        <f t="shared" si="37"/>
        <v>21</v>
      </c>
      <c r="C431" s="37" t="s">
        <v>635</v>
      </c>
      <c r="D431" s="38" t="s">
        <v>35</v>
      </c>
      <c r="E431" s="39">
        <f>2700-5.821</f>
        <v>2694.1790000000001</v>
      </c>
      <c r="F431" s="40">
        <v>2694.1790000000001</v>
      </c>
      <c r="G431" s="40">
        <v>2694.1790000000001</v>
      </c>
      <c r="H431" s="40">
        <v>2694.1787599999998</v>
      </c>
      <c r="I431" s="40">
        <v>2694.1787599999998</v>
      </c>
      <c r="J431" s="40">
        <v>0</v>
      </c>
      <c r="K431" s="64" t="s">
        <v>115</v>
      </c>
      <c r="L431" s="74" t="s">
        <v>636</v>
      </c>
      <c r="M431" s="81"/>
    </row>
    <row r="432" spans="1:13" ht="128.25" x14ac:dyDescent="0.25">
      <c r="A432" s="1">
        <v>13</v>
      </c>
      <c r="B432" s="36">
        <f t="shared" si="37"/>
        <v>22</v>
      </c>
      <c r="C432" s="37" t="s">
        <v>637</v>
      </c>
      <c r="D432" s="38" t="s">
        <v>37</v>
      </c>
      <c r="E432" s="40">
        <v>2196.0610000000001</v>
      </c>
      <c r="F432" s="40">
        <v>2196.0610000000001</v>
      </c>
      <c r="G432" s="40">
        <v>2196.0610000000001</v>
      </c>
      <c r="H432" s="40">
        <v>2054.4483999999998</v>
      </c>
      <c r="I432" s="40">
        <v>2054.4483999999998</v>
      </c>
      <c r="J432" s="40">
        <v>0</v>
      </c>
      <c r="K432" s="64" t="s">
        <v>38</v>
      </c>
      <c r="L432" s="76" t="s">
        <v>638</v>
      </c>
      <c r="M432" s="43"/>
    </row>
    <row r="433" spans="1:13" ht="72" x14ac:dyDescent="0.25">
      <c r="A433" s="1">
        <v>13</v>
      </c>
      <c r="B433" s="36">
        <f t="shared" si="37"/>
        <v>23</v>
      </c>
      <c r="C433" s="37" t="s">
        <v>639</v>
      </c>
      <c r="D433" s="38">
        <v>2016</v>
      </c>
      <c r="E433" s="40">
        <v>1019.218</v>
      </c>
      <c r="F433" s="40">
        <v>1019.218</v>
      </c>
      <c r="G433" s="40">
        <v>1019.218</v>
      </c>
      <c r="H433" s="40">
        <v>1019.218</v>
      </c>
      <c r="I433" s="40">
        <v>1019.218</v>
      </c>
      <c r="J433" s="40">
        <v>0</v>
      </c>
      <c r="K433" s="64" t="s">
        <v>80</v>
      </c>
      <c r="L433" s="42" t="s">
        <v>640</v>
      </c>
      <c r="M433" s="43"/>
    </row>
    <row r="434" spans="1:13" ht="72" x14ac:dyDescent="0.25">
      <c r="A434" s="1">
        <v>13</v>
      </c>
      <c r="B434" s="36">
        <f t="shared" si="37"/>
        <v>24</v>
      </c>
      <c r="C434" s="37" t="s">
        <v>641</v>
      </c>
      <c r="D434" s="38" t="s">
        <v>330</v>
      </c>
      <c r="E434" s="39">
        <v>2000</v>
      </c>
      <c r="F434" s="40">
        <v>2000</v>
      </c>
      <c r="G434" s="40">
        <v>2000</v>
      </c>
      <c r="H434" s="40">
        <v>2000</v>
      </c>
      <c r="I434" s="40">
        <v>2000</v>
      </c>
      <c r="J434" s="40">
        <v>0</v>
      </c>
      <c r="K434" s="64" t="s">
        <v>596</v>
      </c>
      <c r="L434" s="74" t="s">
        <v>642</v>
      </c>
      <c r="M434" s="43"/>
    </row>
    <row r="435" spans="1:13" ht="156.75" x14ac:dyDescent="0.25">
      <c r="A435" s="1">
        <v>13</v>
      </c>
      <c r="B435" s="36">
        <f t="shared" si="37"/>
        <v>25</v>
      </c>
      <c r="C435" s="37" t="s">
        <v>643</v>
      </c>
      <c r="D435" s="38" t="s">
        <v>41</v>
      </c>
      <c r="E435" s="39">
        <v>2500</v>
      </c>
      <c r="F435" s="40">
        <v>2500</v>
      </c>
      <c r="G435" s="40">
        <v>2500</v>
      </c>
      <c r="H435" s="40">
        <v>2500</v>
      </c>
      <c r="I435" s="40">
        <v>2500</v>
      </c>
      <c r="J435" s="40">
        <v>0</v>
      </c>
      <c r="K435" s="64" t="s">
        <v>115</v>
      </c>
      <c r="L435" s="74" t="s">
        <v>644</v>
      </c>
      <c r="M435" s="43"/>
    </row>
    <row r="436" spans="1:13" ht="85.5" x14ac:dyDescent="0.25">
      <c r="A436" s="1">
        <v>13</v>
      </c>
      <c r="B436" s="36">
        <f t="shared" si="37"/>
        <v>26</v>
      </c>
      <c r="C436" s="37" t="s">
        <v>645</v>
      </c>
      <c r="D436" s="38" t="s">
        <v>330</v>
      </c>
      <c r="E436" s="39">
        <v>1800</v>
      </c>
      <c r="F436" s="40">
        <v>1800</v>
      </c>
      <c r="G436" s="40">
        <v>1800</v>
      </c>
      <c r="H436" s="40">
        <v>1800</v>
      </c>
      <c r="I436" s="40">
        <v>1800</v>
      </c>
      <c r="J436" s="40">
        <v>0</v>
      </c>
      <c r="K436" s="64" t="s">
        <v>596</v>
      </c>
      <c r="L436" s="74" t="s">
        <v>646</v>
      </c>
      <c r="M436" s="43"/>
    </row>
    <row r="437" spans="1:13" ht="72" x14ac:dyDescent="0.25">
      <c r="A437" s="1">
        <v>13</v>
      </c>
      <c r="B437" s="36">
        <f t="shared" si="37"/>
        <v>27</v>
      </c>
      <c r="C437" s="37" t="s">
        <v>647</v>
      </c>
      <c r="D437" s="38" t="s">
        <v>330</v>
      </c>
      <c r="E437" s="39">
        <v>1000</v>
      </c>
      <c r="F437" s="40">
        <v>1000</v>
      </c>
      <c r="G437" s="40">
        <v>1000</v>
      </c>
      <c r="H437" s="40">
        <v>1000</v>
      </c>
      <c r="I437" s="40">
        <v>1000</v>
      </c>
      <c r="J437" s="40">
        <v>0</v>
      </c>
      <c r="K437" s="64" t="s">
        <v>596</v>
      </c>
      <c r="L437" s="74" t="s">
        <v>648</v>
      </c>
      <c r="M437" s="81"/>
    </row>
    <row r="438" spans="1:13" ht="71.25" x14ac:dyDescent="0.25">
      <c r="A438" s="1">
        <v>13</v>
      </c>
      <c r="B438" s="36">
        <f t="shared" si="37"/>
        <v>28</v>
      </c>
      <c r="C438" s="37" t="s">
        <v>649</v>
      </c>
      <c r="D438" s="38" t="s">
        <v>650</v>
      </c>
      <c r="E438" s="39">
        <v>2000</v>
      </c>
      <c r="F438" s="40">
        <v>2000</v>
      </c>
      <c r="G438" s="40">
        <v>2000</v>
      </c>
      <c r="H438" s="40">
        <v>2000</v>
      </c>
      <c r="I438" s="40">
        <v>2000</v>
      </c>
      <c r="J438" s="40">
        <v>0</v>
      </c>
      <c r="K438" s="64" t="s">
        <v>596</v>
      </c>
      <c r="L438" s="74" t="s">
        <v>651</v>
      </c>
      <c r="M438" s="43"/>
    </row>
    <row r="439" spans="1:13" ht="142.5" x14ac:dyDescent="0.25">
      <c r="A439" s="1">
        <v>13</v>
      </c>
      <c r="B439" s="44">
        <f t="shared" si="37"/>
        <v>29</v>
      </c>
      <c r="C439" s="37" t="s">
        <v>652</v>
      </c>
      <c r="D439" s="38">
        <v>2016</v>
      </c>
      <c r="E439" s="40">
        <f>500-17.111</f>
        <v>482.88900000000001</v>
      </c>
      <c r="F439" s="40">
        <v>482.88900000000001</v>
      </c>
      <c r="G439" s="40">
        <v>482.88900000000001</v>
      </c>
      <c r="H439" s="40">
        <v>482.88890000000004</v>
      </c>
      <c r="I439" s="40">
        <v>482.88890000000004</v>
      </c>
      <c r="J439" s="40">
        <v>0</v>
      </c>
      <c r="K439" s="64" t="s">
        <v>306</v>
      </c>
      <c r="L439" s="76" t="s">
        <v>653</v>
      </c>
      <c r="M439" s="43"/>
    </row>
    <row r="440" spans="1:13" ht="128.25" x14ac:dyDescent="0.25">
      <c r="A440" s="1">
        <v>13</v>
      </c>
      <c r="B440" s="36">
        <f t="shared" si="37"/>
        <v>30</v>
      </c>
      <c r="C440" s="37" t="s">
        <v>654</v>
      </c>
      <c r="D440" s="38">
        <v>2016</v>
      </c>
      <c r="E440" s="40">
        <v>2050</v>
      </c>
      <c r="F440" s="40">
        <v>2050</v>
      </c>
      <c r="G440" s="40">
        <v>2050</v>
      </c>
      <c r="H440" s="40">
        <v>2050</v>
      </c>
      <c r="I440" s="40">
        <v>2050</v>
      </c>
      <c r="J440" s="40">
        <v>0</v>
      </c>
      <c r="K440" s="64" t="s">
        <v>38</v>
      </c>
      <c r="L440" s="76" t="s">
        <v>655</v>
      </c>
      <c r="M440" s="43"/>
    </row>
    <row r="441" spans="1:13" ht="156.75" x14ac:dyDescent="0.25">
      <c r="A441" s="1">
        <v>13</v>
      </c>
      <c r="B441" s="36">
        <f t="shared" si="37"/>
        <v>31</v>
      </c>
      <c r="C441" s="37" t="s">
        <v>656</v>
      </c>
      <c r="D441" s="38" t="s">
        <v>51</v>
      </c>
      <c r="E441" s="39">
        <v>3600</v>
      </c>
      <c r="F441" s="40">
        <v>3600</v>
      </c>
      <c r="G441" s="40">
        <v>3600</v>
      </c>
      <c r="H441" s="40">
        <v>1440</v>
      </c>
      <c r="I441" s="40">
        <v>1440</v>
      </c>
      <c r="J441" s="40">
        <v>0</v>
      </c>
      <c r="K441" s="64" t="s">
        <v>115</v>
      </c>
      <c r="L441" s="74" t="s">
        <v>657</v>
      </c>
      <c r="M441" s="43"/>
    </row>
    <row r="442" spans="1:13" ht="85.5" x14ac:dyDescent="0.25">
      <c r="A442" s="1">
        <v>13</v>
      </c>
      <c r="B442" s="36">
        <f t="shared" si="37"/>
        <v>32</v>
      </c>
      <c r="C442" s="37" t="s">
        <v>658</v>
      </c>
      <c r="D442" s="38">
        <v>2016</v>
      </c>
      <c r="E442" s="40">
        <v>2039.375</v>
      </c>
      <c r="F442" s="40">
        <v>2039.375</v>
      </c>
      <c r="G442" s="40">
        <v>2039.375</v>
      </c>
      <c r="H442" s="40">
        <v>1694.39</v>
      </c>
      <c r="I442" s="40">
        <v>1694.39</v>
      </c>
      <c r="J442" s="40">
        <v>0</v>
      </c>
      <c r="K442" s="64" t="s">
        <v>38</v>
      </c>
      <c r="L442" s="76" t="s">
        <v>659</v>
      </c>
      <c r="M442" s="43"/>
    </row>
    <row r="443" spans="1:13" ht="54" x14ac:dyDescent="0.25">
      <c r="A443" s="1">
        <v>13</v>
      </c>
      <c r="B443" s="36">
        <f t="shared" si="37"/>
        <v>33</v>
      </c>
      <c r="C443" s="37" t="s">
        <v>660</v>
      </c>
      <c r="D443" s="38" t="s">
        <v>49</v>
      </c>
      <c r="E443" s="40">
        <v>11735.77</v>
      </c>
      <c r="F443" s="40">
        <v>11735.77</v>
      </c>
      <c r="G443" s="40">
        <v>11735.77</v>
      </c>
      <c r="H443" s="40">
        <v>11735.002420000001</v>
      </c>
      <c r="I443" s="40">
        <v>11735.002420000001</v>
      </c>
      <c r="J443" s="40">
        <v>0</v>
      </c>
      <c r="K443" s="64" t="s">
        <v>38</v>
      </c>
      <c r="L443" s="42" t="s">
        <v>661</v>
      </c>
      <c r="M443" s="43"/>
    </row>
    <row r="444" spans="1:13" ht="99.75" x14ac:dyDescent="0.25">
      <c r="A444" s="1">
        <v>13</v>
      </c>
      <c r="B444" s="36">
        <f t="shared" si="37"/>
        <v>34</v>
      </c>
      <c r="C444" s="37" t="s">
        <v>662</v>
      </c>
      <c r="D444" s="38" t="s">
        <v>37</v>
      </c>
      <c r="E444" s="39">
        <v>2000</v>
      </c>
      <c r="F444" s="40">
        <v>2000</v>
      </c>
      <c r="G444" s="40">
        <v>2000</v>
      </c>
      <c r="H444" s="40">
        <v>2000</v>
      </c>
      <c r="I444" s="40">
        <v>2000</v>
      </c>
      <c r="J444" s="40">
        <v>0</v>
      </c>
      <c r="K444" s="64" t="s">
        <v>115</v>
      </c>
      <c r="L444" s="74" t="s">
        <v>663</v>
      </c>
      <c r="M444" s="43"/>
    </row>
    <row r="445" spans="1:13" ht="270.75" x14ac:dyDescent="0.25">
      <c r="A445" s="1">
        <v>13</v>
      </c>
      <c r="B445" s="36">
        <f t="shared" si="37"/>
        <v>35</v>
      </c>
      <c r="C445" s="37" t="s">
        <v>664</v>
      </c>
      <c r="D445" s="38" t="s">
        <v>604</v>
      </c>
      <c r="E445" s="39">
        <v>2000</v>
      </c>
      <c r="F445" s="40">
        <v>2000</v>
      </c>
      <c r="G445" s="40">
        <v>2000</v>
      </c>
      <c r="H445" s="40">
        <v>2000</v>
      </c>
      <c r="I445" s="40">
        <v>2000</v>
      </c>
      <c r="J445" s="40">
        <v>0</v>
      </c>
      <c r="K445" s="64" t="s">
        <v>115</v>
      </c>
      <c r="L445" s="74" t="s">
        <v>665</v>
      </c>
      <c r="M445" s="43"/>
    </row>
    <row r="446" spans="1:13" ht="128.25" x14ac:dyDescent="0.25">
      <c r="A446" s="1">
        <v>13</v>
      </c>
      <c r="B446" s="44">
        <f t="shared" si="37"/>
        <v>36</v>
      </c>
      <c r="C446" s="37" t="s">
        <v>666</v>
      </c>
      <c r="D446" s="38" t="s">
        <v>41</v>
      </c>
      <c r="E446" s="39">
        <f>2000+500</f>
        <v>2500</v>
      </c>
      <c r="F446" s="40">
        <v>2500</v>
      </c>
      <c r="G446" s="40">
        <v>2500</v>
      </c>
      <c r="H446" s="40">
        <v>2500</v>
      </c>
      <c r="I446" s="40">
        <v>2500</v>
      </c>
      <c r="J446" s="40">
        <v>0</v>
      </c>
      <c r="K446" s="64" t="s">
        <v>115</v>
      </c>
      <c r="L446" s="74" t="s">
        <v>667</v>
      </c>
      <c r="M446" s="43"/>
    </row>
    <row r="447" spans="1:13" ht="128.25" x14ac:dyDescent="0.25">
      <c r="A447" s="1">
        <v>13</v>
      </c>
      <c r="B447" s="44">
        <f t="shared" si="37"/>
        <v>37</v>
      </c>
      <c r="C447" s="37" t="s">
        <v>668</v>
      </c>
      <c r="D447" s="38" t="s">
        <v>669</v>
      </c>
      <c r="E447" s="39">
        <f>4200+2700</f>
        <v>6900</v>
      </c>
      <c r="F447" s="40">
        <v>6900</v>
      </c>
      <c r="G447" s="40">
        <v>6900</v>
      </c>
      <c r="H447" s="40">
        <v>6900</v>
      </c>
      <c r="I447" s="40">
        <v>6900</v>
      </c>
      <c r="J447" s="40">
        <v>0</v>
      </c>
      <c r="K447" s="64" t="s">
        <v>115</v>
      </c>
      <c r="L447" s="74" t="s">
        <v>670</v>
      </c>
      <c r="M447" s="43"/>
    </row>
    <row r="448" spans="1:13" ht="114" x14ac:dyDescent="0.25">
      <c r="A448" s="1">
        <v>13</v>
      </c>
      <c r="B448" s="36">
        <f t="shared" si="37"/>
        <v>38</v>
      </c>
      <c r="C448" s="37" t="s">
        <v>671</v>
      </c>
      <c r="D448" s="38" t="s">
        <v>423</v>
      </c>
      <c r="E448" s="39">
        <v>2000</v>
      </c>
      <c r="F448" s="40">
        <v>2000</v>
      </c>
      <c r="G448" s="40">
        <v>2000</v>
      </c>
      <c r="H448" s="40">
        <v>2000</v>
      </c>
      <c r="I448" s="40">
        <v>2000</v>
      </c>
      <c r="J448" s="40">
        <v>0</v>
      </c>
      <c r="K448" s="64" t="s">
        <v>115</v>
      </c>
      <c r="L448" s="74" t="s">
        <v>672</v>
      </c>
      <c r="M448" s="43"/>
    </row>
    <row r="449" spans="1:13" ht="142.5" x14ac:dyDescent="0.25">
      <c r="A449" s="1">
        <v>13</v>
      </c>
      <c r="B449" s="44">
        <f t="shared" si="37"/>
        <v>39</v>
      </c>
      <c r="C449" s="37" t="s">
        <v>673</v>
      </c>
      <c r="D449" s="38" t="s">
        <v>41</v>
      </c>
      <c r="E449" s="39">
        <f>2000+300</f>
        <v>2300</v>
      </c>
      <c r="F449" s="40">
        <v>2300</v>
      </c>
      <c r="G449" s="40">
        <v>2300</v>
      </c>
      <c r="H449" s="40">
        <v>2300</v>
      </c>
      <c r="I449" s="40">
        <v>2300</v>
      </c>
      <c r="J449" s="40">
        <v>0</v>
      </c>
      <c r="K449" s="64" t="s">
        <v>115</v>
      </c>
      <c r="L449" s="74" t="s">
        <v>674</v>
      </c>
      <c r="M449" s="43"/>
    </row>
    <row r="450" spans="1:13" ht="128.25" x14ac:dyDescent="0.25">
      <c r="A450" s="1">
        <v>13</v>
      </c>
      <c r="B450" s="36">
        <f t="shared" si="37"/>
        <v>40</v>
      </c>
      <c r="C450" s="37" t="s">
        <v>675</v>
      </c>
      <c r="D450" s="38" t="s">
        <v>73</v>
      </c>
      <c r="E450" s="40">
        <v>2150</v>
      </c>
      <c r="F450" s="40">
        <v>2150</v>
      </c>
      <c r="G450" s="40">
        <v>2150</v>
      </c>
      <c r="H450" s="40">
        <v>1995.25793</v>
      </c>
      <c r="I450" s="40">
        <v>1995.25793</v>
      </c>
      <c r="J450" s="40">
        <v>0</v>
      </c>
      <c r="K450" s="64" t="s">
        <v>38</v>
      </c>
      <c r="L450" s="76" t="s">
        <v>676</v>
      </c>
      <c r="M450" s="43"/>
    </row>
    <row r="451" spans="1:13" ht="156.75" x14ac:dyDescent="0.25">
      <c r="A451" s="1">
        <v>13</v>
      </c>
      <c r="B451" s="36">
        <f t="shared" si="37"/>
        <v>41</v>
      </c>
      <c r="C451" s="37" t="s">
        <v>677</v>
      </c>
      <c r="D451" s="38" t="s">
        <v>49</v>
      </c>
      <c r="E451" s="40">
        <v>1749.7539999999999</v>
      </c>
      <c r="F451" s="40">
        <v>1749.7539999999999</v>
      </c>
      <c r="G451" s="40">
        <v>1749.7539999999999</v>
      </c>
      <c r="H451" s="40">
        <v>1689.66408</v>
      </c>
      <c r="I451" s="40">
        <v>1689.66408</v>
      </c>
      <c r="J451" s="40">
        <v>0</v>
      </c>
      <c r="K451" s="64" t="s">
        <v>38</v>
      </c>
      <c r="L451" s="76" t="s">
        <v>678</v>
      </c>
      <c r="M451" s="43"/>
    </row>
    <row r="452" spans="1:13" ht="128.25" x14ac:dyDescent="0.25">
      <c r="A452" s="1">
        <v>13</v>
      </c>
      <c r="B452" s="36">
        <f t="shared" si="37"/>
        <v>42</v>
      </c>
      <c r="C452" s="37" t="s">
        <v>679</v>
      </c>
      <c r="D452" s="38" t="s">
        <v>41</v>
      </c>
      <c r="E452" s="39">
        <v>2000</v>
      </c>
      <c r="F452" s="40">
        <v>2000</v>
      </c>
      <c r="G452" s="40">
        <v>2000</v>
      </c>
      <c r="H452" s="40">
        <v>2000</v>
      </c>
      <c r="I452" s="40">
        <v>2000</v>
      </c>
      <c r="J452" s="40">
        <v>0</v>
      </c>
      <c r="K452" s="64" t="s">
        <v>115</v>
      </c>
      <c r="L452" s="74" t="s">
        <v>680</v>
      </c>
      <c r="M452" s="43"/>
    </row>
    <row r="453" spans="1:13" ht="72" x14ac:dyDescent="0.25">
      <c r="A453" s="1">
        <v>13</v>
      </c>
      <c r="B453" s="44">
        <f t="shared" si="37"/>
        <v>43</v>
      </c>
      <c r="C453" s="37" t="s">
        <v>681</v>
      </c>
      <c r="D453" s="38" t="s">
        <v>47</v>
      </c>
      <c r="E453" s="39">
        <f>4000+672.656</f>
        <v>4672.6559999999999</v>
      </c>
      <c r="F453" s="40">
        <v>4672.6559999999999</v>
      </c>
      <c r="G453" s="40">
        <v>4672.6559999999999</v>
      </c>
      <c r="H453" s="40">
        <v>4619.4147000000003</v>
      </c>
      <c r="I453" s="40">
        <v>4619.4147000000003</v>
      </c>
      <c r="J453" s="40">
        <v>0</v>
      </c>
      <c r="K453" s="64" t="s">
        <v>115</v>
      </c>
      <c r="L453" s="74" t="s">
        <v>682</v>
      </c>
      <c r="M453" s="43"/>
    </row>
    <row r="454" spans="1:13" ht="90" x14ac:dyDescent="0.25">
      <c r="A454" s="1">
        <v>13</v>
      </c>
      <c r="B454" s="36">
        <f t="shared" si="37"/>
        <v>44</v>
      </c>
      <c r="C454" s="37" t="s">
        <v>683</v>
      </c>
      <c r="D454" s="38" t="s">
        <v>41</v>
      </c>
      <c r="E454" s="39">
        <v>5000</v>
      </c>
      <c r="F454" s="40">
        <v>5000</v>
      </c>
      <c r="G454" s="40">
        <v>5000</v>
      </c>
      <c r="H454" s="40">
        <v>5000</v>
      </c>
      <c r="I454" s="40">
        <v>5000</v>
      </c>
      <c r="J454" s="40">
        <v>0</v>
      </c>
      <c r="K454" s="64" t="s">
        <v>115</v>
      </c>
      <c r="L454" s="76"/>
      <c r="M454" s="43"/>
    </row>
    <row r="455" spans="1:13" ht="54" x14ac:dyDescent="0.25">
      <c r="A455" s="1">
        <v>13</v>
      </c>
      <c r="B455" s="36">
        <f t="shared" si="37"/>
        <v>45</v>
      </c>
      <c r="C455" s="37" t="s">
        <v>684</v>
      </c>
      <c r="D455" s="38" t="s">
        <v>33</v>
      </c>
      <c r="E455" s="39">
        <v>1980</v>
      </c>
      <c r="F455" s="40">
        <v>1980</v>
      </c>
      <c r="G455" s="40">
        <v>1980</v>
      </c>
      <c r="H455" s="40">
        <v>1980</v>
      </c>
      <c r="I455" s="40">
        <v>1980</v>
      </c>
      <c r="J455" s="40">
        <v>0</v>
      </c>
      <c r="K455" s="64" t="s">
        <v>115</v>
      </c>
      <c r="L455" s="74" t="s">
        <v>685</v>
      </c>
      <c r="M455" s="43"/>
    </row>
    <row r="456" spans="1:13" ht="54" x14ac:dyDescent="0.25">
      <c r="A456" s="1">
        <v>13</v>
      </c>
      <c r="B456" s="36">
        <f t="shared" si="37"/>
        <v>46</v>
      </c>
      <c r="C456" s="37" t="s">
        <v>686</v>
      </c>
      <c r="D456" s="38">
        <v>2016</v>
      </c>
      <c r="E456" s="40">
        <v>871.08399999999995</v>
      </c>
      <c r="F456" s="40">
        <v>871.08399999999995</v>
      </c>
      <c r="G456" s="40">
        <v>871.08399999999995</v>
      </c>
      <c r="H456" s="40">
        <v>871.08399999999995</v>
      </c>
      <c r="I456" s="40">
        <v>871.08399999999995</v>
      </c>
      <c r="J456" s="40">
        <v>0</v>
      </c>
      <c r="K456" s="64" t="s">
        <v>38</v>
      </c>
      <c r="L456" s="42" t="s">
        <v>687</v>
      </c>
      <c r="M456" s="43"/>
    </row>
    <row r="457" spans="1:13" ht="72" x14ac:dyDescent="0.25">
      <c r="A457" s="1">
        <v>13</v>
      </c>
      <c r="B457" s="44">
        <f t="shared" si="37"/>
        <v>47</v>
      </c>
      <c r="C457" s="37" t="s">
        <v>688</v>
      </c>
      <c r="D457" s="38" t="s">
        <v>45</v>
      </c>
      <c r="E457" s="39">
        <f>1000+1998.026</f>
        <v>2998.0259999999998</v>
      </c>
      <c r="F457" s="40">
        <v>2998.0259999999998</v>
      </c>
      <c r="G457" s="40">
        <v>2998.0259999999998</v>
      </c>
      <c r="H457" s="40">
        <v>2998.0259999999998</v>
      </c>
      <c r="I457" s="40">
        <v>2998.0259999999998</v>
      </c>
      <c r="J457" s="40">
        <v>0</v>
      </c>
      <c r="K457" s="64" t="s">
        <v>115</v>
      </c>
      <c r="L457" s="76"/>
      <c r="M457" s="43"/>
    </row>
    <row r="458" spans="1:13" ht="156.75" x14ac:dyDescent="0.25">
      <c r="A458" s="1">
        <v>13</v>
      </c>
      <c r="B458" s="36">
        <f t="shared" si="37"/>
        <v>48</v>
      </c>
      <c r="C458" s="37" t="s">
        <v>689</v>
      </c>
      <c r="D458" s="38">
        <v>2016</v>
      </c>
      <c r="E458" s="40">
        <v>1170</v>
      </c>
      <c r="F458" s="40">
        <v>1170</v>
      </c>
      <c r="G458" s="40">
        <v>1170</v>
      </c>
      <c r="H458" s="40">
        <v>1168.6128999999999</v>
      </c>
      <c r="I458" s="40">
        <v>1168.6128999999999</v>
      </c>
      <c r="J458" s="40">
        <v>0</v>
      </c>
      <c r="K458" s="64" t="s">
        <v>38</v>
      </c>
      <c r="L458" s="76" t="s">
        <v>690</v>
      </c>
      <c r="M458" s="43"/>
    </row>
    <row r="459" spans="1:13" ht="213.75" x14ac:dyDescent="0.25">
      <c r="A459" s="1">
        <v>13</v>
      </c>
      <c r="B459" s="44">
        <f t="shared" si="37"/>
        <v>49</v>
      </c>
      <c r="C459" s="37" t="s">
        <v>691</v>
      </c>
      <c r="D459" s="38">
        <v>2016</v>
      </c>
      <c r="E459" s="40">
        <f>980-83.454</f>
        <v>896.54600000000005</v>
      </c>
      <c r="F459" s="40">
        <v>896.54600000000005</v>
      </c>
      <c r="G459" s="40">
        <v>896.54600000000005</v>
      </c>
      <c r="H459" s="40">
        <v>896.54600000000005</v>
      </c>
      <c r="I459" s="40">
        <v>896.54600000000005</v>
      </c>
      <c r="J459" s="40">
        <v>0</v>
      </c>
      <c r="K459" s="64" t="s">
        <v>38</v>
      </c>
      <c r="L459" s="76" t="s">
        <v>692</v>
      </c>
      <c r="M459" s="43"/>
    </row>
    <row r="460" spans="1:13" ht="72" x14ac:dyDescent="0.25">
      <c r="A460" s="1">
        <v>13</v>
      </c>
      <c r="B460" s="44">
        <f t="shared" si="37"/>
        <v>50</v>
      </c>
      <c r="C460" s="37" t="s">
        <v>693</v>
      </c>
      <c r="D460" s="38" t="s">
        <v>694</v>
      </c>
      <c r="E460" s="40">
        <v>3000</v>
      </c>
      <c r="F460" s="40">
        <v>3000</v>
      </c>
      <c r="G460" s="40">
        <v>3000</v>
      </c>
      <c r="H460" s="40">
        <v>1687.6600600000002</v>
      </c>
      <c r="I460" s="40">
        <v>1687.6600600000002</v>
      </c>
      <c r="J460" s="40">
        <v>0</v>
      </c>
      <c r="K460" s="64" t="s">
        <v>38</v>
      </c>
      <c r="L460" s="42" t="s">
        <v>695</v>
      </c>
      <c r="M460" s="43"/>
    </row>
    <row r="461" spans="1:13" ht="171" x14ac:dyDescent="0.25">
      <c r="A461" s="1">
        <v>13</v>
      </c>
      <c r="B461" s="36">
        <f t="shared" si="37"/>
        <v>51</v>
      </c>
      <c r="C461" s="37" t="s">
        <v>696</v>
      </c>
      <c r="D461" s="38" t="s">
        <v>697</v>
      </c>
      <c r="E461" s="40">
        <v>3000</v>
      </c>
      <c r="F461" s="40">
        <v>3000</v>
      </c>
      <c r="G461" s="40">
        <v>3000</v>
      </c>
      <c r="H461" s="40">
        <v>2272.4800499999997</v>
      </c>
      <c r="I461" s="40">
        <v>2272.4800499999997</v>
      </c>
      <c r="J461" s="40">
        <v>0</v>
      </c>
      <c r="K461" s="64" t="s">
        <v>38</v>
      </c>
      <c r="L461" s="76" t="s">
        <v>698</v>
      </c>
      <c r="M461" s="43"/>
    </row>
    <row r="462" spans="1:13" ht="72" x14ac:dyDescent="0.25">
      <c r="A462" s="1">
        <v>13</v>
      </c>
      <c r="B462" s="44">
        <f t="shared" si="37"/>
        <v>52</v>
      </c>
      <c r="C462" s="37" t="s">
        <v>699</v>
      </c>
      <c r="D462" s="38" t="s">
        <v>700</v>
      </c>
      <c r="E462" s="40">
        <f>3656.49+1910.2</f>
        <v>5566.69</v>
      </c>
      <c r="F462" s="40">
        <v>5566.69</v>
      </c>
      <c r="G462" s="40">
        <v>5566.69</v>
      </c>
      <c r="H462" s="40">
        <v>5566.69</v>
      </c>
      <c r="I462" s="40">
        <v>5566.69</v>
      </c>
      <c r="J462" s="40">
        <v>0</v>
      </c>
      <c r="K462" s="64" t="s">
        <v>38</v>
      </c>
      <c r="L462" s="76" t="s">
        <v>701</v>
      </c>
      <c r="M462" s="43"/>
    </row>
    <row r="463" spans="1:13" ht="72" x14ac:dyDescent="0.25">
      <c r="A463" s="1">
        <v>13</v>
      </c>
      <c r="B463" s="44">
        <f t="shared" si="37"/>
        <v>53</v>
      </c>
      <c r="C463" s="37" t="s">
        <v>702</v>
      </c>
      <c r="D463" s="38" t="s">
        <v>330</v>
      </c>
      <c r="E463" s="39">
        <f>7000+2300</f>
        <v>9300</v>
      </c>
      <c r="F463" s="40">
        <v>9300</v>
      </c>
      <c r="G463" s="40">
        <v>9300</v>
      </c>
      <c r="H463" s="40">
        <v>9300</v>
      </c>
      <c r="I463" s="40">
        <v>9300</v>
      </c>
      <c r="J463" s="40">
        <v>0</v>
      </c>
      <c r="K463" s="64" t="s">
        <v>596</v>
      </c>
      <c r="L463" s="76"/>
      <c r="M463" s="43"/>
    </row>
    <row r="464" spans="1:13" ht="85.5" x14ac:dyDescent="0.25">
      <c r="A464" s="1">
        <v>13</v>
      </c>
      <c r="B464" s="44">
        <f t="shared" si="37"/>
        <v>54</v>
      </c>
      <c r="C464" s="37" t="s">
        <v>703</v>
      </c>
      <c r="D464" s="38" t="s">
        <v>704</v>
      </c>
      <c r="E464" s="39">
        <f>3800-2300</f>
        <v>1500</v>
      </c>
      <c r="F464" s="40">
        <v>1500</v>
      </c>
      <c r="G464" s="40">
        <v>1500</v>
      </c>
      <c r="H464" s="40">
        <v>1499.9949899999999</v>
      </c>
      <c r="I464" s="40">
        <v>1499.9949899999999</v>
      </c>
      <c r="J464" s="40">
        <v>0</v>
      </c>
      <c r="K464" s="64" t="s">
        <v>115</v>
      </c>
      <c r="L464" s="74" t="s">
        <v>705</v>
      </c>
      <c r="M464" s="43"/>
    </row>
    <row r="465" spans="1:13" ht="85.5" x14ac:dyDescent="0.25">
      <c r="A465" s="1">
        <v>13</v>
      </c>
      <c r="B465" s="36">
        <f t="shared" si="37"/>
        <v>55</v>
      </c>
      <c r="C465" s="37" t="s">
        <v>706</v>
      </c>
      <c r="D465" s="38" t="s">
        <v>37</v>
      </c>
      <c r="E465" s="40">
        <v>980</v>
      </c>
      <c r="F465" s="40">
        <v>980</v>
      </c>
      <c r="G465" s="40">
        <v>980</v>
      </c>
      <c r="H465" s="40">
        <v>966.39800000000002</v>
      </c>
      <c r="I465" s="40">
        <v>966.39800000000002</v>
      </c>
      <c r="J465" s="40">
        <v>0</v>
      </c>
      <c r="K465" s="64" t="s">
        <v>38</v>
      </c>
      <c r="L465" s="76" t="s">
        <v>707</v>
      </c>
      <c r="M465" s="43"/>
    </row>
    <row r="466" spans="1:13" ht="114" x14ac:dyDescent="0.25">
      <c r="A466" s="1">
        <v>13</v>
      </c>
      <c r="B466" s="44">
        <f t="shared" si="37"/>
        <v>56</v>
      </c>
      <c r="C466" s="37" t="s">
        <v>708</v>
      </c>
      <c r="D466" s="38">
        <v>2016</v>
      </c>
      <c r="E466" s="40">
        <f>3000-127</f>
        <v>2873</v>
      </c>
      <c r="F466" s="40">
        <v>2873</v>
      </c>
      <c r="G466" s="40">
        <v>2873</v>
      </c>
      <c r="H466" s="40">
        <v>2873</v>
      </c>
      <c r="I466" s="40">
        <v>2873</v>
      </c>
      <c r="J466" s="40">
        <v>0</v>
      </c>
      <c r="K466" s="64" t="s">
        <v>38</v>
      </c>
      <c r="L466" s="76" t="s">
        <v>709</v>
      </c>
      <c r="M466" s="43"/>
    </row>
    <row r="467" spans="1:13" ht="108" x14ac:dyDescent="0.25">
      <c r="A467" s="1">
        <v>13</v>
      </c>
      <c r="B467" s="36">
        <f t="shared" si="37"/>
        <v>57</v>
      </c>
      <c r="C467" s="37" t="s">
        <v>710</v>
      </c>
      <c r="D467" s="38">
        <v>2016</v>
      </c>
      <c r="E467" s="40">
        <v>1297.5440000000001</v>
      </c>
      <c r="F467" s="40">
        <v>1297.5440000000001</v>
      </c>
      <c r="G467" s="40">
        <v>1297.5440000000001</v>
      </c>
      <c r="H467" s="40">
        <v>1297.5440000000001</v>
      </c>
      <c r="I467" s="40">
        <v>1297.5440000000001</v>
      </c>
      <c r="J467" s="40">
        <v>0</v>
      </c>
      <c r="K467" s="64" t="s">
        <v>80</v>
      </c>
      <c r="L467" s="76" t="s">
        <v>711</v>
      </c>
      <c r="M467" s="43"/>
    </row>
    <row r="468" spans="1:13" ht="90" x14ac:dyDescent="0.25">
      <c r="A468" s="1">
        <v>13</v>
      </c>
      <c r="B468" s="36">
        <f t="shared" si="37"/>
        <v>58</v>
      </c>
      <c r="C468" s="37" t="s">
        <v>712</v>
      </c>
      <c r="D468" s="38">
        <v>2016</v>
      </c>
      <c r="E468" s="40">
        <v>726.63199999999995</v>
      </c>
      <c r="F468" s="40">
        <v>726.63199999999995</v>
      </c>
      <c r="G468" s="40">
        <v>726.63199999999995</v>
      </c>
      <c r="H468" s="40">
        <v>726.63199999999995</v>
      </c>
      <c r="I468" s="40">
        <v>726.63199999999995</v>
      </c>
      <c r="J468" s="40">
        <v>0</v>
      </c>
      <c r="K468" s="64" t="s">
        <v>38</v>
      </c>
      <c r="L468" s="42" t="s">
        <v>460</v>
      </c>
      <c r="M468" s="43"/>
    </row>
    <row r="469" spans="1:13" ht="72" x14ac:dyDescent="0.25">
      <c r="A469" s="1">
        <v>13</v>
      </c>
      <c r="B469" s="36">
        <f t="shared" si="37"/>
        <v>59</v>
      </c>
      <c r="C469" s="37" t="s">
        <v>713</v>
      </c>
      <c r="D469" s="38" t="s">
        <v>330</v>
      </c>
      <c r="E469" s="39">
        <v>3000</v>
      </c>
      <c r="F469" s="40">
        <v>3000</v>
      </c>
      <c r="G469" s="40">
        <v>3000</v>
      </c>
      <c r="H469" s="40">
        <v>2674.9796200000001</v>
      </c>
      <c r="I469" s="40">
        <v>2674.9796200000001</v>
      </c>
      <c r="J469" s="40">
        <v>0</v>
      </c>
      <c r="K469" s="64" t="s">
        <v>596</v>
      </c>
      <c r="L469" s="76"/>
      <c r="M469" s="43"/>
    </row>
    <row r="470" spans="1:13" ht="85.5" x14ac:dyDescent="0.25">
      <c r="A470" s="1">
        <v>13</v>
      </c>
      <c r="B470" s="44">
        <f t="shared" si="37"/>
        <v>60</v>
      </c>
      <c r="C470" s="37" t="s">
        <v>714</v>
      </c>
      <c r="D470" s="38">
        <v>2016</v>
      </c>
      <c r="E470" s="40">
        <f>1050+195</f>
        <v>1245</v>
      </c>
      <c r="F470" s="40">
        <v>1245</v>
      </c>
      <c r="G470" s="40">
        <v>1245</v>
      </c>
      <c r="H470" s="40">
        <v>1245</v>
      </c>
      <c r="I470" s="40">
        <v>1245</v>
      </c>
      <c r="J470" s="40">
        <v>0</v>
      </c>
      <c r="K470" s="64" t="s">
        <v>38</v>
      </c>
      <c r="L470" s="76" t="s">
        <v>715</v>
      </c>
      <c r="M470" s="43"/>
    </row>
    <row r="471" spans="1:13" ht="114" x14ac:dyDescent="0.25">
      <c r="A471" s="1">
        <v>13</v>
      </c>
      <c r="B471" s="44">
        <f t="shared" si="37"/>
        <v>61</v>
      </c>
      <c r="C471" s="37" t="s">
        <v>716</v>
      </c>
      <c r="D471" s="38">
        <v>2016</v>
      </c>
      <c r="E471" s="40">
        <f>672.108-35.968</f>
        <v>636.14</v>
      </c>
      <c r="F471" s="40">
        <v>636.14</v>
      </c>
      <c r="G471" s="40">
        <v>636.14</v>
      </c>
      <c r="H471" s="40">
        <v>636.14</v>
      </c>
      <c r="I471" s="40">
        <v>636.14</v>
      </c>
      <c r="J471" s="40">
        <v>0</v>
      </c>
      <c r="K471" s="64" t="s">
        <v>541</v>
      </c>
      <c r="L471" s="76" t="s">
        <v>717</v>
      </c>
      <c r="M471" s="43"/>
    </row>
    <row r="472" spans="1:13" ht="72" x14ac:dyDescent="0.25">
      <c r="A472" s="1">
        <v>13</v>
      </c>
      <c r="B472" s="36">
        <f t="shared" si="37"/>
        <v>62</v>
      </c>
      <c r="C472" s="37" t="s">
        <v>718</v>
      </c>
      <c r="D472" s="38" t="s">
        <v>33</v>
      </c>
      <c r="E472" s="39">
        <v>2200</v>
      </c>
      <c r="F472" s="40">
        <v>2200</v>
      </c>
      <c r="G472" s="40">
        <v>2200</v>
      </c>
      <c r="H472" s="40">
        <v>2200</v>
      </c>
      <c r="I472" s="40">
        <v>2200</v>
      </c>
      <c r="J472" s="40">
        <v>0</v>
      </c>
      <c r="K472" s="64" t="s">
        <v>115</v>
      </c>
      <c r="L472" s="76"/>
      <c r="M472" s="43"/>
    </row>
    <row r="473" spans="1:13" ht="171" x14ac:dyDescent="0.25">
      <c r="A473" s="1">
        <v>13</v>
      </c>
      <c r="B473" s="36">
        <f t="shared" si="37"/>
        <v>63</v>
      </c>
      <c r="C473" s="37" t="s">
        <v>719</v>
      </c>
      <c r="D473" s="38">
        <v>2016</v>
      </c>
      <c r="E473" s="40">
        <v>1315</v>
      </c>
      <c r="F473" s="40">
        <v>1315</v>
      </c>
      <c r="G473" s="40">
        <v>1315</v>
      </c>
      <c r="H473" s="40">
        <v>1309.31853</v>
      </c>
      <c r="I473" s="40">
        <v>1309.31853</v>
      </c>
      <c r="J473" s="40">
        <v>0</v>
      </c>
      <c r="K473" s="64" t="s">
        <v>38</v>
      </c>
      <c r="L473" s="76" t="s">
        <v>720</v>
      </c>
      <c r="M473" s="43"/>
    </row>
    <row r="474" spans="1:13" ht="85.5" x14ac:dyDescent="0.25">
      <c r="A474" s="1">
        <v>13</v>
      </c>
      <c r="B474" s="36">
        <f t="shared" si="37"/>
        <v>64</v>
      </c>
      <c r="C474" s="37" t="s">
        <v>721</v>
      </c>
      <c r="D474" s="38" t="s">
        <v>37</v>
      </c>
      <c r="E474" s="40">
        <v>850</v>
      </c>
      <c r="F474" s="40">
        <v>850</v>
      </c>
      <c r="G474" s="40">
        <v>850</v>
      </c>
      <c r="H474" s="40">
        <v>843.12860000000001</v>
      </c>
      <c r="I474" s="40">
        <v>843.12860000000001</v>
      </c>
      <c r="J474" s="40">
        <v>0</v>
      </c>
      <c r="K474" s="64" t="s">
        <v>38</v>
      </c>
      <c r="L474" s="76" t="s">
        <v>722</v>
      </c>
      <c r="M474" s="43"/>
    </row>
    <row r="475" spans="1:13" ht="60" x14ac:dyDescent="0.25">
      <c r="A475" s="1">
        <v>13</v>
      </c>
      <c r="B475" s="36">
        <f t="shared" si="37"/>
        <v>65</v>
      </c>
      <c r="C475" s="37" t="s">
        <v>723</v>
      </c>
      <c r="D475" s="38" t="s">
        <v>724</v>
      </c>
      <c r="E475" s="40">
        <v>1900</v>
      </c>
      <c r="F475" s="40">
        <v>1900</v>
      </c>
      <c r="G475" s="40">
        <v>1900</v>
      </c>
      <c r="H475" s="40">
        <v>1900</v>
      </c>
      <c r="I475" s="40">
        <v>1900</v>
      </c>
      <c r="J475" s="40">
        <v>0</v>
      </c>
      <c r="K475" s="64" t="s">
        <v>38</v>
      </c>
      <c r="L475" s="42" t="s">
        <v>725</v>
      </c>
      <c r="M475" s="43"/>
    </row>
    <row r="476" spans="1:13" ht="128.25" x14ac:dyDescent="0.25">
      <c r="A476" s="1">
        <v>13</v>
      </c>
      <c r="B476" s="36">
        <f t="shared" si="37"/>
        <v>66</v>
      </c>
      <c r="C476" s="37" t="s">
        <v>726</v>
      </c>
      <c r="D476" s="38" t="s">
        <v>51</v>
      </c>
      <c r="E476" s="39">
        <v>9835</v>
      </c>
      <c r="F476" s="40">
        <v>9835</v>
      </c>
      <c r="G476" s="40">
        <v>9835</v>
      </c>
      <c r="H476" s="40">
        <v>9835</v>
      </c>
      <c r="I476" s="40">
        <v>9835</v>
      </c>
      <c r="J476" s="40">
        <v>0</v>
      </c>
      <c r="K476" s="64" t="s">
        <v>115</v>
      </c>
      <c r="L476" s="74" t="s">
        <v>727</v>
      </c>
      <c r="M476" s="43"/>
    </row>
    <row r="477" spans="1:13" ht="108" x14ac:dyDescent="0.25">
      <c r="A477" s="1">
        <v>13</v>
      </c>
      <c r="B477" s="36">
        <f t="shared" ref="B477:B488" si="38">B476+1</f>
        <v>67</v>
      </c>
      <c r="C477" s="37" t="s">
        <v>728</v>
      </c>
      <c r="D477" s="38">
        <v>2016</v>
      </c>
      <c r="E477" s="40">
        <v>1210</v>
      </c>
      <c r="F477" s="40">
        <v>1210</v>
      </c>
      <c r="G477" s="40">
        <v>1210</v>
      </c>
      <c r="H477" s="40">
        <v>1076.6234899999999</v>
      </c>
      <c r="I477" s="40">
        <v>1076.6234899999999</v>
      </c>
      <c r="J477" s="40">
        <v>0</v>
      </c>
      <c r="K477" s="64" t="s">
        <v>38</v>
      </c>
      <c r="L477" s="42" t="s">
        <v>729</v>
      </c>
      <c r="M477" s="43"/>
    </row>
    <row r="478" spans="1:13" ht="90" x14ac:dyDescent="0.25">
      <c r="A478" s="1">
        <v>13</v>
      </c>
      <c r="B478" s="44">
        <f t="shared" si="38"/>
        <v>68</v>
      </c>
      <c r="C478" s="37" t="s">
        <v>730</v>
      </c>
      <c r="D478" s="38">
        <v>2016</v>
      </c>
      <c r="E478" s="40">
        <f>2160.7-0.121</f>
        <v>2160.5789999999997</v>
      </c>
      <c r="F478" s="40">
        <v>2160.5789999999997</v>
      </c>
      <c r="G478" s="40">
        <v>2160.5789999999997</v>
      </c>
      <c r="H478" s="40">
        <v>2160.5790000000002</v>
      </c>
      <c r="I478" s="40">
        <v>2160.5790000000002</v>
      </c>
      <c r="J478" s="40">
        <v>0</v>
      </c>
      <c r="K478" s="64" t="s">
        <v>541</v>
      </c>
      <c r="L478" s="42" t="s">
        <v>731</v>
      </c>
      <c r="M478" s="43" t="s">
        <v>157</v>
      </c>
    </row>
    <row r="479" spans="1:13" ht="213.75" x14ac:dyDescent="0.25">
      <c r="A479" s="1">
        <v>13</v>
      </c>
      <c r="B479" s="44">
        <f t="shared" si="38"/>
        <v>69</v>
      </c>
      <c r="C479" s="37" t="s">
        <v>732</v>
      </c>
      <c r="D479" s="38" t="s">
        <v>33</v>
      </c>
      <c r="E479" s="39">
        <f>1350+400</f>
        <v>1750</v>
      </c>
      <c r="F479" s="40">
        <v>1750</v>
      </c>
      <c r="G479" s="40">
        <v>1750</v>
      </c>
      <c r="H479" s="40">
        <v>1690</v>
      </c>
      <c r="I479" s="40">
        <v>1690</v>
      </c>
      <c r="J479" s="40">
        <v>0</v>
      </c>
      <c r="K479" s="64" t="s">
        <v>115</v>
      </c>
      <c r="L479" s="74" t="s">
        <v>733</v>
      </c>
      <c r="M479" s="43"/>
    </row>
    <row r="480" spans="1:13" ht="114" x14ac:dyDescent="0.25">
      <c r="A480" s="1">
        <v>13</v>
      </c>
      <c r="B480" s="36">
        <f t="shared" si="38"/>
        <v>70</v>
      </c>
      <c r="C480" s="37" t="s">
        <v>734</v>
      </c>
      <c r="D480" s="38">
        <v>2016</v>
      </c>
      <c r="E480" s="40">
        <v>841.33</v>
      </c>
      <c r="F480" s="40">
        <v>841.33</v>
      </c>
      <c r="G480" s="40">
        <v>841.33</v>
      </c>
      <c r="H480" s="40">
        <v>841.33</v>
      </c>
      <c r="I480" s="40">
        <v>841.33</v>
      </c>
      <c r="J480" s="40">
        <v>0</v>
      </c>
      <c r="K480" s="64" t="s">
        <v>38</v>
      </c>
      <c r="L480" s="76" t="s">
        <v>735</v>
      </c>
      <c r="M480" s="43"/>
    </row>
    <row r="481" spans="1:13" ht="72" x14ac:dyDescent="0.25">
      <c r="A481" s="1">
        <v>13</v>
      </c>
      <c r="B481" s="36">
        <f t="shared" si="38"/>
        <v>71</v>
      </c>
      <c r="C481" s="37" t="s">
        <v>736</v>
      </c>
      <c r="D481" s="38" t="s">
        <v>51</v>
      </c>
      <c r="E481" s="39">
        <v>6000</v>
      </c>
      <c r="F481" s="40">
        <v>6000</v>
      </c>
      <c r="G481" s="40">
        <v>6000</v>
      </c>
      <c r="H481" s="40">
        <v>5999.9057999999995</v>
      </c>
      <c r="I481" s="40">
        <v>5999.9057999999995</v>
      </c>
      <c r="J481" s="40">
        <v>0</v>
      </c>
      <c r="K481" s="64" t="s">
        <v>115</v>
      </c>
      <c r="L481" s="76"/>
      <c r="M481" s="43"/>
    </row>
    <row r="482" spans="1:13" ht="142.5" x14ac:dyDescent="0.25">
      <c r="A482" s="1">
        <v>13</v>
      </c>
      <c r="B482" s="44">
        <f t="shared" si="38"/>
        <v>72</v>
      </c>
      <c r="C482" s="37" t="s">
        <v>737</v>
      </c>
      <c r="D482" s="38" t="s">
        <v>33</v>
      </c>
      <c r="E482" s="40">
        <f>2000+835</f>
        <v>2835</v>
      </c>
      <c r="F482" s="40">
        <v>2835</v>
      </c>
      <c r="G482" s="40">
        <v>2835</v>
      </c>
      <c r="H482" s="40">
        <v>2633.402</v>
      </c>
      <c r="I482" s="40">
        <v>2633.402</v>
      </c>
      <c r="J482" s="40">
        <v>0</v>
      </c>
      <c r="K482" s="64" t="s">
        <v>38</v>
      </c>
      <c r="L482" s="76" t="s">
        <v>738</v>
      </c>
      <c r="M482" s="43"/>
    </row>
    <row r="483" spans="1:13" ht="72" x14ac:dyDescent="0.25">
      <c r="A483" s="1">
        <v>13</v>
      </c>
      <c r="B483" s="44">
        <f t="shared" si="38"/>
        <v>73</v>
      </c>
      <c r="C483" s="37" t="s">
        <v>739</v>
      </c>
      <c r="D483" s="38">
        <v>2016</v>
      </c>
      <c r="E483" s="40">
        <f>2690.41-210.864</f>
        <v>2479.5459999999998</v>
      </c>
      <c r="F483" s="40">
        <v>2479.5459999999998</v>
      </c>
      <c r="G483" s="40">
        <v>2479.5459999999998</v>
      </c>
      <c r="H483" s="40">
        <v>2479.5459999999998</v>
      </c>
      <c r="I483" s="40">
        <v>2479.5459999999998</v>
      </c>
      <c r="J483" s="40">
        <v>0</v>
      </c>
      <c r="K483" s="64" t="s">
        <v>541</v>
      </c>
      <c r="L483" s="76" t="s">
        <v>740</v>
      </c>
      <c r="M483" s="81" t="s">
        <v>741</v>
      </c>
    </row>
    <row r="484" spans="1:13" ht="108" x14ac:dyDescent="0.25">
      <c r="A484" s="1">
        <v>13</v>
      </c>
      <c r="B484" s="36">
        <f t="shared" si="38"/>
        <v>74</v>
      </c>
      <c r="C484" s="37" t="s">
        <v>742</v>
      </c>
      <c r="D484" s="38">
        <v>2016</v>
      </c>
      <c r="E484" s="40">
        <v>1365.537</v>
      </c>
      <c r="F484" s="40">
        <v>1365.537</v>
      </c>
      <c r="G484" s="40">
        <v>1365.537</v>
      </c>
      <c r="H484" s="40">
        <v>1138.681</v>
      </c>
      <c r="I484" s="40">
        <v>1138.681</v>
      </c>
      <c r="J484" s="40">
        <v>0</v>
      </c>
      <c r="K484" s="64" t="s">
        <v>38</v>
      </c>
      <c r="L484" s="42" t="s">
        <v>496</v>
      </c>
      <c r="M484" s="43"/>
    </row>
    <row r="485" spans="1:13" ht="185.25" x14ac:dyDescent="0.25">
      <c r="A485" s="1">
        <v>13</v>
      </c>
      <c r="B485" s="36">
        <f t="shared" si="38"/>
        <v>75</v>
      </c>
      <c r="C485" s="37" t="s">
        <v>743</v>
      </c>
      <c r="D485" s="38" t="s">
        <v>73</v>
      </c>
      <c r="E485" s="40">
        <v>3680</v>
      </c>
      <c r="F485" s="40">
        <v>3680</v>
      </c>
      <c r="G485" s="40">
        <v>3680</v>
      </c>
      <c r="H485" s="40">
        <v>3639.38481</v>
      </c>
      <c r="I485" s="40">
        <v>3639.38481</v>
      </c>
      <c r="J485" s="40">
        <v>0</v>
      </c>
      <c r="K485" s="64" t="s">
        <v>38</v>
      </c>
      <c r="L485" s="76" t="s">
        <v>744</v>
      </c>
      <c r="M485" s="43"/>
    </row>
    <row r="486" spans="1:13" ht="156.75" x14ac:dyDescent="0.25">
      <c r="A486" s="1">
        <v>13</v>
      </c>
      <c r="B486" s="36">
        <f t="shared" si="38"/>
        <v>76</v>
      </c>
      <c r="C486" s="37" t="s">
        <v>745</v>
      </c>
      <c r="D486" s="38">
        <v>2016</v>
      </c>
      <c r="E486" s="40">
        <v>1777.6559999999999</v>
      </c>
      <c r="F486" s="40">
        <v>1777.6559999999999</v>
      </c>
      <c r="G486" s="40">
        <v>1777.6559999999999</v>
      </c>
      <c r="H486" s="40">
        <v>1752.6391799999999</v>
      </c>
      <c r="I486" s="40">
        <v>1752.6391799999999</v>
      </c>
      <c r="J486" s="40">
        <v>0</v>
      </c>
      <c r="K486" s="64" t="s">
        <v>38</v>
      </c>
      <c r="L486" s="76" t="s">
        <v>746</v>
      </c>
      <c r="M486" s="43"/>
    </row>
    <row r="487" spans="1:13" ht="72" x14ac:dyDescent="0.25">
      <c r="A487" s="1">
        <v>13</v>
      </c>
      <c r="B487" s="44">
        <f t="shared" si="38"/>
        <v>77</v>
      </c>
      <c r="C487" s="37" t="s">
        <v>747</v>
      </c>
      <c r="D487" s="38" t="s">
        <v>330</v>
      </c>
      <c r="E487" s="39">
        <f>2745.758-2700</f>
        <v>45.757999999999811</v>
      </c>
      <c r="F487" s="40">
        <v>45.758000000000003</v>
      </c>
      <c r="G487" s="40">
        <v>0</v>
      </c>
      <c r="H487" s="40">
        <v>0</v>
      </c>
      <c r="I487" s="40">
        <v>0</v>
      </c>
      <c r="J487" s="40">
        <v>0</v>
      </c>
      <c r="K487" s="64" t="s">
        <v>31</v>
      </c>
      <c r="L487" s="76"/>
      <c r="M487" s="43"/>
    </row>
    <row r="488" spans="1:13" ht="54.75" thickBot="1" x14ac:dyDescent="0.3">
      <c r="A488" s="1">
        <v>13</v>
      </c>
      <c r="B488" s="56">
        <f t="shared" si="38"/>
        <v>78</v>
      </c>
      <c r="C488" s="57" t="s">
        <v>748</v>
      </c>
      <c r="D488" s="67" t="s">
        <v>650</v>
      </c>
      <c r="E488" s="69">
        <v>5000</v>
      </c>
      <c r="F488" s="68">
        <v>5000</v>
      </c>
      <c r="G488" s="68">
        <v>5000</v>
      </c>
      <c r="H488" s="68">
        <v>4994.0459000000001</v>
      </c>
      <c r="I488" s="68">
        <v>4994.0459000000001</v>
      </c>
      <c r="J488" s="68">
        <v>0</v>
      </c>
      <c r="K488" s="70" t="s">
        <v>596</v>
      </c>
      <c r="L488" s="91"/>
      <c r="M488" s="72"/>
    </row>
    <row r="489" spans="1:13" ht="18" x14ac:dyDescent="0.25">
      <c r="A489" s="1">
        <v>14</v>
      </c>
      <c r="B489" s="112" t="s">
        <v>749</v>
      </c>
      <c r="C489" s="113"/>
      <c r="D489" s="113"/>
      <c r="E489" s="113"/>
      <c r="F489" s="113"/>
      <c r="G489" s="113"/>
      <c r="H489" s="113"/>
      <c r="I489" s="113"/>
      <c r="J489" s="113"/>
      <c r="K489" s="113"/>
      <c r="L489" s="113"/>
      <c r="M489" s="114"/>
    </row>
    <row r="490" spans="1:13" ht="18" x14ac:dyDescent="0.25">
      <c r="A490" s="1">
        <v>14</v>
      </c>
      <c r="B490" s="21"/>
      <c r="C490" s="22" t="s">
        <v>25</v>
      </c>
      <c r="D490" s="23"/>
      <c r="E490" s="34">
        <f t="shared" ref="E490:J490" si="39">SUM(E491,E493:E514)</f>
        <v>65042.205000000016</v>
      </c>
      <c r="F490" s="34">
        <f t="shared" si="39"/>
        <v>65042.205000000016</v>
      </c>
      <c r="G490" s="34">
        <f t="shared" si="39"/>
        <v>65042.205000000016</v>
      </c>
      <c r="H490" s="34">
        <f t="shared" si="39"/>
        <v>58329.855510000001</v>
      </c>
      <c r="I490" s="34">
        <f t="shared" si="39"/>
        <v>58537.349960000021</v>
      </c>
      <c r="J490" s="34">
        <f t="shared" si="39"/>
        <v>207.49411999999984</v>
      </c>
      <c r="K490" s="23"/>
      <c r="L490" s="23"/>
      <c r="M490" s="26"/>
    </row>
    <row r="491" spans="1:13" ht="18" x14ac:dyDescent="0.25">
      <c r="A491" s="1">
        <v>14</v>
      </c>
      <c r="B491" s="21"/>
      <c r="C491" s="22" t="s">
        <v>22</v>
      </c>
      <c r="D491" s="23"/>
      <c r="E491" s="34">
        <v>0</v>
      </c>
      <c r="F491" s="34">
        <v>0</v>
      </c>
      <c r="G491" s="34">
        <v>0</v>
      </c>
      <c r="H491" s="34"/>
      <c r="I491" s="34"/>
      <c r="J491" s="34"/>
      <c r="K491" s="23"/>
      <c r="L491" s="23"/>
      <c r="M491" s="26"/>
    </row>
    <row r="492" spans="1:13" ht="36" x14ac:dyDescent="0.25">
      <c r="A492" s="1">
        <v>14</v>
      </c>
      <c r="B492" s="21"/>
      <c r="C492" s="22" t="s">
        <v>23</v>
      </c>
      <c r="D492" s="23"/>
      <c r="E492" s="34">
        <f t="shared" ref="E492:J492" si="40">SUM(E493:E514)</f>
        <v>65042.205000000016</v>
      </c>
      <c r="F492" s="34">
        <f t="shared" si="40"/>
        <v>65042.205000000016</v>
      </c>
      <c r="G492" s="34">
        <f t="shared" si="40"/>
        <v>65042.205000000016</v>
      </c>
      <c r="H492" s="34">
        <f t="shared" si="40"/>
        <v>58329.855510000001</v>
      </c>
      <c r="I492" s="34">
        <f t="shared" si="40"/>
        <v>58537.349960000021</v>
      </c>
      <c r="J492" s="34">
        <f t="shared" si="40"/>
        <v>207.49411999999984</v>
      </c>
      <c r="K492" s="23"/>
      <c r="L492" s="23"/>
      <c r="M492" s="26"/>
    </row>
    <row r="493" spans="1:13" ht="90" x14ac:dyDescent="0.25">
      <c r="A493" s="1">
        <v>14</v>
      </c>
      <c r="B493" s="36">
        <v>1</v>
      </c>
      <c r="C493" s="37" t="s">
        <v>750</v>
      </c>
      <c r="D493" s="38" t="s">
        <v>61</v>
      </c>
      <c r="E493" s="40">
        <v>13135.558999999999</v>
      </c>
      <c r="F493" s="40">
        <v>13135.558999999999</v>
      </c>
      <c r="G493" s="40">
        <v>13135.558999999999</v>
      </c>
      <c r="H493" s="40">
        <f>13135.559-0.00049</f>
        <v>13135.558509999999</v>
      </c>
      <c r="I493" s="40">
        <v>13135.558999999999</v>
      </c>
      <c r="J493" s="40">
        <v>0</v>
      </c>
      <c r="K493" s="64" t="s">
        <v>38</v>
      </c>
      <c r="L493" s="42" t="s">
        <v>90</v>
      </c>
      <c r="M493" s="43" t="s">
        <v>751</v>
      </c>
    </row>
    <row r="494" spans="1:13" ht="90" x14ac:dyDescent="0.25">
      <c r="A494" s="1">
        <v>14</v>
      </c>
      <c r="B494" s="36">
        <f>B493+1</f>
        <v>2</v>
      </c>
      <c r="C494" s="37" t="s">
        <v>752</v>
      </c>
      <c r="D494" s="38" t="s">
        <v>49</v>
      </c>
      <c r="E494" s="40">
        <v>1399.8520000000001</v>
      </c>
      <c r="F494" s="40">
        <v>1399.8520000000001</v>
      </c>
      <c r="G494" s="40">
        <v>1399.8520000000001</v>
      </c>
      <c r="H494" s="40">
        <v>1037.633</v>
      </c>
      <c r="I494" s="40">
        <v>1037.633</v>
      </c>
      <c r="J494" s="40">
        <v>0</v>
      </c>
      <c r="K494" s="64" t="s">
        <v>753</v>
      </c>
      <c r="L494" s="42"/>
      <c r="M494" s="43"/>
    </row>
    <row r="495" spans="1:13" ht="72" x14ac:dyDescent="0.25">
      <c r="A495" s="1">
        <v>14</v>
      </c>
      <c r="B495" s="36">
        <f t="shared" ref="B495:B514" si="41">B494+1</f>
        <v>3</v>
      </c>
      <c r="C495" s="37" t="s">
        <v>754</v>
      </c>
      <c r="D495" s="38" t="s">
        <v>49</v>
      </c>
      <c r="E495" s="40">
        <v>786.86199999999997</v>
      </c>
      <c r="F495" s="40">
        <v>786.86199999999997</v>
      </c>
      <c r="G495" s="40">
        <v>786.86199999999997</v>
      </c>
      <c r="H495" s="40">
        <v>766.57299999999998</v>
      </c>
      <c r="I495" s="40">
        <v>766.57299999999998</v>
      </c>
      <c r="J495" s="40">
        <v>0</v>
      </c>
      <c r="K495" s="64" t="s">
        <v>38</v>
      </c>
      <c r="L495" s="42" t="s">
        <v>755</v>
      </c>
      <c r="M495" s="43"/>
    </row>
    <row r="496" spans="1:13" ht="72" x14ac:dyDescent="0.25">
      <c r="A496" s="1">
        <v>14</v>
      </c>
      <c r="B496" s="36">
        <f t="shared" si="41"/>
        <v>4</v>
      </c>
      <c r="C496" s="37" t="s">
        <v>756</v>
      </c>
      <c r="D496" s="38" t="s">
        <v>49</v>
      </c>
      <c r="E496" s="40">
        <v>373.35599999999999</v>
      </c>
      <c r="F496" s="40">
        <v>373.35599999999999</v>
      </c>
      <c r="G496" s="40">
        <v>373.35599999999999</v>
      </c>
      <c r="H496" s="40">
        <v>334.83</v>
      </c>
      <c r="I496" s="40">
        <v>334.83</v>
      </c>
      <c r="J496" s="40">
        <v>0</v>
      </c>
      <c r="K496" s="64" t="s">
        <v>38</v>
      </c>
      <c r="L496" s="42" t="s">
        <v>757</v>
      </c>
      <c r="M496" s="43" t="s">
        <v>758</v>
      </c>
    </row>
    <row r="497" spans="1:13" ht="90" x14ac:dyDescent="0.25">
      <c r="A497" s="1">
        <v>14</v>
      </c>
      <c r="B497" s="36">
        <f t="shared" si="41"/>
        <v>5</v>
      </c>
      <c r="C497" s="37" t="s">
        <v>759</v>
      </c>
      <c r="D497" s="38" t="s">
        <v>49</v>
      </c>
      <c r="E497" s="40">
        <v>9133.0869999999995</v>
      </c>
      <c r="F497" s="40">
        <v>9133.0869999999995</v>
      </c>
      <c r="G497" s="40">
        <v>9133.0869999999995</v>
      </c>
      <c r="H497" s="40">
        <v>6670.8469999999998</v>
      </c>
      <c r="I497" s="40">
        <v>6670.8469500000001</v>
      </c>
      <c r="J497" s="40">
        <v>0</v>
      </c>
      <c r="K497" s="41" t="s">
        <v>28</v>
      </c>
      <c r="L497" s="42"/>
      <c r="M497" s="43"/>
    </row>
    <row r="498" spans="1:13" ht="72" x14ac:dyDescent="0.25">
      <c r="A498" s="1">
        <v>14</v>
      </c>
      <c r="B498" s="36">
        <f t="shared" si="41"/>
        <v>6</v>
      </c>
      <c r="C498" s="37" t="s">
        <v>760</v>
      </c>
      <c r="D498" s="38" t="s">
        <v>49</v>
      </c>
      <c r="E498" s="40">
        <v>1284.47</v>
      </c>
      <c r="F498" s="40">
        <v>1284.47</v>
      </c>
      <c r="G498" s="40">
        <v>1284.47</v>
      </c>
      <c r="H498" s="40">
        <v>1253.73</v>
      </c>
      <c r="I498" s="40">
        <v>1253.73038</v>
      </c>
      <c r="J498" s="40">
        <v>0</v>
      </c>
      <c r="K498" s="41" t="s">
        <v>38</v>
      </c>
      <c r="L498" s="42" t="s">
        <v>761</v>
      </c>
      <c r="M498" s="43"/>
    </row>
    <row r="499" spans="1:13" ht="54" x14ac:dyDescent="0.25">
      <c r="A499" s="1">
        <v>14</v>
      </c>
      <c r="B499" s="36">
        <f t="shared" si="41"/>
        <v>7</v>
      </c>
      <c r="C499" s="37" t="s">
        <v>762</v>
      </c>
      <c r="D499" s="38" t="s">
        <v>49</v>
      </c>
      <c r="E499" s="40">
        <v>7878.8010000000004</v>
      </c>
      <c r="F499" s="40">
        <v>7878.8010000000004</v>
      </c>
      <c r="G499" s="40">
        <v>7878.8010000000004</v>
      </c>
      <c r="H499" s="40">
        <v>7676.6750000000002</v>
      </c>
      <c r="I499" s="40">
        <v>7676.6750300000003</v>
      </c>
      <c r="J499" s="40">
        <v>0</v>
      </c>
      <c r="K499" s="41" t="s">
        <v>38</v>
      </c>
      <c r="L499" s="42" t="s">
        <v>90</v>
      </c>
      <c r="M499" s="43"/>
    </row>
    <row r="500" spans="1:13" ht="72" x14ac:dyDescent="0.25">
      <c r="A500" s="1">
        <v>14</v>
      </c>
      <c r="B500" s="36">
        <f t="shared" si="41"/>
        <v>8</v>
      </c>
      <c r="C500" s="37" t="s">
        <v>763</v>
      </c>
      <c r="D500" s="38" t="s">
        <v>49</v>
      </c>
      <c r="E500" s="40">
        <v>1069.6210000000001</v>
      </c>
      <c r="F500" s="40">
        <v>1069.6210000000001</v>
      </c>
      <c r="G500" s="40">
        <v>1069.6210000000001</v>
      </c>
      <c r="H500" s="40">
        <v>1041.0070000000001</v>
      </c>
      <c r="I500" s="40">
        <v>1041.0065</v>
      </c>
      <c r="J500" s="40">
        <v>0</v>
      </c>
      <c r="K500" s="41" t="s">
        <v>38</v>
      </c>
      <c r="L500" s="42" t="s">
        <v>764</v>
      </c>
      <c r="M500" s="43"/>
    </row>
    <row r="501" spans="1:13" ht="90" x14ac:dyDescent="0.25">
      <c r="A501" s="1">
        <v>14</v>
      </c>
      <c r="B501" s="36">
        <f t="shared" si="41"/>
        <v>9</v>
      </c>
      <c r="C501" s="37" t="s">
        <v>765</v>
      </c>
      <c r="D501" s="38" t="s">
        <v>95</v>
      </c>
      <c r="E501" s="40">
        <v>4223.8980000000001</v>
      </c>
      <c r="F501" s="40">
        <v>4223.8980000000001</v>
      </c>
      <c r="G501" s="40">
        <v>4223.8980000000001</v>
      </c>
      <c r="H501" s="40">
        <v>4223.0240000000003</v>
      </c>
      <c r="I501" s="40">
        <v>4223.0237699999998</v>
      </c>
      <c r="J501" s="40">
        <v>0</v>
      </c>
      <c r="K501" s="64" t="s">
        <v>38</v>
      </c>
      <c r="L501" s="42" t="s">
        <v>90</v>
      </c>
      <c r="M501" s="43"/>
    </row>
    <row r="502" spans="1:13" ht="72" x14ac:dyDescent="0.25">
      <c r="A502" s="1">
        <v>14</v>
      </c>
      <c r="B502" s="36">
        <f t="shared" si="41"/>
        <v>10</v>
      </c>
      <c r="C502" s="37" t="s">
        <v>766</v>
      </c>
      <c r="D502" s="38" t="s">
        <v>49</v>
      </c>
      <c r="E502" s="40">
        <v>1231.546</v>
      </c>
      <c r="F502" s="40">
        <v>1231.546</v>
      </c>
      <c r="G502" s="40">
        <v>1231.546</v>
      </c>
      <c r="H502" s="40">
        <v>1229.7380000000001</v>
      </c>
      <c r="I502" s="40">
        <v>1229.7380000000001</v>
      </c>
      <c r="J502" s="40">
        <v>0</v>
      </c>
      <c r="K502" s="41" t="s">
        <v>145</v>
      </c>
      <c r="L502" s="42" t="s">
        <v>767</v>
      </c>
      <c r="M502" s="43"/>
    </row>
    <row r="503" spans="1:13" ht="54" x14ac:dyDescent="0.25">
      <c r="A503" s="1">
        <v>14</v>
      </c>
      <c r="B503" s="36">
        <f t="shared" si="41"/>
        <v>11</v>
      </c>
      <c r="C503" s="37" t="s">
        <v>768</v>
      </c>
      <c r="D503" s="38" t="s">
        <v>37</v>
      </c>
      <c r="E503" s="40">
        <v>1461.636</v>
      </c>
      <c r="F503" s="40">
        <v>1461.636</v>
      </c>
      <c r="G503" s="40">
        <v>1461.636</v>
      </c>
      <c r="H503" s="40">
        <v>1337.1210000000001</v>
      </c>
      <c r="I503" s="40">
        <v>1337.1211800000001</v>
      </c>
      <c r="J503" s="40">
        <v>0</v>
      </c>
      <c r="K503" s="64" t="s">
        <v>38</v>
      </c>
      <c r="L503" s="42" t="s">
        <v>769</v>
      </c>
      <c r="M503" s="43"/>
    </row>
    <row r="504" spans="1:13" ht="72" x14ac:dyDescent="0.25">
      <c r="A504" s="1">
        <v>14</v>
      </c>
      <c r="B504" s="36">
        <f t="shared" si="41"/>
        <v>12</v>
      </c>
      <c r="C504" s="37" t="s">
        <v>770</v>
      </c>
      <c r="D504" s="38" t="s">
        <v>49</v>
      </c>
      <c r="E504" s="40">
        <v>2391.3119999999999</v>
      </c>
      <c r="F504" s="40">
        <v>2391.3119999999999</v>
      </c>
      <c r="G504" s="40">
        <v>2391.3119999999999</v>
      </c>
      <c r="H504" s="40">
        <v>1841.1590000000001</v>
      </c>
      <c r="I504" s="40">
        <v>2048.6531199999999</v>
      </c>
      <c r="J504" s="40">
        <v>207.49411999999984</v>
      </c>
      <c r="K504" s="64" t="s">
        <v>38</v>
      </c>
      <c r="L504" s="42" t="s">
        <v>769</v>
      </c>
      <c r="M504" s="43"/>
    </row>
    <row r="505" spans="1:13" ht="54" x14ac:dyDescent="0.25">
      <c r="A505" s="1">
        <v>14</v>
      </c>
      <c r="B505" s="36">
        <f t="shared" si="41"/>
        <v>13</v>
      </c>
      <c r="C505" s="37" t="s">
        <v>771</v>
      </c>
      <c r="D505" s="38" t="s">
        <v>49</v>
      </c>
      <c r="E505" s="40">
        <v>1676.357</v>
      </c>
      <c r="F505" s="40">
        <v>1676.357</v>
      </c>
      <c r="G505" s="40">
        <v>1676.357</v>
      </c>
      <c r="H505" s="40">
        <v>1674.579</v>
      </c>
      <c r="I505" s="40">
        <v>1674.5794000000001</v>
      </c>
      <c r="J505" s="40">
        <v>0</v>
      </c>
      <c r="K505" s="64" t="s">
        <v>38</v>
      </c>
      <c r="L505" s="42" t="s">
        <v>102</v>
      </c>
      <c r="M505" s="43"/>
    </row>
    <row r="506" spans="1:13" ht="90" x14ac:dyDescent="0.25">
      <c r="A506" s="1">
        <v>14</v>
      </c>
      <c r="B506" s="36">
        <f t="shared" si="41"/>
        <v>14</v>
      </c>
      <c r="C506" s="37" t="s">
        <v>772</v>
      </c>
      <c r="D506" s="38" t="s">
        <v>73</v>
      </c>
      <c r="E506" s="40">
        <v>1327.107</v>
      </c>
      <c r="F506" s="40">
        <v>1327.107</v>
      </c>
      <c r="G506" s="40">
        <v>1327.107</v>
      </c>
      <c r="H506" s="40">
        <v>1324.6880000000001</v>
      </c>
      <c r="I506" s="40">
        <v>1324.6875500000001</v>
      </c>
      <c r="J506" s="40">
        <v>0</v>
      </c>
      <c r="K506" s="64" t="s">
        <v>38</v>
      </c>
      <c r="L506" s="42" t="s">
        <v>102</v>
      </c>
      <c r="M506" s="43"/>
    </row>
    <row r="507" spans="1:13" ht="90" x14ac:dyDescent="0.25">
      <c r="A507" s="1">
        <v>14</v>
      </c>
      <c r="B507" s="36">
        <f t="shared" si="41"/>
        <v>15</v>
      </c>
      <c r="C507" s="37" t="s">
        <v>773</v>
      </c>
      <c r="D507" s="38" t="s">
        <v>73</v>
      </c>
      <c r="E507" s="40">
        <v>516.22799999999995</v>
      </c>
      <c r="F507" s="40">
        <v>516.22799999999995</v>
      </c>
      <c r="G507" s="40">
        <v>516.22799999999995</v>
      </c>
      <c r="H507" s="40">
        <v>302.13499999999999</v>
      </c>
      <c r="I507" s="40">
        <v>302.13493999999997</v>
      </c>
      <c r="J507" s="40">
        <v>0</v>
      </c>
      <c r="K507" s="64" t="s">
        <v>28</v>
      </c>
      <c r="L507" s="42"/>
      <c r="M507" s="43"/>
    </row>
    <row r="508" spans="1:13" ht="54" x14ac:dyDescent="0.25">
      <c r="A508" s="1">
        <v>14</v>
      </c>
      <c r="B508" s="36">
        <f t="shared" si="41"/>
        <v>16</v>
      </c>
      <c r="C508" s="37" t="s">
        <v>774</v>
      </c>
      <c r="D508" s="38" t="s">
        <v>73</v>
      </c>
      <c r="E508" s="40">
        <v>2071.7660000000001</v>
      </c>
      <c r="F508" s="40">
        <v>2071.7660000000001</v>
      </c>
      <c r="G508" s="40">
        <v>2071.7660000000001</v>
      </c>
      <c r="H508" s="40">
        <v>2071.7660000000001</v>
      </c>
      <c r="I508" s="40">
        <v>2071.7660000000001</v>
      </c>
      <c r="J508" s="40">
        <v>0</v>
      </c>
      <c r="K508" s="64" t="s">
        <v>38</v>
      </c>
      <c r="L508" s="42" t="s">
        <v>104</v>
      </c>
      <c r="M508" s="43"/>
    </row>
    <row r="509" spans="1:13" ht="90" x14ac:dyDescent="0.25">
      <c r="A509" s="1">
        <v>14</v>
      </c>
      <c r="B509" s="36">
        <f t="shared" si="41"/>
        <v>17</v>
      </c>
      <c r="C509" s="37" t="s">
        <v>775</v>
      </c>
      <c r="D509" s="38" t="s">
        <v>49</v>
      </c>
      <c r="E509" s="40">
        <v>529.75</v>
      </c>
      <c r="F509" s="40">
        <v>529.75</v>
      </c>
      <c r="G509" s="40">
        <v>529.75</v>
      </c>
      <c r="H509" s="40">
        <v>491.46100000000001</v>
      </c>
      <c r="I509" s="40">
        <v>491.46100000000001</v>
      </c>
      <c r="J509" s="40">
        <v>0</v>
      </c>
      <c r="K509" s="64" t="s">
        <v>38</v>
      </c>
      <c r="L509" s="42" t="s">
        <v>776</v>
      </c>
      <c r="M509" s="43"/>
    </row>
    <row r="510" spans="1:13" ht="54" x14ac:dyDescent="0.25">
      <c r="A510" s="1">
        <v>14</v>
      </c>
      <c r="B510" s="36">
        <f t="shared" si="41"/>
        <v>18</v>
      </c>
      <c r="C510" s="37" t="s">
        <v>777</v>
      </c>
      <c r="D510" s="38" t="s">
        <v>49</v>
      </c>
      <c r="E510" s="40">
        <v>3299.5540000000001</v>
      </c>
      <c r="F510" s="40">
        <v>3299.5540000000001</v>
      </c>
      <c r="G510" s="40">
        <v>3299.5540000000001</v>
      </c>
      <c r="H510" s="40">
        <v>3012.4050000000002</v>
      </c>
      <c r="I510" s="40">
        <v>3012.4049799999998</v>
      </c>
      <c r="J510" s="40">
        <v>0</v>
      </c>
      <c r="K510" s="64" t="s">
        <v>38</v>
      </c>
      <c r="L510" s="42" t="s">
        <v>90</v>
      </c>
      <c r="M510" s="43"/>
    </row>
    <row r="511" spans="1:13" ht="108" x14ac:dyDescent="0.25">
      <c r="A511" s="1">
        <v>14</v>
      </c>
      <c r="B511" s="36">
        <f t="shared" si="41"/>
        <v>19</v>
      </c>
      <c r="C511" s="37" t="s">
        <v>778</v>
      </c>
      <c r="D511" s="38" t="s">
        <v>49</v>
      </c>
      <c r="E511" s="40">
        <v>1815.7539999999999</v>
      </c>
      <c r="F511" s="40">
        <v>1815.7539999999999</v>
      </c>
      <c r="G511" s="40">
        <v>1815.7539999999999</v>
      </c>
      <c r="H511" s="40">
        <v>413.322</v>
      </c>
      <c r="I511" s="40">
        <v>413.32220000000001</v>
      </c>
      <c r="J511" s="40">
        <v>0</v>
      </c>
      <c r="K511" s="64" t="s">
        <v>28</v>
      </c>
      <c r="L511" s="42"/>
      <c r="M511" s="43"/>
    </row>
    <row r="512" spans="1:13" ht="108" x14ac:dyDescent="0.25">
      <c r="A512" s="1">
        <v>14</v>
      </c>
      <c r="B512" s="36">
        <f t="shared" si="41"/>
        <v>20</v>
      </c>
      <c r="C512" s="37" t="s">
        <v>779</v>
      </c>
      <c r="D512" s="38" t="s">
        <v>37</v>
      </c>
      <c r="E512" s="40">
        <v>6093.2460000000001</v>
      </c>
      <c r="F512" s="40">
        <v>6093.2460000000001</v>
      </c>
      <c r="G512" s="40">
        <v>6093.2460000000001</v>
      </c>
      <c r="H512" s="40">
        <v>5406.8990000000003</v>
      </c>
      <c r="I512" s="40">
        <v>5406.8990000000003</v>
      </c>
      <c r="J512" s="40">
        <v>0</v>
      </c>
      <c r="K512" s="64" t="s">
        <v>38</v>
      </c>
      <c r="L512" s="42" t="s">
        <v>780</v>
      </c>
      <c r="M512" s="43"/>
    </row>
    <row r="513" spans="1:13" ht="54" x14ac:dyDescent="0.25">
      <c r="A513" s="1">
        <v>14</v>
      </c>
      <c r="B513" s="36">
        <f t="shared" si="41"/>
        <v>21</v>
      </c>
      <c r="C513" s="37" t="s">
        <v>781</v>
      </c>
      <c r="D513" s="38" t="s">
        <v>33</v>
      </c>
      <c r="E513" s="40">
        <v>1950</v>
      </c>
      <c r="F513" s="40">
        <v>1950</v>
      </c>
      <c r="G513" s="40">
        <v>1950</v>
      </c>
      <c r="H513" s="40">
        <v>1719</v>
      </c>
      <c r="I513" s="40">
        <v>1719</v>
      </c>
      <c r="J513" s="40">
        <v>0</v>
      </c>
      <c r="K513" s="64" t="s">
        <v>28</v>
      </c>
      <c r="L513" s="42"/>
      <c r="M513" s="43"/>
    </row>
    <row r="514" spans="1:13" ht="108.75" thickBot="1" x14ac:dyDescent="0.3">
      <c r="A514" s="1">
        <v>14</v>
      </c>
      <c r="B514" s="56">
        <f t="shared" si="41"/>
        <v>22</v>
      </c>
      <c r="C514" s="57" t="s">
        <v>782</v>
      </c>
      <c r="D514" s="67" t="s">
        <v>61</v>
      </c>
      <c r="E514" s="68">
        <v>1392.443</v>
      </c>
      <c r="F514" s="68">
        <v>1392.443</v>
      </c>
      <c r="G514" s="68">
        <v>1392.443</v>
      </c>
      <c r="H514" s="68">
        <v>1365.7049999999999</v>
      </c>
      <c r="I514" s="68">
        <v>1365.70496</v>
      </c>
      <c r="J514" s="68">
        <v>0</v>
      </c>
      <c r="K514" s="70" t="s">
        <v>38</v>
      </c>
      <c r="L514" s="71" t="s">
        <v>104</v>
      </c>
      <c r="M514" s="72"/>
    </row>
    <row r="515" spans="1:13" ht="18" x14ac:dyDescent="0.25">
      <c r="A515" s="1">
        <v>15</v>
      </c>
      <c r="B515" s="112" t="s">
        <v>783</v>
      </c>
      <c r="C515" s="113"/>
      <c r="D515" s="113"/>
      <c r="E515" s="113"/>
      <c r="F515" s="113"/>
      <c r="G515" s="113"/>
      <c r="H515" s="113"/>
      <c r="I515" s="113"/>
      <c r="J515" s="113"/>
      <c r="K515" s="113"/>
      <c r="L515" s="113"/>
      <c r="M515" s="114"/>
    </row>
    <row r="516" spans="1:13" ht="18" x14ac:dyDescent="0.25">
      <c r="A516" s="1">
        <v>15</v>
      </c>
      <c r="B516" s="21"/>
      <c r="C516" s="22" t="s">
        <v>25</v>
      </c>
      <c r="D516" s="23"/>
      <c r="E516" s="34">
        <f t="shared" ref="E516:J516" si="42">SUM(E517,E519:E521)</f>
        <v>134097.041</v>
      </c>
      <c r="F516" s="34">
        <f t="shared" si="42"/>
        <v>134097.041</v>
      </c>
      <c r="G516" s="34">
        <f t="shared" si="42"/>
        <v>134097.041</v>
      </c>
      <c r="H516" s="34">
        <f>SUM(H517,H519:H521)</f>
        <v>132684.11199999999</v>
      </c>
      <c r="I516" s="34">
        <f t="shared" si="42"/>
        <v>132684.11199999999</v>
      </c>
      <c r="J516" s="34">
        <f t="shared" si="42"/>
        <v>0</v>
      </c>
      <c r="K516" s="23"/>
      <c r="L516" s="23"/>
      <c r="M516" s="26"/>
    </row>
    <row r="517" spans="1:13" ht="18" x14ac:dyDescent="0.25">
      <c r="A517" s="1">
        <v>15</v>
      </c>
      <c r="B517" s="21"/>
      <c r="C517" s="22" t="s">
        <v>22</v>
      </c>
      <c r="D517" s="23"/>
      <c r="E517" s="34">
        <v>0</v>
      </c>
      <c r="F517" s="34">
        <v>0</v>
      </c>
      <c r="G517" s="34">
        <v>0</v>
      </c>
      <c r="H517" s="34"/>
      <c r="I517" s="34"/>
      <c r="J517" s="34"/>
      <c r="K517" s="23"/>
      <c r="L517" s="23"/>
      <c r="M517" s="26"/>
    </row>
    <row r="518" spans="1:13" ht="36" x14ac:dyDescent="0.25">
      <c r="A518" s="1">
        <v>15</v>
      </c>
      <c r="B518" s="21"/>
      <c r="C518" s="22" t="s">
        <v>23</v>
      </c>
      <c r="D518" s="23"/>
      <c r="E518" s="34">
        <f t="shared" ref="E518:J518" si="43">SUM(E519:E521)</f>
        <v>134097.041</v>
      </c>
      <c r="F518" s="34">
        <f t="shared" si="43"/>
        <v>134097.041</v>
      </c>
      <c r="G518" s="34">
        <f t="shared" si="43"/>
        <v>134097.041</v>
      </c>
      <c r="H518" s="34">
        <f>SUM(H519:H521)</f>
        <v>132684.11199999999</v>
      </c>
      <c r="I518" s="34">
        <f t="shared" si="43"/>
        <v>132684.11199999999</v>
      </c>
      <c r="J518" s="34">
        <f t="shared" si="43"/>
        <v>0</v>
      </c>
      <c r="K518" s="23"/>
      <c r="L518" s="23"/>
      <c r="M518" s="26"/>
    </row>
    <row r="519" spans="1:13" ht="90" x14ac:dyDescent="0.25">
      <c r="A519" s="1">
        <v>15</v>
      </c>
      <c r="B519" s="36">
        <v>1</v>
      </c>
      <c r="C519" s="37" t="s">
        <v>784</v>
      </c>
      <c r="D519" s="38" t="s">
        <v>37</v>
      </c>
      <c r="E519" s="40">
        <v>62697.048000000003</v>
      </c>
      <c r="F519" s="40">
        <v>62697.048000000003</v>
      </c>
      <c r="G519" s="40">
        <v>62697.048000000003</v>
      </c>
      <c r="H519" s="40">
        <v>61284.118999999999</v>
      </c>
      <c r="I519" s="40">
        <v>61284.118999999999</v>
      </c>
      <c r="J519" s="40">
        <v>0</v>
      </c>
      <c r="K519" s="64" t="s">
        <v>306</v>
      </c>
      <c r="L519" s="42" t="s">
        <v>785</v>
      </c>
      <c r="M519" s="43" t="s">
        <v>786</v>
      </c>
    </row>
    <row r="520" spans="1:13" ht="90" x14ac:dyDescent="0.25">
      <c r="A520" s="1">
        <v>15</v>
      </c>
      <c r="B520" s="36">
        <f>B519+1</f>
        <v>2</v>
      </c>
      <c r="C520" s="37" t="s">
        <v>787</v>
      </c>
      <c r="D520" s="38" t="s">
        <v>37</v>
      </c>
      <c r="E520" s="40">
        <v>16899.992999999999</v>
      </c>
      <c r="F520" s="40">
        <v>16899.992999999999</v>
      </c>
      <c r="G520" s="40">
        <v>16899.992999999999</v>
      </c>
      <c r="H520" s="40">
        <v>16899.992999999999</v>
      </c>
      <c r="I520" s="40">
        <v>16899.992999999999</v>
      </c>
      <c r="J520" s="40">
        <v>0</v>
      </c>
      <c r="K520" s="64" t="s">
        <v>80</v>
      </c>
      <c r="L520" s="42" t="s">
        <v>788</v>
      </c>
      <c r="M520" s="43" t="s">
        <v>789</v>
      </c>
    </row>
    <row r="521" spans="1:13" ht="90.75" thickBot="1" x14ac:dyDescent="0.3">
      <c r="A521" s="1">
        <v>15</v>
      </c>
      <c r="B521" s="56">
        <f>B520+1</f>
        <v>3</v>
      </c>
      <c r="C521" s="57" t="s">
        <v>790</v>
      </c>
      <c r="D521" s="67" t="s">
        <v>37</v>
      </c>
      <c r="E521" s="68">
        <v>54500</v>
      </c>
      <c r="F521" s="68">
        <v>54500</v>
      </c>
      <c r="G521" s="68">
        <v>54500</v>
      </c>
      <c r="H521" s="68">
        <v>54500</v>
      </c>
      <c r="I521" s="68">
        <v>54500</v>
      </c>
      <c r="J521" s="68">
        <v>0</v>
      </c>
      <c r="K521" s="70" t="s">
        <v>80</v>
      </c>
      <c r="L521" s="71" t="s">
        <v>791</v>
      </c>
      <c r="M521" s="72" t="s">
        <v>792</v>
      </c>
    </row>
    <row r="522" spans="1:13" ht="18" x14ac:dyDescent="0.25">
      <c r="A522" s="1">
        <v>16</v>
      </c>
      <c r="B522" s="112" t="s">
        <v>793</v>
      </c>
      <c r="C522" s="113"/>
      <c r="D522" s="113"/>
      <c r="E522" s="113"/>
      <c r="F522" s="113"/>
      <c r="G522" s="113"/>
      <c r="H522" s="113"/>
      <c r="I522" s="113"/>
      <c r="J522" s="113"/>
      <c r="K522" s="113"/>
      <c r="L522" s="113"/>
      <c r="M522" s="114"/>
    </row>
    <row r="523" spans="1:13" ht="18" x14ac:dyDescent="0.25">
      <c r="A523" s="1">
        <v>16</v>
      </c>
      <c r="B523" s="21"/>
      <c r="C523" s="22" t="s">
        <v>25</v>
      </c>
      <c r="D523" s="23"/>
      <c r="E523" s="34">
        <f t="shared" ref="E523:J523" si="44">SUM(E524,E526:E542)</f>
        <v>80805.895000000004</v>
      </c>
      <c r="F523" s="34">
        <f t="shared" si="44"/>
        <v>80805.895000000004</v>
      </c>
      <c r="G523" s="34">
        <f t="shared" si="44"/>
        <v>80805.895000000004</v>
      </c>
      <c r="H523" s="34">
        <f t="shared" si="44"/>
        <v>77043.766000000003</v>
      </c>
      <c r="I523" s="34">
        <f t="shared" si="44"/>
        <v>70791.17300000001</v>
      </c>
      <c r="J523" s="34">
        <f t="shared" si="44"/>
        <v>0</v>
      </c>
      <c r="K523" s="23"/>
      <c r="L523" s="23"/>
      <c r="M523" s="26"/>
    </row>
    <row r="524" spans="1:13" ht="18" x14ac:dyDescent="0.25">
      <c r="A524" s="1">
        <v>16</v>
      </c>
      <c r="B524" s="21"/>
      <c r="C524" s="22" t="s">
        <v>22</v>
      </c>
      <c r="D524" s="23"/>
      <c r="E524" s="34">
        <v>0</v>
      </c>
      <c r="F524" s="34">
        <v>0</v>
      </c>
      <c r="G524" s="34">
        <v>0</v>
      </c>
      <c r="H524" s="34"/>
      <c r="I524" s="34"/>
      <c r="J524" s="34"/>
      <c r="K524" s="23"/>
      <c r="L524" s="23"/>
      <c r="M524" s="26"/>
    </row>
    <row r="525" spans="1:13" ht="36" x14ac:dyDescent="0.25">
      <c r="A525" s="1">
        <v>16</v>
      </c>
      <c r="B525" s="21"/>
      <c r="C525" s="22" t="s">
        <v>23</v>
      </c>
      <c r="D525" s="23"/>
      <c r="E525" s="34">
        <f t="shared" ref="E525:J525" si="45">SUM(E526:E542)</f>
        <v>80805.895000000004</v>
      </c>
      <c r="F525" s="34">
        <f t="shared" si="45"/>
        <v>80805.895000000004</v>
      </c>
      <c r="G525" s="34">
        <f t="shared" si="45"/>
        <v>80805.895000000004</v>
      </c>
      <c r="H525" s="34">
        <f t="shared" si="45"/>
        <v>77043.766000000003</v>
      </c>
      <c r="I525" s="34">
        <f t="shared" si="45"/>
        <v>70791.17300000001</v>
      </c>
      <c r="J525" s="34">
        <f t="shared" si="45"/>
        <v>0</v>
      </c>
      <c r="K525" s="23"/>
      <c r="L525" s="23"/>
      <c r="M525" s="26"/>
    </row>
    <row r="526" spans="1:13" ht="90" x14ac:dyDescent="0.25">
      <c r="A526" s="1">
        <v>16</v>
      </c>
      <c r="B526" s="44">
        <v>1</v>
      </c>
      <c r="C526" s="37" t="s">
        <v>794</v>
      </c>
      <c r="D526" s="38" t="s">
        <v>33</v>
      </c>
      <c r="E526" s="40">
        <f>21185.855+2844.872+11000+2016.3</f>
        <v>37047.027000000002</v>
      </c>
      <c r="F526" s="40">
        <v>37047.027000000002</v>
      </c>
      <c r="G526" s="40">
        <v>37047.027000000002</v>
      </c>
      <c r="H526" s="40">
        <v>34517.368999999999</v>
      </c>
      <c r="I526" s="40">
        <v>33287.368999999999</v>
      </c>
      <c r="J526" s="40">
        <v>0</v>
      </c>
      <c r="K526" s="64" t="s">
        <v>28</v>
      </c>
      <c r="L526" s="42"/>
      <c r="M526" s="43"/>
    </row>
    <row r="527" spans="1:13" ht="54" x14ac:dyDescent="0.25">
      <c r="A527" s="1">
        <v>16</v>
      </c>
      <c r="B527" s="36">
        <f>B526+1</f>
        <v>2</v>
      </c>
      <c r="C527" s="37" t="s">
        <v>795</v>
      </c>
      <c r="D527" s="38" t="s">
        <v>33</v>
      </c>
      <c r="E527" s="40">
        <v>7000</v>
      </c>
      <c r="F527" s="40">
        <v>7000</v>
      </c>
      <c r="G527" s="40">
        <v>7000</v>
      </c>
      <c r="H527" s="40">
        <v>7000</v>
      </c>
      <c r="I527" s="39">
        <v>7000</v>
      </c>
      <c r="J527" s="40">
        <v>0</v>
      </c>
      <c r="K527" s="64" t="s">
        <v>28</v>
      </c>
      <c r="L527" s="42"/>
      <c r="M527" s="43"/>
    </row>
    <row r="528" spans="1:13" ht="90" x14ac:dyDescent="0.25">
      <c r="A528" s="1">
        <v>16</v>
      </c>
      <c r="B528" s="44">
        <f t="shared" ref="B528:B542" si="46">B527+1</f>
        <v>3</v>
      </c>
      <c r="C528" s="37" t="s">
        <v>796</v>
      </c>
      <c r="D528" s="38">
        <v>2016</v>
      </c>
      <c r="E528" s="40">
        <f>720-28.872</f>
        <v>691.12800000000004</v>
      </c>
      <c r="F528" s="40">
        <v>691.12800000000004</v>
      </c>
      <c r="G528" s="40">
        <v>691.12800000000004</v>
      </c>
      <c r="H528" s="40">
        <v>691.12800000000004</v>
      </c>
      <c r="I528" s="39">
        <v>691.12800000000004</v>
      </c>
      <c r="J528" s="40">
        <v>0</v>
      </c>
      <c r="K528" s="64" t="s">
        <v>541</v>
      </c>
      <c r="L528" s="42" t="s">
        <v>797</v>
      </c>
      <c r="M528" s="43" t="s">
        <v>157</v>
      </c>
    </row>
    <row r="529" spans="1:13" ht="72" x14ac:dyDescent="0.25">
      <c r="A529" s="1">
        <v>16</v>
      </c>
      <c r="B529" s="36">
        <f t="shared" si="46"/>
        <v>4</v>
      </c>
      <c r="C529" s="37" t="s">
        <v>798</v>
      </c>
      <c r="D529" s="38" t="s">
        <v>41</v>
      </c>
      <c r="E529" s="40">
        <v>7015.1260000000002</v>
      </c>
      <c r="F529" s="40">
        <v>7015.1260000000002</v>
      </c>
      <c r="G529" s="40">
        <v>7015.1260000000002</v>
      </c>
      <c r="H529" s="40">
        <v>6564.384</v>
      </c>
      <c r="I529" s="39">
        <v>2902.748</v>
      </c>
      <c r="J529" s="40">
        <v>0</v>
      </c>
      <c r="K529" s="64" t="s">
        <v>28</v>
      </c>
      <c r="L529" s="42"/>
      <c r="M529" s="43"/>
    </row>
    <row r="530" spans="1:13" ht="90" x14ac:dyDescent="0.25">
      <c r="A530" s="1">
        <v>16</v>
      </c>
      <c r="B530" s="36">
        <f t="shared" si="46"/>
        <v>5</v>
      </c>
      <c r="C530" s="37" t="s">
        <v>799</v>
      </c>
      <c r="D530" s="38" t="s">
        <v>33</v>
      </c>
      <c r="E530" s="40">
        <v>5104.1540000000005</v>
      </c>
      <c r="F530" s="40">
        <v>5104.1540000000005</v>
      </c>
      <c r="G530" s="40">
        <v>5104.1540000000005</v>
      </c>
      <c r="H530" s="40">
        <v>5104.1540000000005</v>
      </c>
      <c r="I530" s="40">
        <v>5104.1540000000005</v>
      </c>
      <c r="J530" s="40">
        <v>0</v>
      </c>
      <c r="K530" s="64" t="s">
        <v>38</v>
      </c>
      <c r="L530" s="42" t="s">
        <v>53</v>
      </c>
      <c r="M530" s="43"/>
    </row>
    <row r="531" spans="1:13" ht="72" x14ac:dyDescent="0.25">
      <c r="A531" s="1">
        <v>16</v>
      </c>
      <c r="B531" s="36">
        <f t="shared" si="46"/>
        <v>6</v>
      </c>
      <c r="C531" s="37" t="s">
        <v>800</v>
      </c>
      <c r="D531" s="38">
        <v>2016</v>
      </c>
      <c r="E531" s="40">
        <v>512.46199999999999</v>
      </c>
      <c r="F531" s="40">
        <v>512.46199999999999</v>
      </c>
      <c r="G531" s="40">
        <v>512.46199999999999</v>
      </c>
      <c r="H531" s="40">
        <v>461.98599999999999</v>
      </c>
      <c r="I531" s="39">
        <v>461.98599999999999</v>
      </c>
      <c r="J531" s="40">
        <v>0</v>
      </c>
      <c r="K531" s="64" t="s">
        <v>28</v>
      </c>
      <c r="L531" s="42"/>
      <c r="M531" s="43"/>
    </row>
    <row r="532" spans="1:13" ht="54" x14ac:dyDescent="0.25">
      <c r="A532" s="1">
        <v>16</v>
      </c>
      <c r="B532" s="36">
        <f t="shared" si="46"/>
        <v>7</v>
      </c>
      <c r="C532" s="37" t="s">
        <v>801</v>
      </c>
      <c r="D532" s="38" t="s">
        <v>33</v>
      </c>
      <c r="E532" s="40">
        <v>8777.0529999999999</v>
      </c>
      <c r="F532" s="40">
        <v>8777.0529999999999</v>
      </c>
      <c r="G532" s="40">
        <v>8777.0529999999999</v>
      </c>
      <c r="H532" s="40">
        <v>8530.7549999999992</v>
      </c>
      <c r="I532" s="39">
        <v>7647.6390000000001</v>
      </c>
      <c r="J532" s="40">
        <v>0</v>
      </c>
      <c r="K532" s="64" t="s">
        <v>28</v>
      </c>
      <c r="L532" s="42"/>
      <c r="M532" s="43"/>
    </row>
    <row r="533" spans="1:13" ht="54" x14ac:dyDescent="0.25">
      <c r="A533" s="1">
        <v>16</v>
      </c>
      <c r="B533" s="36">
        <f t="shared" si="46"/>
        <v>8</v>
      </c>
      <c r="C533" s="37" t="s">
        <v>802</v>
      </c>
      <c r="D533" s="38" t="s">
        <v>37</v>
      </c>
      <c r="E533" s="40">
        <v>404.2</v>
      </c>
      <c r="F533" s="40">
        <v>404.2</v>
      </c>
      <c r="G533" s="40">
        <v>404.2</v>
      </c>
      <c r="H533" s="40">
        <v>360</v>
      </c>
      <c r="I533" s="39">
        <v>360</v>
      </c>
      <c r="J533" s="40">
        <v>0</v>
      </c>
      <c r="K533" s="64" t="s">
        <v>38</v>
      </c>
      <c r="L533" s="42" t="s">
        <v>803</v>
      </c>
      <c r="M533" s="43" t="s">
        <v>157</v>
      </c>
    </row>
    <row r="534" spans="1:13" ht="72" x14ac:dyDescent="0.25">
      <c r="A534" s="1">
        <v>16</v>
      </c>
      <c r="B534" s="36">
        <f t="shared" si="46"/>
        <v>9</v>
      </c>
      <c r="C534" s="37" t="s">
        <v>804</v>
      </c>
      <c r="D534" s="38" t="s">
        <v>37</v>
      </c>
      <c r="E534" s="40">
        <v>938.69399999999996</v>
      </c>
      <c r="F534" s="40">
        <v>938.69399999999996</v>
      </c>
      <c r="G534" s="40">
        <v>938.69399999999996</v>
      </c>
      <c r="H534" s="40">
        <v>933.40800000000002</v>
      </c>
      <c r="I534" s="40">
        <v>933.40800000000002</v>
      </c>
      <c r="J534" s="40">
        <v>0</v>
      </c>
      <c r="K534" s="64" t="s">
        <v>38</v>
      </c>
      <c r="L534" s="42" t="s">
        <v>53</v>
      </c>
      <c r="M534" s="43"/>
    </row>
    <row r="535" spans="1:13" ht="72" x14ac:dyDescent="0.25">
      <c r="A535" s="1">
        <v>16</v>
      </c>
      <c r="B535" s="36">
        <f t="shared" si="46"/>
        <v>10</v>
      </c>
      <c r="C535" s="37" t="s">
        <v>805</v>
      </c>
      <c r="D535" s="38" t="s">
        <v>37</v>
      </c>
      <c r="E535" s="40">
        <v>1750</v>
      </c>
      <c r="F535" s="40">
        <v>1750</v>
      </c>
      <c r="G535" s="40">
        <v>1750</v>
      </c>
      <c r="H535" s="40">
        <v>1750</v>
      </c>
      <c r="I535" s="39">
        <v>1750</v>
      </c>
      <c r="J535" s="40">
        <v>0</v>
      </c>
      <c r="K535" s="64" t="s">
        <v>38</v>
      </c>
      <c r="L535" s="42" t="s">
        <v>806</v>
      </c>
      <c r="M535" s="43" t="s">
        <v>157</v>
      </c>
    </row>
    <row r="536" spans="1:13" ht="90" x14ac:dyDescent="0.25">
      <c r="A536" s="1">
        <v>16</v>
      </c>
      <c r="B536" s="36">
        <f t="shared" si="46"/>
        <v>11</v>
      </c>
      <c r="C536" s="37" t="s">
        <v>807</v>
      </c>
      <c r="D536" s="38" t="s">
        <v>37</v>
      </c>
      <c r="E536" s="40">
        <v>450</v>
      </c>
      <c r="F536" s="40">
        <v>450</v>
      </c>
      <c r="G536" s="40">
        <v>450</v>
      </c>
      <c r="H536" s="40">
        <v>404.91</v>
      </c>
      <c r="I536" s="39">
        <v>404.91</v>
      </c>
      <c r="J536" s="40">
        <v>0</v>
      </c>
      <c r="K536" s="64" t="s">
        <v>38</v>
      </c>
      <c r="L536" s="42" t="s">
        <v>808</v>
      </c>
      <c r="M536" s="43" t="s">
        <v>157</v>
      </c>
    </row>
    <row r="537" spans="1:13" ht="72" x14ac:dyDescent="0.25">
      <c r="A537" s="1">
        <v>16</v>
      </c>
      <c r="B537" s="36">
        <f t="shared" si="46"/>
        <v>12</v>
      </c>
      <c r="C537" s="37" t="s">
        <v>809</v>
      </c>
      <c r="D537" s="38" t="s">
        <v>37</v>
      </c>
      <c r="E537" s="40">
        <v>2479.3020000000001</v>
      </c>
      <c r="F537" s="40">
        <v>2479.3020000000001</v>
      </c>
      <c r="G537" s="40">
        <v>2479.3020000000001</v>
      </c>
      <c r="H537" s="40">
        <v>2479.0500000000002</v>
      </c>
      <c r="I537" s="39">
        <v>2479.0500000000002</v>
      </c>
      <c r="J537" s="40">
        <v>0</v>
      </c>
      <c r="K537" s="64" t="s">
        <v>28</v>
      </c>
      <c r="L537" s="42"/>
      <c r="M537" s="43"/>
    </row>
    <row r="538" spans="1:13" ht="90" x14ac:dyDescent="0.25">
      <c r="A538" s="1">
        <v>16</v>
      </c>
      <c r="B538" s="36">
        <f t="shared" si="46"/>
        <v>13</v>
      </c>
      <c r="C538" s="37" t="s">
        <v>810</v>
      </c>
      <c r="D538" s="38" t="s">
        <v>37</v>
      </c>
      <c r="E538" s="40">
        <v>1170</v>
      </c>
      <c r="F538" s="40">
        <v>1170</v>
      </c>
      <c r="G538" s="40">
        <v>1170</v>
      </c>
      <c r="H538" s="40">
        <v>1170</v>
      </c>
      <c r="I538" s="39">
        <v>1170</v>
      </c>
      <c r="J538" s="40">
        <v>0</v>
      </c>
      <c r="K538" s="64" t="s">
        <v>541</v>
      </c>
      <c r="L538" s="42" t="s">
        <v>811</v>
      </c>
      <c r="M538" s="43" t="s">
        <v>157</v>
      </c>
    </row>
    <row r="539" spans="1:13" ht="72" x14ac:dyDescent="0.25">
      <c r="A539" s="1">
        <v>16</v>
      </c>
      <c r="B539" s="36">
        <f t="shared" si="46"/>
        <v>14</v>
      </c>
      <c r="C539" s="37" t="s">
        <v>812</v>
      </c>
      <c r="D539" s="38" t="s">
        <v>37</v>
      </c>
      <c r="E539" s="40">
        <v>1130</v>
      </c>
      <c r="F539" s="40">
        <v>1130</v>
      </c>
      <c r="G539" s="40">
        <v>1130</v>
      </c>
      <c r="H539" s="40">
        <v>1130</v>
      </c>
      <c r="I539" s="39">
        <v>1130</v>
      </c>
      <c r="J539" s="40">
        <v>0</v>
      </c>
      <c r="K539" s="64" t="s">
        <v>813</v>
      </c>
      <c r="L539" s="42" t="s">
        <v>814</v>
      </c>
      <c r="M539" s="43" t="s">
        <v>157</v>
      </c>
    </row>
    <row r="540" spans="1:13" ht="54" x14ac:dyDescent="0.25">
      <c r="A540" s="1">
        <v>16</v>
      </c>
      <c r="B540" s="36">
        <f t="shared" si="46"/>
        <v>15</v>
      </c>
      <c r="C540" s="37" t="s">
        <v>815</v>
      </c>
      <c r="D540" s="38" t="s">
        <v>399</v>
      </c>
      <c r="E540" s="40">
        <v>4552.6409999999996</v>
      </c>
      <c r="F540" s="40">
        <v>4552.6409999999996</v>
      </c>
      <c r="G540" s="40">
        <v>4552.6409999999996</v>
      </c>
      <c r="H540" s="40">
        <v>4552.6409999999996</v>
      </c>
      <c r="I540" s="39">
        <v>4552.6409999999996</v>
      </c>
      <c r="J540" s="40">
        <v>0</v>
      </c>
      <c r="K540" s="64" t="s">
        <v>28</v>
      </c>
      <c r="L540" s="42"/>
      <c r="M540" s="43"/>
    </row>
    <row r="541" spans="1:13" ht="90" x14ac:dyDescent="0.25">
      <c r="A541" s="1">
        <v>16</v>
      </c>
      <c r="B541" s="36">
        <f t="shared" si="46"/>
        <v>16</v>
      </c>
      <c r="C541" s="37" t="s">
        <v>816</v>
      </c>
      <c r="D541" s="38" t="s">
        <v>37</v>
      </c>
      <c r="E541" s="40">
        <v>526.01</v>
      </c>
      <c r="F541" s="40">
        <v>526.01</v>
      </c>
      <c r="G541" s="40">
        <v>526.01</v>
      </c>
      <c r="H541" s="40">
        <v>526.01</v>
      </c>
      <c r="I541" s="39">
        <v>526.01</v>
      </c>
      <c r="J541" s="40">
        <v>0</v>
      </c>
      <c r="K541" s="64" t="s">
        <v>38</v>
      </c>
      <c r="L541" s="42" t="s">
        <v>817</v>
      </c>
      <c r="M541" s="43"/>
    </row>
    <row r="542" spans="1:13" ht="108.75" thickBot="1" x14ac:dyDescent="0.3">
      <c r="A542" s="1">
        <v>16</v>
      </c>
      <c r="B542" s="56">
        <f t="shared" si="46"/>
        <v>17</v>
      </c>
      <c r="C542" s="57" t="s">
        <v>818</v>
      </c>
      <c r="D542" s="67" t="s">
        <v>37</v>
      </c>
      <c r="E542" s="68">
        <v>1258.098</v>
      </c>
      <c r="F542" s="68">
        <v>1258.098</v>
      </c>
      <c r="G542" s="68">
        <v>1258.098</v>
      </c>
      <c r="H542" s="68">
        <v>867.971</v>
      </c>
      <c r="I542" s="68">
        <v>390.13</v>
      </c>
      <c r="J542" s="68">
        <v>0</v>
      </c>
      <c r="K542" s="70" t="s">
        <v>28</v>
      </c>
      <c r="L542" s="71"/>
      <c r="M542" s="72"/>
    </row>
    <row r="543" spans="1:13" ht="18" x14ac:dyDescent="0.25">
      <c r="A543" s="1">
        <v>17</v>
      </c>
      <c r="B543" s="112" t="s">
        <v>819</v>
      </c>
      <c r="C543" s="113"/>
      <c r="D543" s="113"/>
      <c r="E543" s="113"/>
      <c r="F543" s="113"/>
      <c r="G543" s="113"/>
      <c r="H543" s="113"/>
      <c r="I543" s="113"/>
      <c r="J543" s="113"/>
      <c r="K543" s="113"/>
      <c r="L543" s="113"/>
      <c r="M543" s="114"/>
    </row>
    <row r="544" spans="1:13" ht="18" x14ac:dyDescent="0.25">
      <c r="A544" s="1">
        <v>17</v>
      </c>
      <c r="B544" s="21"/>
      <c r="C544" s="22" t="s">
        <v>25</v>
      </c>
      <c r="D544" s="23"/>
      <c r="E544" s="34">
        <f t="shared" ref="E544:J544" si="47">SUM(E545,E547:E557)</f>
        <v>101986.18800000001</v>
      </c>
      <c r="F544" s="34">
        <f t="shared" si="47"/>
        <v>101986.18800000001</v>
      </c>
      <c r="G544" s="34">
        <f t="shared" si="47"/>
        <v>101986.18799999999</v>
      </c>
      <c r="H544" s="34">
        <f t="shared" si="47"/>
        <v>98699.077369999985</v>
      </c>
      <c r="I544" s="34">
        <f t="shared" si="47"/>
        <v>98699.077369999985</v>
      </c>
      <c r="J544" s="34">
        <f t="shared" si="47"/>
        <v>0</v>
      </c>
      <c r="K544" s="23"/>
      <c r="L544" s="23"/>
      <c r="M544" s="26"/>
    </row>
    <row r="545" spans="1:13" ht="18" x14ac:dyDescent="0.25">
      <c r="A545" s="1">
        <v>17</v>
      </c>
      <c r="B545" s="21"/>
      <c r="C545" s="22" t="s">
        <v>22</v>
      </c>
      <c r="D545" s="23"/>
      <c r="E545" s="34">
        <v>0</v>
      </c>
      <c r="F545" s="34">
        <v>0</v>
      </c>
      <c r="G545" s="34">
        <f>0+3287.11063</f>
        <v>3287.1106300000001</v>
      </c>
      <c r="H545" s="34"/>
      <c r="I545" s="34"/>
      <c r="J545" s="34"/>
      <c r="K545" s="23"/>
      <c r="L545" s="23"/>
      <c r="M545" s="26"/>
    </row>
    <row r="546" spans="1:13" ht="36" x14ac:dyDescent="0.25">
      <c r="A546" s="1">
        <v>17</v>
      </c>
      <c r="B546" s="21"/>
      <c r="C546" s="22" t="s">
        <v>23</v>
      </c>
      <c r="D546" s="23"/>
      <c r="E546" s="34">
        <f t="shared" ref="E546:J546" si="48">SUM(E547:E557)</f>
        <v>101986.18800000001</v>
      </c>
      <c r="F546" s="34">
        <f t="shared" si="48"/>
        <v>101986.18800000001</v>
      </c>
      <c r="G546" s="34">
        <f t="shared" si="48"/>
        <v>98699.077369999985</v>
      </c>
      <c r="H546" s="34">
        <f t="shared" si="48"/>
        <v>98699.077369999985</v>
      </c>
      <c r="I546" s="34">
        <f t="shared" si="48"/>
        <v>98699.077369999985</v>
      </c>
      <c r="J546" s="34">
        <f t="shared" si="48"/>
        <v>0</v>
      </c>
      <c r="K546" s="23"/>
      <c r="L546" s="23"/>
      <c r="M546" s="26"/>
    </row>
    <row r="547" spans="1:13" ht="54" x14ac:dyDescent="0.25">
      <c r="A547" s="1">
        <v>17</v>
      </c>
      <c r="B547" s="36">
        <v>1</v>
      </c>
      <c r="C547" s="37" t="s">
        <v>820</v>
      </c>
      <c r="D547" s="38">
        <v>2016</v>
      </c>
      <c r="E547" s="40">
        <v>3228</v>
      </c>
      <c r="F547" s="40">
        <v>3228</v>
      </c>
      <c r="G547" s="40">
        <v>3228</v>
      </c>
      <c r="H547" s="40">
        <v>3228</v>
      </c>
      <c r="I547" s="40">
        <v>3228</v>
      </c>
      <c r="J547" s="40">
        <v>0</v>
      </c>
      <c r="K547" s="64" t="s">
        <v>38</v>
      </c>
      <c r="L547" s="42" t="s">
        <v>102</v>
      </c>
      <c r="M547" s="43" t="s">
        <v>821</v>
      </c>
    </row>
    <row r="548" spans="1:13" ht="54" x14ac:dyDescent="0.25">
      <c r="A548" s="1">
        <v>17</v>
      </c>
      <c r="B548" s="36">
        <f>B547+1</f>
        <v>2</v>
      </c>
      <c r="C548" s="37" t="s">
        <v>822</v>
      </c>
      <c r="D548" s="38">
        <v>2016</v>
      </c>
      <c r="E548" s="40">
        <v>3179.9690000000001</v>
      </c>
      <c r="F548" s="40">
        <v>3179.9690000000001</v>
      </c>
      <c r="G548" s="40">
        <v>3179.9690000000001</v>
      </c>
      <c r="H548" s="40">
        <v>3179.9690000000001</v>
      </c>
      <c r="I548" s="40">
        <v>3179.9690000000001</v>
      </c>
      <c r="J548" s="40">
        <v>0</v>
      </c>
      <c r="K548" s="64" t="s">
        <v>38</v>
      </c>
      <c r="L548" s="42" t="s">
        <v>104</v>
      </c>
      <c r="M548" s="43" t="s">
        <v>823</v>
      </c>
    </row>
    <row r="549" spans="1:13" ht="72" x14ac:dyDescent="0.25">
      <c r="A549" s="1">
        <v>17</v>
      </c>
      <c r="B549" s="36">
        <f t="shared" ref="B549:B557" si="49">B548+1</f>
        <v>3</v>
      </c>
      <c r="C549" s="37" t="s">
        <v>824</v>
      </c>
      <c r="D549" s="38">
        <v>2016</v>
      </c>
      <c r="E549" s="40">
        <v>818.54899999999998</v>
      </c>
      <c r="F549" s="40">
        <v>818.54899999999998</v>
      </c>
      <c r="G549" s="40">
        <v>818.54899999999998</v>
      </c>
      <c r="H549" s="40">
        <v>818.54899999999998</v>
      </c>
      <c r="I549" s="40">
        <v>818.54899999999998</v>
      </c>
      <c r="J549" s="40">
        <v>0</v>
      </c>
      <c r="K549" s="64" t="s">
        <v>38</v>
      </c>
      <c r="L549" s="42" t="s">
        <v>102</v>
      </c>
      <c r="M549" s="43" t="s">
        <v>825</v>
      </c>
    </row>
    <row r="550" spans="1:13" ht="54" x14ac:dyDescent="0.25">
      <c r="A550" s="1">
        <v>17</v>
      </c>
      <c r="B550" s="36">
        <f t="shared" si="49"/>
        <v>4</v>
      </c>
      <c r="C550" s="37" t="s">
        <v>826</v>
      </c>
      <c r="D550" s="38">
        <v>2016</v>
      </c>
      <c r="E550" s="40">
        <v>4994.9390000000003</v>
      </c>
      <c r="F550" s="40">
        <v>4994.9390000000003</v>
      </c>
      <c r="G550" s="40">
        <v>4000.1082999999999</v>
      </c>
      <c r="H550" s="40">
        <v>4000.1082999999999</v>
      </c>
      <c r="I550" s="40">
        <v>4000.1082999999999</v>
      </c>
      <c r="J550" s="40">
        <v>0</v>
      </c>
      <c r="K550" s="64" t="s">
        <v>28</v>
      </c>
      <c r="L550" s="42"/>
      <c r="M550" s="43"/>
    </row>
    <row r="551" spans="1:13" ht="72" x14ac:dyDescent="0.25">
      <c r="A551" s="1">
        <v>17</v>
      </c>
      <c r="B551" s="36">
        <f t="shared" si="49"/>
        <v>5</v>
      </c>
      <c r="C551" s="37" t="s">
        <v>827</v>
      </c>
      <c r="D551" s="38">
        <v>2016</v>
      </c>
      <c r="E551" s="40">
        <v>21892.425999999999</v>
      </c>
      <c r="F551" s="40">
        <v>21892.425999999999</v>
      </c>
      <c r="G551" s="40">
        <v>21892.425999999999</v>
      </c>
      <c r="H551" s="40">
        <v>21892.425999999999</v>
      </c>
      <c r="I551" s="40">
        <v>21892.425999999999</v>
      </c>
      <c r="J551" s="40">
        <v>0</v>
      </c>
      <c r="K551" s="64" t="s">
        <v>28</v>
      </c>
      <c r="L551" s="42"/>
      <c r="M551" s="43"/>
    </row>
    <row r="552" spans="1:13" ht="90" x14ac:dyDescent="0.25">
      <c r="A552" s="1">
        <v>17</v>
      </c>
      <c r="B552" s="36">
        <f t="shared" si="49"/>
        <v>6</v>
      </c>
      <c r="C552" s="37" t="s">
        <v>828</v>
      </c>
      <c r="D552" s="38">
        <v>2016</v>
      </c>
      <c r="E552" s="40">
        <v>6089.4480000000003</v>
      </c>
      <c r="F552" s="40">
        <v>6089.4480000000003</v>
      </c>
      <c r="G552" s="40">
        <v>5774</v>
      </c>
      <c r="H552" s="40">
        <v>5774</v>
      </c>
      <c r="I552" s="40">
        <v>5774</v>
      </c>
      <c r="J552" s="40">
        <v>0</v>
      </c>
      <c r="K552" s="64" t="s">
        <v>28</v>
      </c>
      <c r="L552" s="42"/>
      <c r="M552" s="43"/>
    </row>
    <row r="553" spans="1:13" ht="54" x14ac:dyDescent="0.25">
      <c r="A553" s="1">
        <v>17</v>
      </c>
      <c r="B553" s="36">
        <f t="shared" si="49"/>
        <v>7</v>
      </c>
      <c r="C553" s="37" t="s">
        <v>829</v>
      </c>
      <c r="D553" s="38" t="s">
        <v>95</v>
      </c>
      <c r="E553" s="40">
        <v>6500</v>
      </c>
      <c r="F553" s="40">
        <v>6500</v>
      </c>
      <c r="G553" s="40">
        <v>6011.8548000000001</v>
      </c>
      <c r="H553" s="40">
        <v>6011.8548000000001</v>
      </c>
      <c r="I553" s="40">
        <v>6011.8548000000001</v>
      </c>
      <c r="J553" s="40">
        <v>0</v>
      </c>
      <c r="K553" s="64" t="s">
        <v>28</v>
      </c>
      <c r="L553" s="42"/>
      <c r="M553" s="43"/>
    </row>
    <row r="554" spans="1:13" ht="54" x14ac:dyDescent="0.25">
      <c r="A554" s="1">
        <v>17</v>
      </c>
      <c r="B554" s="36">
        <f t="shared" si="49"/>
        <v>8</v>
      </c>
      <c r="C554" s="37" t="s">
        <v>830</v>
      </c>
      <c r="D554" s="38" t="s">
        <v>33</v>
      </c>
      <c r="E554" s="40">
        <v>14722.156999999999</v>
      </c>
      <c r="F554" s="40">
        <v>14722.156999999999</v>
      </c>
      <c r="G554" s="40">
        <v>14722.156999999999</v>
      </c>
      <c r="H554" s="40">
        <v>14722.156999999999</v>
      </c>
      <c r="I554" s="40">
        <v>14722.156999999999</v>
      </c>
      <c r="J554" s="40">
        <v>0</v>
      </c>
      <c r="K554" s="64" t="s">
        <v>28</v>
      </c>
      <c r="L554" s="42"/>
      <c r="M554" s="43"/>
    </row>
    <row r="555" spans="1:13" ht="72" x14ac:dyDescent="0.25">
      <c r="A555" s="1">
        <v>17</v>
      </c>
      <c r="B555" s="36">
        <f t="shared" si="49"/>
        <v>9</v>
      </c>
      <c r="C555" s="37" t="s">
        <v>831</v>
      </c>
      <c r="D555" s="38" t="s">
        <v>73</v>
      </c>
      <c r="E555" s="40">
        <v>15081.544</v>
      </c>
      <c r="F555" s="40">
        <v>15081.544</v>
      </c>
      <c r="G555" s="40">
        <v>13724.537270000001</v>
      </c>
      <c r="H555" s="40">
        <v>13724.537270000001</v>
      </c>
      <c r="I555" s="40">
        <v>13724.537270000001</v>
      </c>
      <c r="J555" s="40">
        <v>0</v>
      </c>
      <c r="K555" s="64" t="s">
        <v>28</v>
      </c>
      <c r="L555" s="42"/>
      <c r="M555" s="43"/>
    </row>
    <row r="556" spans="1:13" ht="72" x14ac:dyDescent="0.25">
      <c r="A556" s="1">
        <v>17</v>
      </c>
      <c r="B556" s="36">
        <f t="shared" si="49"/>
        <v>10</v>
      </c>
      <c r="C556" s="37" t="s">
        <v>832</v>
      </c>
      <c r="D556" s="38" t="s">
        <v>61</v>
      </c>
      <c r="E556" s="40">
        <v>8839.5239999999994</v>
      </c>
      <c r="F556" s="40">
        <v>8839.5239999999994</v>
      </c>
      <c r="G556" s="40">
        <v>8707.8439999999991</v>
      </c>
      <c r="H556" s="40">
        <v>8707.8439999999991</v>
      </c>
      <c r="I556" s="40">
        <v>8707.8439999999991</v>
      </c>
      <c r="J556" s="40">
        <v>0</v>
      </c>
      <c r="K556" s="64" t="s">
        <v>38</v>
      </c>
      <c r="L556" s="42" t="s">
        <v>84</v>
      </c>
      <c r="M556" s="43" t="s">
        <v>833</v>
      </c>
    </row>
    <row r="557" spans="1:13" ht="60.75" thickBot="1" x14ac:dyDescent="0.3">
      <c r="A557" s="1">
        <v>17</v>
      </c>
      <c r="B557" s="56">
        <f t="shared" si="49"/>
        <v>11</v>
      </c>
      <c r="C557" s="57" t="s">
        <v>834</v>
      </c>
      <c r="D557" s="67" t="s">
        <v>95</v>
      </c>
      <c r="E557" s="68">
        <v>16639.632000000001</v>
      </c>
      <c r="F557" s="68">
        <v>16639.632000000001</v>
      </c>
      <c r="G557" s="68">
        <v>16639.632000000001</v>
      </c>
      <c r="H557" s="68">
        <v>16639.632000000001</v>
      </c>
      <c r="I557" s="68">
        <v>16639.632000000001</v>
      </c>
      <c r="J557" s="68">
        <v>0</v>
      </c>
      <c r="K557" s="70" t="s">
        <v>38</v>
      </c>
      <c r="L557" s="71" t="s">
        <v>835</v>
      </c>
      <c r="M557" s="72" t="s">
        <v>836</v>
      </c>
    </row>
    <row r="558" spans="1:13" ht="18" x14ac:dyDescent="0.25">
      <c r="A558" s="1">
        <v>18</v>
      </c>
      <c r="B558" s="112" t="s">
        <v>837</v>
      </c>
      <c r="C558" s="113"/>
      <c r="D558" s="113"/>
      <c r="E558" s="113"/>
      <c r="F558" s="113"/>
      <c r="G558" s="113"/>
      <c r="H558" s="113"/>
      <c r="I558" s="113"/>
      <c r="J558" s="113"/>
      <c r="K558" s="113"/>
      <c r="L558" s="113"/>
      <c r="M558" s="114"/>
    </row>
    <row r="559" spans="1:13" ht="18" x14ac:dyDescent="0.25">
      <c r="A559" s="1">
        <v>18</v>
      </c>
      <c r="B559" s="21"/>
      <c r="C559" s="22" t="s">
        <v>25</v>
      </c>
      <c r="D559" s="23"/>
      <c r="E559" s="34">
        <f>SUM(E560,E562:E630)</f>
        <v>97861.449999999953</v>
      </c>
      <c r="F559" s="34">
        <f t="shared" ref="F559:J559" si="50">SUM(F560,F562:F630)</f>
        <v>97861.449999999953</v>
      </c>
      <c r="G559" s="34">
        <f t="shared" si="50"/>
        <v>97861.449999999953</v>
      </c>
      <c r="H559" s="34">
        <f t="shared" si="50"/>
        <v>91447.172139999966</v>
      </c>
      <c r="I559" s="34">
        <f t="shared" si="50"/>
        <v>91447.172139999966</v>
      </c>
      <c r="J559" s="34">
        <f t="shared" si="50"/>
        <v>0</v>
      </c>
      <c r="K559" s="23"/>
      <c r="L559" s="23"/>
      <c r="M559" s="26"/>
    </row>
    <row r="560" spans="1:13" ht="18" x14ac:dyDescent="0.25">
      <c r="A560" s="1">
        <v>18</v>
      </c>
      <c r="B560" s="21"/>
      <c r="C560" s="22" t="s">
        <v>22</v>
      </c>
      <c r="D560" s="23"/>
      <c r="E560" s="34">
        <v>0</v>
      </c>
      <c r="F560" s="34">
        <v>0</v>
      </c>
      <c r="G560" s="34">
        <v>0</v>
      </c>
      <c r="H560" s="34"/>
      <c r="I560" s="34"/>
      <c r="J560" s="34"/>
      <c r="K560" s="23"/>
      <c r="L560" s="23"/>
      <c r="M560" s="26"/>
    </row>
    <row r="561" spans="1:13" ht="36" x14ac:dyDescent="0.25">
      <c r="A561" s="1">
        <v>18</v>
      </c>
      <c r="B561" s="21"/>
      <c r="C561" s="22" t="s">
        <v>23</v>
      </c>
      <c r="D561" s="23"/>
      <c r="E561" s="34">
        <f t="shared" ref="E561:J561" si="51">SUM(E562:E630)</f>
        <v>97861.449999999953</v>
      </c>
      <c r="F561" s="34">
        <f t="shared" si="51"/>
        <v>97861.449999999953</v>
      </c>
      <c r="G561" s="34">
        <f t="shared" si="51"/>
        <v>97861.449999999953</v>
      </c>
      <c r="H561" s="34">
        <f t="shared" si="51"/>
        <v>91447.172139999966</v>
      </c>
      <c r="I561" s="34">
        <f t="shared" si="51"/>
        <v>91447.172139999966</v>
      </c>
      <c r="J561" s="34">
        <f t="shared" si="51"/>
        <v>0</v>
      </c>
      <c r="K561" s="23"/>
      <c r="L561" s="23"/>
      <c r="M561" s="26"/>
    </row>
    <row r="562" spans="1:13" ht="90" x14ac:dyDescent="0.25">
      <c r="A562" s="1">
        <v>18</v>
      </c>
      <c r="B562" s="44">
        <v>1</v>
      </c>
      <c r="C562" s="79" t="s">
        <v>838</v>
      </c>
      <c r="D562" s="92">
        <v>2016</v>
      </c>
      <c r="E562" s="39">
        <f>3893.851-1280.014</f>
        <v>2613.8370000000004</v>
      </c>
      <c r="F562" s="40">
        <v>2613.8370000000004</v>
      </c>
      <c r="G562" s="40">
        <v>2613.8370000000004</v>
      </c>
      <c r="H562" s="40">
        <v>2613.2860000000001</v>
      </c>
      <c r="I562" s="40">
        <v>2613.2860000000001</v>
      </c>
      <c r="J562" s="40">
        <v>0</v>
      </c>
      <c r="K562" s="64" t="s">
        <v>38</v>
      </c>
      <c r="L562" s="42" t="s">
        <v>839</v>
      </c>
      <c r="M562" s="43" t="s">
        <v>840</v>
      </c>
    </row>
    <row r="563" spans="1:13" ht="128.25" x14ac:dyDescent="0.25">
      <c r="A563" s="1">
        <v>18</v>
      </c>
      <c r="B563" s="36">
        <f>B562+1</f>
        <v>2</v>
      </c>
      <c r="C563" s="79" t="s">
        <v>841</v>
      </c>
      <c r="D563" s="92" t="s">
        <v>423</v>
      </c>
      <c r="E563" s="39">
        <v>13433.734</v>
      </c>
      <c r="F563" s="40">
        <v>13433.734</v>
      </c>
      <c r="G563" s="40">
        <v>13433.734</v>
      </c>
      <c r="H563" s="40">
        <v>13433.733</v>
      </c>
      <c r="I563" s="40">
        <v>13433.733</v>
      </c>
      <c r="J563" s="40">
        <v>0</v>
      </c>
      <c r="K563" s="64" t="s">
        <v>38</v>
      </c>
      <c r="L563" s="76" t="s">
        <v>842</v>
      </c>
      <c r="M563" s="93" t="s">
        <v>843</v>
      </c>
    </row>
    <row r="564" spans="1:13" ht="60" x14ac:dyDescent="0.25">
      <c r="A564" s="1">
        <v>18</v>
      </c>
      <c r="B564" s="44">
        <f t="shared" ref="B564:B627" si="52">B563+1</f>
        <v>3</v>
      </c>
      <c r="C564" s="79" t="s">
        <v>844</v>
      </c>
      <c r="D564" s="92">
        <v>2016</v>
      </c>
      <c r="E564" s="39">
        <f>889.256-12.79</f>
        <v>876.46600000000001</v>
      </c>
      <c r="F564" s="40">
        <v>876.46600000000001</v>
      </c>
      <c r="G564" s="40">
        <v>876.46600000000001</v>
      </c>
      <c r="H564" s="40">
        <v>539.46100000000001</v>
      </c>
      <c r="I564" s="40">
        <v>539.46100000000001</v>
      </c>
      <c r="J564" s="40">
        <v>0</v>
      </c>
      <c r="K564" s="64" t="s">
        <v>38</v>
      </c>
      <c r="L564" s="42" t="s">
        <v>845</v>
      </c>
      <c r="M564" s="43"/>
    </row>
    <row r="565" spans="1:13" ht="57" x14ac:dyDescent="0.25">
      <c r="A565" s="1">
        <v>18</v>
      </c>
      <c r="B565" s="36">
        <f t="shared" si="52"/>
        <v>4</v>
      </c>
      <c r="C565" s="79" t="s">
        <v>846</v>
      </c>
      <c r="D565" s="92">
        <v>2016</v>
      </c>
      <c r="E565" s="39">
        <v>990.01</v>
      </c>
      <c r="F565" s="40">
        <v>990.01</v>
      </c>
      <c r="G565" s="40">
        <v>990.01</v>
      </c>
      <c r="H565" s="40">
        <v>935.01400000000001</v>
      </c>
      <c r="I565" s="40">
        <v>935.01400000000001</v>
      </c>
      <c r="J565" s="40">
        <v>0</v>
      </c>
      <c r="K565" s="64" t="s">
        <v>38</v>
      </c>
      <c r="L565" s="76" t="s">
        <v>845</v>
      </c>
      <c r="M565" s="43"/>
    </row>
    <row r="566" spans="1:13" ht="57" x14ac:dyDescent="0.25">
      <c r="A566" s="1">
        <v>18</v>
      </c>
      <c r="B566" s="36">
        <f t="shared" si="52"/>
        <v>5</v>
      </c>
      <c r="C566" s="79" t="s">
        <v>847</v>
      </c>
      <c r="D566" s="92">
        <v>2016</v>
      </c>
      <c r="E566" s="39">
        <v>990</v>
      </c>
      <c r="F566" s="40">
        <v>990</v>
      </c>
      <c r="G566" s="40">
        <v>990</v>
      </c>
      <c r="H566" s="40">
        <v>877.04300000000001</v>
      </c>
      <c r="I566" s="40">
        <v>877.04300000000001</v>
      </c>
      <c r="J566" s="40">
        <v>0</v>
      </c>
      <c r="K566" s="64" t="s">
        <v>306</v>
      </c>
      <c r="L566" s="76" t="s">
        <v>848</v>
      </c>
      <c r="M566" s="43" t="s">
        <v>849</v>
      </c>
    </row>
    <row r="567" spans="1:13" ht="57" x14ac:dyDescent="0.25">
      <c r="A567" s="1">
        <v>18</v>
      </c>
      <c r="B567" s="44">
        <f t="shared" si="52"/>
        <v>6</v>
      </c>
      <c r="C567" s="79" t="s">
        <v>850</v>
      </c>
      <c r="D567" s="92">
        <v>2016</v>
      </c>
      <c r="E567" s="39">
        <f>1341-16.744</f>
        <v>1324.2560000000001</v>
      </c>
      <c r="F567" s="40">
        <v>1324.2560000000001</v>
      </c>
      <c r="G567" s="40">
        <v>1324.2560000000001</v>
      </c>
      <c r="H567" s="40">
        <v>1320.9469999999999</v>
      </c>
      <c r="I567" s="40">
        <v>1320.9469999999999</v>
      </c>
      <c r="J567" s="40">
        <v>0</v>
      </c>
      <c r="K567" s="64" t="s">
        <v>306</v>
      </c>
      <c r="L567" s="76" t="s">
        <v>848</v>
      </c>
      <c r="M567" s="43" t="s">
        <v>851</v>
      </c>
    </row>
    <row r="568" spans="1:13" ht="126" x14ac:dyDescent="0.25">
      <c r="A568" s="1">
        <v>18</v>
      </c>
      <c r="B568" s="36">
        <f t="shared" si="52"/>
        <v>7</v>
      </c>
      <c r="C568" s="79" t="s">
        <v>852</v>
      </c>
      <c r="D568" s="92" t="s">
        <v>853</v>
      </c>
      <c r="E568" s="39">
        <v>17500</v>
      </c>
      <c r="F568" s="40">
        <v>17500</v>
      </c>
      <c r="G568" s="40">
        <v>17500</v>
      </c>
      <c r="H568" s="40">
        <v>17500</v>
      </c>
      <c r="I568" s="40">
        <v>17500</v>
      </c>
      <c r="J568" s="40">
        <v>0</v>
      </c>
      <c r="K568" s="64" t="s">
        <v>38</v>
      </c>
      <c r="L568" s="76" t="s">
        <v>854</v>
      </c>
      <c r="M568" s="43"/>
    </row>
    <row r="569" spans="1:13" ht="54" x14ac:dyDescent="0.25">
      <c r="A569" s="1">
        <v>18</v>
      </c>
      <c r="B569" s="36">
        <f t="shared" si="52"/>
        <v>8</v>
      </c>
      <c r="C569" s="37" t="s">
        <v>855</v>
      </c>
      <c r="D569" s="38">
        <v>2016</v>
      </c>
      <c r="E569" s="39">
        <v>2261.63</v>
      </c>
      <c r="F569" s="40">
        <v>2261.63</v>
      </c>
      <c r="G569" s="40">
        <v>2261.63</v>
      </c>
      <c r="H569" s="40">
        <v>350.75700000000001</v>
      </c>
      <c r="I569" s="40">
        <v>350.75700000000001</v>
      </c>
      <c r="J569" s="40">
        <v>0</v>
      </c>
      <c r="K569" s="64" t="s">
        <v>28</v>
      </c>
      <c r="L569" s="76"/>
      <c r="M569" s="43"/>
    </row>
    <row r="570" spans="1:13" ht="128.25" x14ac:dyDescent="0.25">
      <c r="A570" s="1">
        <v>18</v>
      </c>
      <c r="B570" s="44">
        <f t="shared" si="52"/>
        <v>9</v>
      </c>
      <c r="C570" s="37" t="s">
        <v>856</v>
      </c>
      <c r="D570" s="38">
        <v>2016</v>
      </c>
      <c r="E570" s="39">
        <f>774.08-14.126</f>
        <v>759.95400000000006</v>
      </c>
      <c r="F570" s="40">
        <v>759.95400000000006</v>
      </c>
      <c r="G570" s="40">
        <v>759.95400000000006</v>
      </c>
      <c r="H570" s="40">
        <v>629.60299999999995</v>
      </c>
      <c r="I570" s="40">
        <v>629.60299999999995</v>
      </c>
      <c r="J570" s="40">
        <v>0</v>
      </c>
      <c r="K570" s="64" t="s">
        <v>38</v>
      </c>
      <c r="L570" s="76" t="s">
        <v>857</v>
      </c>
      <c r="M570" s="43"/>
    </row>
    <row r="571" spans="1:13" ht="90" x14ac:dyDescent="0.25">
      <c r="A571" s="1">
        <v>18</v>
      </c>
      <c r="B571" s="36">
        <f t="shared" si="52"/>
        <v>10</v>
      </c>
      <c r="C571" s="37" t="s">
        <v>858</v>
      </c>
      <c r="D571" s="38" t="s">
        <v>49</v>
      </c>
      <c r="E571" s="39">
        <v>4841</v>
      </c>
      <c r="F571" s="40">
        <v>4841</v>
      </c>
      <c r="G571" s="40">
        <v>4841</v>
      </c>
      <c r="H571" s="40">
        <v>4840.8900000000003</v>
      </c>
      <c r="I571" s="40">
        <v>4840.8900000000003</v>
      </c>
      <c r="J571" s="39">
        <v>0</v>
      </c>
      <c r="K571" s="64" t="s">
        <v>38</v>
      </c>
      <c r="L571" s="76" t="s">
        <v>859</v>
      </c>
      <c r="M571" s="43"/>
    </row>
    <row r="572" spans="1:13" ht="60" x14ac:dyDescent="0.25">
      <c r="A572" s="1">
        <v>18</v>
      </c>
      <c r="B572" s="36">
        <f t="shared" si="52"/>
        <v>11</v>
      </c>
      <c r="C572" s="37" t="s">
        <v>860</v>
      </c>
      <c r="D572" s="38" t="s">
        <v>49</v>
      </c>
      <c r="E572" s="39">
        <v>388</v>
      </c>
      <c r="F572" s="40">
        <v>388</v>
      </c>
      <c r="G572" s="40">
        <v>388</v>
      </c>
      <c r="H572" s="40">
        <v>387.15</v>
      </c>
      <c r="I572" s="40">
        <v>387.15</v>
      </c>
      <c r="J572" s="39">
        <v>0</v>
      </c>
      <c r="K572" s="64" t="s">
        <v>38</v>
      </c>
      <c r="L572" s="42" t="s">
        <v>861</v>
      </c>
      <c r="M572" s="43"/>
    </row>
    <row r="573" spans="1:13" ht="85.5" x14ac:dyDescent="0.25">
      <c r="A573" s="1">
        <v>18</v>
      </c>
      <c r="B573" s="36">
        <f t="shared" si="52"/>
        <v>12</v>
      </c>
      <c r="C573" s="37" t="s">
        <v>862</v>
      </c>
      <c r="D573" s="38">
        <v>2016</v>
      </c>
      <c r="E573" s="39">
        <v>467.58600000000001</v>
      </c>
      <c r="F573" s="40">
        <v>467.58600000000001</v>
      </c>
      <c r="G573" s="40">
        <v>467.58600000000001</v>
      </c>
      <c r="H573" s="40">
        <v>467.58600000000001</v>
      </c>
      <c r="I573" s="40">
        <v>467.58600000000001</v>
      </c>
      <c r="J573" s="39">
        <v>0</v>
      </c>
      <c r="K573" s="64" t="s">
        <v>86</v>
      </c>
      <c r="L573" s="74" t="s">
        <v>863</v>
      </c>
      <c r="M573" s="43"/>
    </row>
    <row r="574" spans="1:13" ht="57" x14ac:dyDescent="0.25">
      <c r="A574" s="1">
        <v>18</v>
      </c>
      <c r="B574" s="36">
        <f t="shared" si="52"/>
        <v>13</v>
      </c>
      <c r="C574" s="37" t="s">
        <v>864</v>
      </c>
      <c r="D574" s="38">
        <v>2016</v>
      </c>
      <c r="E574" s="39">
        <v>993.74</v>
      </c>
      <c r="F574" s="40">
        <v>993.74</v>
      </c>
      <c r="G574" s="40">
        <v>993.74</v>
      </c>
      <c r="H574" s="40">
        <v>982.41600000000005</v>
      </c>
      <c r="I574" s="40">
        <v>982.41600000000005</v>
      </c>
      <c r="J574" s="39">
        <v>0</v>
      </c>
      <c r="K574" s="64" t="s">
        <v>181</v>
      </c>
      <c r="L574" s="76" t="s">
        <v>865</v>
      </c>
      <c r="M574" s="43"/>
    </row>
    <row r="575" spans="1:13" ht="72" x14ac:dyDescent="0.25">
      <c r="A575" s="1">
        <v>18</v>
      </c>
      <c r="B575" s="36">
        <f t="shared" si="52"/>
        <v>14</v>
      </c>
      <c r="C575" s="37" t="s">
        <v>866</v>
      </c>
      <c r="D575" s="38">
        <v>2016</v>
      </c>
      <c r="E575" s="39">
        <v>760.94899999999996</v>
      </c>
      <c r="F575" s="40">
        <v>760.94899999999996</v>
      </c>
      <c r="G575" s="40">
        <v>760.94899999999996</v>
      </c>
      <c r="H575" s="40">
        <v>760.94899999999996</v>
      </c>
      <c r="I575" s="40">
        <v>760.94899999999996</v>
      </c>
      <c r="J575" s="40">
        <v>0</v>
      </c>
      <c r="K575" s="64" t="s">
        <v>38</v>
      </c>
      <c r="L575" s="42" t="s">
        <v>867</v>
      </c>
      <c r="M575" s="43"/>
    </row>
    <row r="576" spans="1:13" ht="54" x14ac:dyDescent="0.25">
      <c r="A576" s="1">
        <v>18</v>
      </c>
      <c r="B576" s="36">
        <f t="shared" si="52"/>
        <v>15</v>
      </c>
      <c r="C576" s="37" t="s">
        <v>868</v>
      </c>
      <c r="D576" s="38">
        <v>2016</v>
      </c>
      <c r="E576" s="39">
        <v>1923.634</v>
      </c>
      <c r="F576" s="40">
        <v>1923.634</v>
      </c>
      <c r="G576" s="40">
        <v>1923.634</v>
      </c>
      <c r="H576" s="40">
        <v>1761.1479999999999</v>
      </c>
      <c r="I576" s="40">
        <v>1761.1479999999999</v>
      </c>
      <c r="J576" s="40">
        <v>0</v>
      </c>
      <c r="K576" s="64" t="s">
        <v>181</v>
      </c>
      <c r="L576" s="42" t="s">
        <v>39</v>
      </c>
      <c r="M576" s="43"/>
    </row>
    <row r="577" spans="1:13" ht="54" x14ac:dyDescent="0.25">
      <c r="A577" s="1">
        <v>18</v>
      </c>
      <c r="B577" s="44">
        <f t="shared" si="52"/>
        <v>16</v>
      </c>
      <c r="C577" s="37" t="s">
        <v>869</v>
      </c>
      <c r="D577" s="38">
        <v>2016</v>
      </c>
      <c r="E577" s="39">
        <f>246.729-34.369</f>
        <v>212.36</v>
      </c>
      <c r="F577" s="40">
        <v>212.36</v>
      </c>
      <c r="G577" s="40">
        <v>212.36</v>
      </c>
      <c r="H577" s="40">
        <v>212.36</v>
      </c>
      <c r="I577" s="40">
        <v>212.36</v>
      </c>
      <c r="J577" s="40">
        <v>0</v>
      </c>
      <c r="K577" s="64" t="s">
        <v>38</v>
      </c>
      <c r="L577" s="42" t="s">
        <v>870</v>
      </c>
      <c r="M577" s="43" t="s">
        <v>871</v>
      </c>
    </row>
    <row r="578" spans="1:13" ht="54" x14ac:dyDescent="0.25">
      <c r="A578" s="1">
        <v>18</v>
      </c>
      <c r="B578" s="36">
        <f t="shared" si="52"/>
        <v>17</v>
      </c>
      <c r="C578" s="37" t="s">
        <v>872</v>
      </c>
      <c r="D578" s="38">
        <v>2016</v>
      </c>
      <c r="E578" s="39">
        <v>187.839</v>
      </c>
      <c r="F578" s="40">
        <v>187.839</v>
      </c>
      <c r="G578" s="40">
        <v>187.839</v>
      </c>
      <c r="H578" s="40">
        <v>187.839</v>
      </c>
      <c r="I578" s="40">
        <v>187.839</v>
      </c>
      <c r="J578" s="40">
        <v>0</v>
      </c>
      <c r="K578" s="64" t="s">
        <v>38</v>
      </c>
      <c r="L578" s="42" t="s">
        <v>486</v>
      </c>
      <c r="M578" s="43" t="s">
        <v>873</v>
      </c>
    </row>
    <row r="579" spans="1:13" ht="85.5" x14ac:dyDescent="0.25">
      <c r="A579" s="1">
        <v>18</v>
      </c>
      <c r="B579" s="36">
        <f t="shared" si="52"/>
        <v>18</v>
      </c>
      <c r="C579" s="37" t="s">
        <v>874</v>
      </c>
      <c r="D579" s="38">
        <v>2016</v>
      </c>
      <c r="E579" s="39">
        <v>699.90899999999999</v>
      </c>
      <c r="F579" s="40">
        <v>699.90899999999999</v>
      </c>
      <c r="G579" s="40">
        <v>699.90899999999999</v>
      </c>
      <c r="H579" s="40">
        <v>649.154</v>
      </c>
      <c r="I579" s="40">
        <v>649.154</v>
      </c>
      <c r="J579" s="40">
        <v>0</v>
      </c>
      <c r="K579" s="64" t="s">
        <v>38</v>
      </c>
      <c r="L579" s="76" t="s">
        <v>875</v>
      </c>
      <c r="M579" s="43" t="s">
        <v>876</v>
      </c>
    </row>
    <row r="580" spans="1:13" ht="108" x14ac:dyDescent="0.25">
      <c r="A580" s="1">
        <v>18</v>
      </c>
      <c r="B580" s="44">
        <f t="shared" si="52"/>
        <v>19</v>
      </c>
      <c r="C580" s="37" t="s">
        <v>877</v>
      </c>
      <c r="D580" s="38">
        <v>2016</v>
      </c>
      <c r="E580" s="39">
        <f>406.21-81.31</f>
        <v>324.89999999999998</v>
      </c>
      <c r="F580" s="40">
        <v>324.89999999999998</v>
      </c>
      <c r="G580" s="40">
        <v>324.89999999999998</v>
      </c>
      <c r="H580" s="40">
        <v>324.89999999999998</v>
      </c>
      <c r="I580" s="40">
        <v>324.89999999999998</v>
      </c>
      <c r="J580" s="40">
        <v>0</v>
      </c>
      <c r="K580" s="64" t="s">
        <v>38</v>
      </c>
      <c r="L580" s="76" t="s">
        <v>878</v>
      </c>
      <c r="M580" s="43" t="s">
        <v>879</v>
      </c>
    </row>
    <row r="581" spans="1:13" ht="85.5" x14ac:dyDescent="0.25">
      <c r="A581" s="1">
        <v>18</v>
      </c>
      <c r="B581" s="44">
        <f t="shared" si="52"/>
        <v>20</v>
      </c>
      <c r="C581" s="37" t="s">
        <v>880</v>
      </c>
      <c r="D581" s="38">
        <v>2016</v>
      </c>
      <c r="E581" s="39">
        <f>2302.266-47.213</f>
        <v>2255.0529999999999</v>
      </c>
      <c r="F581" s="40">
        <v>2255.0529999999999</v>
      </c>
      <c r="G581" s="40">
        <v>2255.0529999999999</v>
      </c>
      <c r="H581" s="40">
        <v>2255.0529999999999</v>
      </c>
      <c r="I581" s="40">
        <v>2255.0529999999999</v>
      </c>
      <c r="J581" s="40">
        <v>0</v>
      </c>
      <c r="K581" s="64" t="s">
        <v>38</v>
      </c>
      <c r="L581" s="76" t="s">
        <v>881</v>
      </c>
      <c r="M581" s="43"/>
    </row>
    <row r="582" spans="1:13" ht="72" x14ac:dyDescent="0.25">
      <c r="A582" s="1">
        <v>18</v>
      </c>
      <c r="B582" s="36">
        <f t="shared" si="52"/>
        <v>21</v>
      </c>
      <c r="C582" s="37" t="s">
        <v>882</v>
      </c>
      <c r="D582" s="38">
        <v>2016</v>
      </c>
      <c r="E582" s="39">
        <v>712.29600000000005</v>
      </c>
      <c r="F582" s="40">
        <v>712.29600000000005</v>
      </c>
      <c r="G582" s="40">
        <v>712.29600000000005</v>
      </c>
      <c r="H582" s="40">
        <v>712.29600000000005</v>
      </c>
      <c r="I582" s="40">
        <v>712.29600000000005</v>
      </c>
      <c r="J582" s="40">
        <v>0</v>
      </c>
      <c r="K582" s="64" t="s">
        <v>38</v>
      </c>
      <c r="L582" s="76" t="s">
        <v>883</v>
      </c>
      <c r="M582" s="43"/>
    </row>
    <row r="583" spans="1:13" ht="128.25" x14ac:dyDescent="0.25">
      <c r="A583" s="1">
        <v>18</v>
      </c>
      <c r="B583" s="36">
        <f t="shared" si="52"/>
        <v>22</v>
      </c>
      <c r="C583" s="37" t="s">
        <v>884</v>
      </c>
      <c r="D583" s="38" t="s">
        <v>49</v>
      </c>
      <c r="E583" s="39">
        <v>568.51099999999997</v>
      </c>
      <c r="F583" s="40">
        <v>568.51099999999997</v>
      </c>
      <c r="G583" s="40">
        <v>568.51099999999997</v>
      </c>
      <c r="H583" s="40">
        <v>548.92600000000004</v>
      </c>
      <c r="I583" s="40">
        <v>548.92600000000004</v>
      </c>
      <c r="J583" s="40">
        <v>0</v>
      </c>
      <c r="K583" s="64" t="s">
        <v>38</v>
      </c>
      <c r="L583" s="76" t="s">
        <v>885</v>
      </c>
      <c r="M583" s="43"/>
    </row>
    <row r="584" spans="1:13" ht="90" x14ac:dyDescent="0.25">
      <c r="A584" s="1">
        <v>18</v>
      </c>
      <c r="B584" s="44">
        <f t="shared" si="52"/>
        <v>23</v>
      </c>
      <c r="C584" s="37" t="s">
        <v>886</v>
      </c>
      <c r="D584" s="38">
        <v>2016</v>
      </c>
      <c r="E584" s="39">
        <f>677.248-5.154</f>
        <v>672.09400000000005</v>
      </c>
      <c r="F584" s="40">
        <v>672.09400000000005</v>
      </c>
      <c r="G584" s="40">
        <v>672.09400000000005</v>
      </c>
      <c r="H584" s="40">
        <v>672.09400000000005</v>
      </c>
      <c r="I584" s="40">
        <v>672.09400000000005</v>
      </c>
      <c r="J584" s="40">
        <v>0</v>
      </c>
      <c r="K584" s="64" t="s">
        <v>38</v>
      </c>
      <c r="L584" s="42" t="s">
        <v>887</v>
      </c>
      <c r="M584" s="43" t="s">
        <v>888</v>
      </c>
    </row>
    <row r="585" spans="1:13" ht="72" x14ac:dyDescent="0.25">
      <c r="A585" s="1">
        <v>18</v>
      </c>
      <c r="B585" s="36">
        <f t="shared" si="52"/>
        <v>24</v>
      </c>
      <c r="C585" s="37" t="s">
        <v>889</v>
      </c>
      <c r="D585" s="38">
        <v>2016</v>
      </c>
      <c r="E585" s="39">
        <v>423.37599999999998</v>
      </c>
      <c r="F585" s="40">
        <v>423.37599999999998</v>
      </c>
      <c r="G585" s="40">
        <v>423.37599999999998</v>
      </c>
      <c r="H585" s="40">
        <v>423.02</v>
      </c>
      <c r="I585" s="40">
        <v>423.02</v>
      </c>
      <c r="J585" s="40">
        <v>0</v>
      </c>
      <c r="K585" s="64" t="s">
        <v>106</v>
      </c>
      <c r="L585" s="73" t="s">
        <v>39</v>
      </c>
      <c r="M585" s="43"/>
    </row>
    <row r="586" spans="1:13" ht="114" x14ac:dyDescent="0.25">
      <c r="A586" s="1">
        <v>18</v>
      </c>
      <c r="B586" s="36">
        <f t="shared" si="52"/>
        <v>25</v>
      </c>
      <c r="C586" s="79" t="s">
        <v>890</v>
      </c>
      <c r="D586" s="92">
        <v>2016</v>
      </c>
      <c r="E586" s="39">
        <v>808.48599999999999</v>
      </c>
      <c r="F586" s="40">
        <v>808.48599999999999</v>
      </c>
      <c r="G586" s="40">
        <v>808.48599999999999</v>
      </c>
      <c r="H586" s="40">
        <v>808.48599999999999</v>
      </c>
      <c r="I586" s="40">
        <v>808.48599999999999</v>
      </c>
      <c r="J586" s="40">
        <v>0</v>
      </c>
      <c r="K586" s="64" t="s">
        <v>38</v>
      </c>
      <c r="L586" s="76" t="s">
        <v>891</v>
      </c>
      <c r="M586" s="43"/>
    </row>
    <row r="587" spans="1:13" ht="199.5" x14ac:dyDescent="0.25">
      <c r="A587" s="1">
        <v>18</v>
      </c>
      <c r="B587" s="36">
        <f t="shared" si="52"/>
        <v>26</v>
      </c>
      <c r="C587" s="79" t="s">
        <v>892</v>
      </c>
      <c r="D587" s="92">
        <v>2016</v>
      </c>
      <c r="E587" s="39">
        <v>1132.6410000000001</v>
      </c>
      <c r="F587" s="40">
        <v>1132.6410000000001</v>
      </c>
      <c r="G587" s="40">
        <v>1132.6410000000001</v>
      </c>
      <c r="H587" s="40">
        <v>1119.1089999999999</v>
      </c>
      <c r="I587" s="40">
        <v>1119.1089999999999</v>
      </c>
      <c r="J587" s="40">
        <v>0</v>
      </c>
      <c r="K587" s="64" t="s">
        <v>38</v>
      </c>
      <c r="L587" s="76" t="s">
        <v>893</v>
      </c>
      <c r="M587" s="43" t="s">
        <v>157</v>
      </c>
    </row>
    <row r="588" spans="1:13" ht="144" x14ac:dyDescent="0.25">
      <c r="A588" s="1">
        <v>18</v>
      </c>
      <c r="B588" s="44">
        <f t="shared" si="52"/>
        <v>27</v>
      </c>
      <c r="C588" s="79" t="s">
        <v>894</v>
      </c>
      <c r="D588" s="92" t="s">
        <v>37</v>
      </c>
      <c r="E588" s="39">
        <f>1119-147.9</f>
        <v>971.1</v>
      </c>
      <c r="F588" s="40">
        <v>971.1</v>
      </c>
      <c r="G588" s="40">
        <v>971.1</v>
      </c>
      <c r="H588" s="40">
        <v>971.1</v>
      </c>
      <c r="I588" s="40">
        <v>971.1</v>
      </c>
      <c r="J588" s="40">
        <v>0</v>
      </c>
      <c r="K588" s="64" t="s">
        <v>38</v>
      </c>
      <c r="L588" s="76" t="s">
        <v>895</v>
      </c>
      <c r="M588" s="43" t="s">
        <v>157</v>
      </c>
    </row>
    <row r="589" spans="1:13" ht="108" x14ac:dyDescent="0.25">
      <c r="A589" s="1">
        <v>18</v>
      </c>
      <c r="B589" s="36">
        <f t="shared" si="52"/>
        <v>28</v>
      </c>
      <c r="C589" s="37" t="s">
        <v>896</v>
      </c>
      <c r="D589" s="38">
        <v>2016</v>
      </c>
      <c r="E589" s="39">
        <v>1720</v>
      </c>
      <c r="F589" s="40">
        <v>1720</v>
      </c>
      <c r="G589" s="40">
        <v>1720</v>
      </c>
      <c r="H589" s="40">
        <f>1662.629-0.00086</f>
        <v>1662.6281399999998</v>
      </c>
      <c r="I589" s="40">
        <f>1662.629-0.00086</f>
        <v>1662.6281399999998</v>
      </c>
      <c r="J589" s="40">
        <v>0</v>
      </c>
      <c r="K589" s="64" t="s">
        <v>38</v>
      </c>
      <c r="L589" s="76" t="s">
        <v>897</v>
      </c>
      <c r="M589" s="43" t="s">
        <v>157</v>
      </c>
    </row>
    <row r="590" spans="1:13" ht="162" x14ac:dyDescent="0.25">
      <c r="A590" s="1">
        <v>18</v>
      </c>
      <c r="B590" s="44">
        <f t="shared" si="52"/>
        <v>29</v>
      </c>
      <c r="C590" s="37" t="s">
        <v>898</v>
      </c>
      <c r="D590" s="38">
        <v>2016</v>
      </c>
      <c r="E590" s="39">
        <f>1264.4-144.818</f>
        <v>1119.5820000000001</v>
      </c>
      <c r="F590" s="40">
        <v>1119.5820000000001</v>
      </c>
      <c r="G590" s="40">
        <v>1119.5820000000001</v>
      </c>
      <c r="H590" s="40">
        <v>1119.5820000000001</v>
      </c>
      <c r="I590" s="40">
        <v>1119.5820000000001</v>
      </c>
      <c r="J590" s="40">
        <v>0</v>
      </c>
      <c r="K590" s="64" t="s">
        <v>38</v>
      </c>
      <c r="L590" s="76" t="s">
        <v>899</v>
      </c>
      <c r="M590" s="43" t="s">
        <v>157</v>
      </c>
    </row>
    <row r="591" spans="1:13" ht="72" x14ac:dyDescent="0.25">
      <c r="A591" s="1">
        <v>18</v>
      </c>
      <c r="B591" s="36">
        <f t="shared" si="52"/>
        <v>30</v>
      </c>
      <c r="C591" s="37" t="s">
        <v>900</v>
      </c>
      <c r="D591" s="38">
        <v>2016</v>
      </c>
      <c r="E591" s="39">
        <v>439.37099999999998</v>
      </c>
      <c r="F591" s="40">
        <v>439.37099999999998</v>
      </c>
      <c r="G591" s="40">
        <v>439.37099999999998</v>
      </c>
      <c r="H591" s="40">
        <v>427.83699999999999</v>
      </c>
      <c r="I591" s="40">
        <v>427.83699999999999</v>
      </c>
      <c r="J591" s="40">
        <v>0</v>
      </c>
      <c r="K591" s="64" t="s">
        <v>38</v>
      </c>
      <c r="L591" s="42" t="s">
        <v>901</v>
      </c>
      <c r="M591" s="43" t="s">
        <v>902</v>
      </c>
    </row>
    <row r="592" spans="1:13" ht="54" x14ac:dyDescent="0.25">
      <c r="A592" s="1">
        <v>18</v>
      </c>
      <c r="B592" s="36">
        <f t="shared" si="52"/>
        <v>31</v>
      </c>
      <c r="C592" s="37" t="s">
        <v>903</v>
      </c>
      <c r="D592" s="38">
        <v>2016</v>
      </c>
      <c r="E592" s="39">
        <v>214.53700000000001</v>
      </c>
      <c r="F592" s="40">
        <v>214.53700000000001</v>
      </c>
      <c r="G592" s="40">
        <v>214.53700000000001</v>
      </c>
      <c r="H592" s="39">
        <v>192.221</v>
      </c>
      <c r="I592" s="39">
        <v>192.221</v>
      </c>
      <c r="J592" s="39">
        <v>0</v>
      </c>
      <c r="K592" s="64" t="s">
        <v>38</v>
      </c>
      <c r="L592" s="42" t="s">
        <v>904</v>
      </c>
      <c r="M592" s="81" t="s">
        <v>905</v>
      </c>
    </row>
    <row r="593" spans="1:13" ht="54" x14ac:dyDescent="0.25">
      <c r="A593" s="1">
        <v>18</v>
      </c>
      <c r="B593" s="36">
        <f t="shared" si="52"/>
        <v>32</v>
      </c>
      <c r="C593" s="37" t="s">
        <v>906</v>
      </c>
      <c r="D593" s="38">
        <v>2016</v>
      </c>
      <c r="E593" s="40">
        <v>915.61900000000003</v>
      </c>
      <c r="F593" s="40">
        <v>915.61900000000003</v>
      </c>
      <c r="G593" s="40">
        <v>915.61900000000003</v>
      </c>
      <c r="H593" s="39">
        <v>435.03899999999999</v>
      </c>
      <c r="I593" s="39">
        <v>435.03899999999999</v>
      </c>
      <c r="J593" s="39">
        <v>0</v>
      </c>
      <c r="K593" s="41" t="s">
        <v>28</v>
      </c>
      <c r="L593" s="75" t="s">
        <v>907</v>
      </c>
      <c r="M593" s="81"/>
    </row>
    <row r="594" spans="1:13" ht="54" x14ac:dyDescent="0.25">
      <c r="A594" s="1">
        <v>18</v>
      </c>
      <c r="B594" s="36">
        <f t="shared" si="52"/>
        <v>33</v>
      </c>
      <c r="C594" s="37" t="s">
        <v>908</v>
      </c>
      <c r="D594" s="38" t="s">
        <v>49</v>
      </c>
      <c r="E594" s="39">
        <v>335.416</v>
      </c>
      <c r="F594" s="40">
        <v>335.416</v>
      </c>
      <c r="G594" s="40">
        <v>335.416</v>
      </c>
      <c r="H594" s="39">
        <v>131.44399999999999</v>
      </c>
      <c r="I594" s="39">
        <v>131.44399999999999</v>
      </c>
      <c r="J594" s="39">
        <v>0</v>
      </c>
      <c r="K594" s="41" t="s">
        <v>38</v>
      </c>
      <c r="L594" s="42" t="s">
        <v>909</v>
      </c>
      <c r="M594" s="81" t="s">
        <v>910</v>
      </c>
    </row>
    <row r="595" spans="1:13" ht="171" x14ac:dyDescent="0.25">
      <c r="A595" s="1">
        <v>18</v>
      </c>
      <c r="B595" s="36">
        <f t="shared" si="52"/>
        <v>34</v>
      </c>
      <c r="C595" s="37" t="s">
        <v>911</v>
      </c>
      <c r="D595" s="38">
        <v>2016</v>
      </c>
      <c r="E595" s="39">
        <v>334.673</v>
      </c>
      <c r="F595" s="40">
        <v>334.673</v>
      </c>
      <c r="G595" s="40">
        <v>334.673</v>
      </c>
      <c r="H595" s="39">
        <v>334.673</v>
      </c>
      <c r="I595" s="39">
        <v>334.673</v>
      </c>
      <c r="J595" s="39">
        <v>0</v>
      </c>
      <c r="K595" s="41" t="s">
        <v>306</v>
      </c>
      <c r="L595" s="94" t="s">
        <v>912</v>
      </c>
      <c r="M595" s="81" t="s">
        <v>913</v>
      </c>
    </row>
    <row r="596" spans="1:13" ht="162" x14ac:dyDescent="0.25">
      <c r="A596" s="1">
        <v>18</v>
      </c>
      <c r="B596" s="36">
        <f t="shared" si="52"/>
        <v>35</v>
      </c>
      <c r="C596" s="37" t="s">
        <v>914</v>
      </c>
      <c r="D596" s="38">
        <v>2016</v>
      </c>
      <c r="E596" s="40">
        <v>3000</v>
      </c>
      <c r="F596" s="40">
        <v>3000</v>
      </c>
      <c r="G596" s="40">
        <v>3000</v>
      </c>
      <c r="H596" s="39">
        <v>1296.894</v>
      </c>
      <c r="I596" s="39">
        <v>1296.894</v>
      </c>
      <c r="J596" s="39">
        <v>0</v>
      </c>
      <c r="K596" s="41" t="s">
        <v>28</v>
      </c>
      <c r="L596" s="94"/>
      <c r="M596" s="81"/>
    </row>
    <row r="597" spans="1:13" ht="72" x14ac:dyDescent="0.25">
      <c r="A597" s="1">
        <v>18</v>
      </c>
      <c r="B597" s="44">
        <f t="shared" si="52"/>
        <v>36</v>
      </c>
      <c r="C597" s="37" t="s">
        <v>915</v>
      </c>
      <c r="D597" s="38">
        <v>2016</v>
      </c>
      <c r="E597" s="39">
        <f>382.744-44.435</f>
        <v>338.30900000000003</v>
      </c>
      <c r="F597" s="40">
        <v>338.30900000000003</v>
      </c>
      <c r="G597" s="40">
        <v>338.30900000000003</v>
      </c>
      <c r="H597" s="39">
        <v>338.30900000000003</v>
      </c>
      <c r="I597" s="39">
        <v>338.30900000000003</v>
      </c>
      <c r="J597" s="39">
        <v>0</v>
      </c>
      <c r="K597" s="64" t="s">
        <v>38</v>
      </c>
      <c r="L597" s="73" t="s">
        <v>916</v>
      </c>
      <c r="M597" s="43"/>
    </row>
    <row r="598" spans="1:13" ht="171" x14ac:dyDescent="0.25">
      <c r="A598" s="1">
        <v>18</v>
      </c>
      <c r="B598" s="36">
        <f t="shared" si="52"/>
        <v>37</v>
      </c>
      <c r="C598" s="37" t="s">
        <v>917</v>
      </c>
      <c r="D598" s="38">
        <v>2016</v>
      </c>
      <c r="E598" s="39">
        <v>1625.9490000000001</v>
      </c>
      <c r="F598" s="40">
        <v>1625.9490000000001</v>
      </c>
      <c r="G598" s="40">
        <v>1625.9490000000001</v>
      </c>
      <c r="H598" s="39">
        <v>1469.3430000000001</v>
      </c>
      <c r="I598" s="39">
        <v>1469.3430000000001</v>
      </c>
      <c r="J598" s="39">
        <v>0</v>
      </c>
      <c r="K598" s="64" t="s">
        <v>38</v>
      </c>
      <c r="L598" s="94" t="s">
        <v>918</v>
      </c>
      <c r="M598" s="43"/>
    </row>
    <row r="599" spans="1:13" ht="71.25" x14ac:dyDescent="0.25">
      <c r="A599" s="1">
        <v>18</v>
      </c>
      <c r="B599" s="44">
        <f t="shared" si="52"/>
        <v>38</v>
      </c>
      <c r="C599" s="37" t="s">
        <v>919</v>
      </c>
      <c r="D599" s="38">
        <v>2016</v>
      </c>
      <c r="E599" s="39">
        <f>307.9-24.58</f>
        <v>283.32</v>
      </c>
      <c r="F599" s="40">
        <v>283.32</v>
      </c>
      <c r="G599" s="40">
        <v>283.32</v>
      </c>
      <c r="H599" s="39">
        <v>283.32</v>
      </c>
      <c r="I599" s="39">
        <v>283.32</v>
      </c>
      <c r="J599" s="39">
        <v>0</v>
      </c>
      <c r="K599" s="64" t="s">
        <v>38</v>
      </c>
      <c r="L599" s="94" t="s">
        <v>920</v>
      </c>
      <c r="M599" s="81" t="s">
        <v>921</v>
      </c>
    </row>
    <row r="600" spans="1:13" ht="90" x14ac:dyDescent="0.25">
      <c r="A600" s="1">
        <v>18</v>
      </c>
      <c r="B600" s="36">
        <f t="shared" si="52"/>
        <v>39</v>
      </c>
      <c r="C600" s="37" t="s">
        <v>922</v>
      </c>
      <c r="D600" s="38">
        <v>2016</v>
      </c>
      <c r="E600" s="39">
        <v>244.761</v>
      </c>
      <c r="F600" s="40">
        <v>244.761</v>
      </c>
      <c r="G600" s="40">
        <v>244.761</v>
      </c>
      <c r="H600" s="39">
        <v>244.761</v>
      </c>
      <c r="I600" s="39">
        <v>244.761</v>
      </c>
      <c r="J600" s="39">
        <v>0</v>
      </c>
      <c r="K600" s="64" t="s">
        <v>38</v>
      </c>
      <c r="L600" s="73" t="s">
        <v>923</v>
      </c>
      <c r="M600" s="43"/>
    </row>
    <row r="601" spans="1:13" ht="72" x14ac:dyDescent="0.25">
      <c r="A601" s="1">
        <v>18</v>
      </c>
      <c r="B601" s="36">
        <f t="shared" si="52"/>
        <v>40</v>
      </c>
      <c r="C601" s="37" t="s">
        <v>924</v>
      </c>
      <c r="D601" s="38">
        <v>2016</v>
      </c>
      <c r="E601" s="39">
        <v>354.70400000000001</v>
      </c>
      <c r="F601" s="40">
        <v>354.70400000000001</v>
      </c>
      <c r="G601" s="40">
        <v>354.70400000000001</v>
      </c>
      <c r="H601" s="39">
        <v>354.70400000000001</v>
      </c>
      <c r="I601" s="39">
        <v>354.70400000000001</v>
      </c>
      <c r="J601" s="39">
        <v>0</v>
      </c>
      <c r="K601" s="64" t="s">
        <v>38</v>
      </c>
      <c r="L601" s="73" t="s">
        <v>925</v>
      </c>
      <c r="M601" s="43"/>
    </row>
    <row r="602" spans="1:13" ht="72" x14ac:dyDescent="0.25">
      <c r="A602" s="1">
        <v>18</v>
      </c>
      <c r="B602" s="36">
        <f t="shared" si="52"/>
        <v>41</v>
      </c>
      <c r="C602" s="37" t="s">
        <v>926</v>
      </c>
      <c r="D602" s="38">
        <v>2016</v>
      </c>
      <c r="E602" s="39">
        <v>419.911</v>
      </c>
      <c r="F602" s="40">
        <v>419.911</v>
      </c>
      <c r="G602" s="40">
        <v>419.911</v>
      </c>
      <c r="H602" s="39">
        <v>419.911</v>
      </c>
      <c r="I602" s="39">
        <v>419.911</v>
      </c>
      <c r="J602" s="39">
        <v>0</v>
      </c>
      <c r="K602" s="64" t="s">
        <v>38</v>
      </c>
      <c r="L602" s="73" t="s">
        <v>927</v>
      </c>
      <c r="M602" s="43"/>
    </row>
    <row r="603" spans="1:13" ht="54" x14ac:dyDescent="0.25">
      <c r="A603" s="1">
        <v>18</v>
      </c>
      <c r="B603" s="36">
        <f t="shared" si="52"/>
        <v>42</v>
      </c>
      <c r="C603" s="37" t="s">
        <v>928</v>
      </c>
      <c r="D603" s="38">
        <v>2016</v>
      </c>
      <c r="E603" s="39">
        <v>314.45600000000002</v>
      </c>
      <c r="F603" s="40">
        <v>314.45600000000002</v>
      </c>
      <c r="G603" s="40">
        <v>314.45600000000002</v>
      </c>
      <c r="H603" s="39">
        <v>314.45600000000002</v>
      </c>
      <c r="I603" s="39">
        <v>314.45600000000002</v>
      </c>
      <c r="J603" s="39">
        <v>0</v>
      </c>
      <c r="K603" s="64" t="s">
        <v>38</v>
      </c>
      <c r="L603" s="73" t="s">
        <v>929</v>
      </c>
      <c r="M603" s="43"/>
    </row>
    <row r="604" spans="1:13" ht="54" x14ac:dyDescent="0.25">
      <c r="A604" s="1">
        <v>18</v>
      </c>
      <c r="B604" s="36">
        <f t="shared" si="52"/>
        <v>43</v>
      </c>
      <c r="C604" s="37" t="s">
        <v>930</v>
      </c>
      <c r="D604" s="38">
        <v>2016</v>
      </c>
      <c r="E604" s="39">
        <v>334.70499999999998</v>
      </c>
      <c r="F604" s="40">
        <v>334.70499999999998</v>
      </c>
      <c r="G604" s="40">
        <v>334.70499999999998</v>
      </c>
      <c r="H604" s="39">
        <v>334.70499999999998</v>
      </c>
      <c r="I604" s="39">
        <v>334.70499999999998</v>
      </c>
      <c r="J604" s="39">
        <v>0</v>
      </c>
      <c r="K604" s="64" t="s">
        <v>38</v>
      </c>
      <c r="L604" s="73" t="s">
        <v>931</v>
      </c>
      <c r="M604" s="43"/>
    </row>
    <row r="605" spans="1:13" ht="108" x14ac:dyDescent="0.25">
      <c r="A605" s="1">
        <v>18</v>
      </c>
      <c r="B605" s="36">
        <f t="shared" si="52"/>
        <v>44</v>
      </c>
      <c r="C605" s="37" t="s">
        <v>932</v>
      </c>
      <c r="D605" s="38">
        <v>2016</v>
      </c>
      <c r="E605" s="39">
        <v>700</v>
      </c>
      <c r="F605" s="40">
        <v>700</v>
      </c>
      <c r="G605" s="40">
        <v>700</v>
      </c>
      <c r="H605" s="39">
        <v>700</v>
      </c>
      <c r="I605" s="39">
        <v>700</v>
      </c>
      <c r="J605" s="39">
        <v>0</v>
      </c>
      <c r="K605" s="64" t="s">
        <v>38</v>
      </c>
      <c r="L605" s="73" t="s">
        <v>933</v>
      </c>
      <c r="M605" s="43"/>
    </row>
    <row r="606" spans="1:13" ht="126" x14ac:dyDescent="0.25">
      <c r="A606" s="1">
        <v>18</v>
      </c>
      <c r="B606" s="36">
        <f t="shared" si="52"/>
        <v>45</v>
      </c>
      <c r="C606" s="37" t="s">
        <v>934</v>
      </c>
      <c r="D606" s="38">
        <v>2016</v>
      </c>
      <c r="E606" s="39">
        <v>700</v>
      </c>
      <c r="F606" s="40">
        <v>700</v>
      </c>
      <c r="G606" s="40">
        <v>700</v>
      </c>
      <c r="H606" s="39">
        <v>700</v>
      </c>
      <c r="I606" s="39">
        <v>700</v>
      </c>
      <c r="J606" s="39">
        <v>0</v>
      </c>
      <c r="K606" s="64" t="s">
        <v>38</v>
      </c>
      <c r="L606" s="73" t="s">
        <v>935</v>
      </c>
      <c r="M606" s="43"/>
    </row>
    <row r="607" spans="1:13" ht="54" x14ac:dyDescent="0.25">
      <c r="A607" s="1">
        <v>18</v>
      </c>
      <c r="B607" s="36">
        <f t="shared" si="52"/>
        <v>46</v>
      </c>
      <c r="C607" s="37" t="s">
        <v>936</v>
      </c>
      <c r="D607" s="38">
        <v>2016</v>
      </c>
      <c r="E607" s="39">
        <v>1435</v>
      </c>
      <c r="F607" s="40">
        <v>1435</v>
      </c>
      <c r="G607" s="40">
        <v>1435</v>
      </c>
      <c r="H607" s="39">
        <v>1278.644</v>
      </c>
      <c r="I607" s="39">
        <v>1278.644</v>
      </c>
      <c r="J607" s="39">
        <v>0</v>
      </c>
      <c r="K607" s="64" t="s">
        <v>38</v>
      </c>
      <c r="L607" s="73" t="s">
        <v>937</v>
      </c>
      <c r="M607" s="43"/>
    </row>
    <row r="608" spans="1:13" ht="71.25" x14ac:dyDescent="0.25">
      <c r="A608" s="1">
        <v>18</v>
      </c>
      <c r="B608" s="44">
        <f t="shared" si="52"/>
        <v>47</v>
      </c>
      <c r="C608" s="37" t="s">
        <v>938</v>
      </c>
      <c r="D608" s="38">
        <v>2016</v>
      </c>
      <c r="E608" s="40">
        <f>2226-57.3</f>
        <v>2168.6999999999998</v>
      </c>
      <c r="F608" s="40">
        <v>2168.6999999999998</v>
      </c>
      <c r="G608" s="40">
        <v>2168.6999999999998</v>
      </c>
      <c r="H608" s="39">
        <v>2168.663</v>
      </c>
      <c r="I608" s="39">
        <v>2168.663</v>
      </c>
      <c r="J608" s="39">
        <v>0</v>
      </c>
      <c r="K608" s="41" t="s">
        <v>939</v>
      </c>
      <c r="L608" s="94" t="s">
        <v>940</v>
      </c>
      <c r="M608" s="43"/>
    </row>
    <row r="609" spans="1:13" ht="90" x14ac:dyDescent="0.25">
      <c r="A609" s="1">
        <v>18</v>
      </c>
      <c r="B609" s="36">
        <f t="shared" si="52"/>
        <v>48</v>
      </c>
      <c r="C609" s="37" t="s">
        <v>941</v>
      </c>
      <c r="D609" s="38">
        <v>2016</v>
      </c>
      <c r="E609" s="39">
        <v>810</v>
      </c>
      <c r="F609" s="40">
        <v>810</v>
      </c>
      <c r="G609" s="40">
        <v>810</v>
      </c>
      <c r="H609" s="39">
        <v>810</v>
      </c>
      <c r="I609" s="39">
        <v>810</v>
      </c>
      <c r="J609" s="39">
        <v>0</v>
      </c>
      <c r="K609" s="64" t="s">
        <v>38</v>
      </c>
      <c r="L609" s="94" t="s">
        <v>942</v>
      </c>
      <c r="M609" s="81" t="s">
        <v>943</v>
      </c>
    </row>
    <row r="610" spans="1:13" ht="90" x14ac:dyDescent="0.25">
      <c r="A610" s="1">
        <v>18</v>
      </c>
      <c r="B610" s="36">
        <f t="shared" si="52"/>
        <v>49</v>
      </c>
      <c r="C610" s="37" t="s">
        <v>944</v>
      </c>
      <c r="D610" s="38">
        <v>2016</v>
      </c>
      <c r="E610" s="40">
        <v>471.53699999999998</v>
      </c>
      <c r="F610" s="40">
        <v>471.53699999999998</v>
      </c>
      <c r="G610" s="40">
        <v>471.53699999999998</v>
      </c>
      <c r="H610" s="39">
        <v>0</v>
      </c>
      <c r="I610" s="39">
        <v>0</v>
      </c>
      <c r="J610" s="39">
        <v>0</v>
      </c>
      <c r="K610" s="41" t="s">
        <v>28</v>
      </c>
      <c r="L610" s="94"/>
      <c r="M610" s="81"/>
    </row>
    <row r="611" spans="1:13" ht="90" x14ac:dyDescent="0.25">
      <c r="A611" s="1">
        <v>18</v>
      </c>
      <c r="B611" s="44">
        <f t="shared" si="52"/>
        <v>50</v>
      </c>
      <c r="C611" s="37" t="s">
        <v>945</v>
      </c>
      <c r="D611" s="38">
        <v>2016</v>
      </c>
      <c r="E611" s="39">
        <f>523.037-42.578</f>
        <v>480.45900000000006</v>
      </c>
      <c r="F611" s="40">
        <v>480.45900000000006</v>
      </c>
      <c r="G611" s="40">
        <v>480.45900000000006</v>
      </c>
      <c r="H611" s="39">
        <v>480.459</v>
      </c>
      <c r="I611" s="39">
        <v>480.459</v>
      </c>
      <c r="J611" s="39">
        <v>0</v>
      </c>
      <c r="K611" s="41" t="s">
        <v>306</v>
      </c>
      <c r="L611" s="94" t="s">
        <v>946</v>
      </c>
      <c r="M611" s="81" t="s">
        <v>947</v>
      </c>
    </row>
    <row r="612" spans="1:13" ht="54" x14ac:dyDescent="0.25">
      <c r="A612" s="1">
        <v>18</v>
      </c>
      <c r="B612" s="44">
        <f t="shared" si="52"/>
        <v>51</v>
      </c>
      <c r="C612" s="37" t="s">
        <v>948</v>
      </c>
      <c r="D612" s="38">
        <v>2016</v>
      </c>
      <c r="E612" s="39">
        <f>627-278.91</f>
        <v>348.09</v>
      </c>
      <c r="F612" s="40">
        <v>348.09</v>
      </c>
      <c r="G612" s="40">
        <v>348.09</v>
      </c>
      <c r="H612" s="39">
        <v>348.09</v>
      </c>
      <c r="I612" s="39">
        <v>348.09</v>
      </c>
      <c r="J612" s="39">
        <v>0</v>
      </c>
      <c r="K612" s="64" t="s">
        <v>38</v>
      </c>
      <c r="L612" s="73" t="s">
        <v>372</v>
      </c>
      <c r="M612" s="43"/>
    </row>
    <row r="613" spans="1:13" ht="54" x14ac:dyDescent="0.25">
      <c r="A613" s="1">
        <v>18</v>
      </c>
      <c r="B613" s="36">
        <f t="shared" si="52"/>
        <v>52</v>
      </c>
      <c r="C613" s="37" t="s">
        <v>949</v>
      </c>
      <c r="D613" s="38">
        <v>2016</v>
      </c>
      <c r="E613" s="39">
        <v>578.29600000000005</v>
      </c>
      <c r="F613" s="40">
        <v>578.29600000000005</v>
      </c>
      <c r="G613" s="40">
        <v>578.29600000000005</v>
      </c>
      <c r="H613" s="39">
        <v>578.26400000000001</v>
      </c>
      <c r="I613" s="39">
        <v>578.26400000000001</v>
      </c>
      <c r="J613" s="39">
        <v>0</v>
      </c>
      <c r="K613" s="64" t="s">
        <v>38</v>
      </c>
      <c r="L613" s="73" t="s">
        <v>460</v>
      </c>
      <c r="M613" s="43"/>
    </row>
    <row r="614" spans="1:13" ht="72" x14ac:dyDescent="0.25">
      <c r="A614" s="1">
        <v>18</v>
      </c>
      <c r="B614" s="44">
        <f t="shared" si="52"/>
        <v>53</v>
      </c>
      <c r="C614" s="37" t="s">
        <v>950</v>
      </c>
      <c r="D614" s="38">
        <v>2016</v>
      </c>
      <c r="E614" s="39">
        <f>1019.566-236.363</f>
        <v>783.20299999999997</v>
      </c>
      <c r="F614" s="40">
        <v>783.20299999999997</v>
      </c>
      <c r="G614" s="40">
        <v>783.20299999999997</v>
      </c>
      <c r="H614" s="39">
        <v>783.20299999999997</v>
      </c>
      <c r="I614" s="39">
        <v>783.20299999999997</v>
      </c>
      <c r="J614" s="39">
        <v>0</v>
      </c>
      <c r="K614" s="64" t="s">
        <v>38</v>
      </c>
      <c r="L614" s="73" t="s">
        <v>951</v>
      </c>
      <c r="M614" s="43"/>
    </row>
    <row r="615" spans="1:13" ht="313.5" x14ac:dyDescent="0.25">
      <c r="A615" s="1">
        <v>18</v>
      </c>
      <c r="B615" s="36">
        <f t="shared" si="52"/>
        <v>54</v>
      </c>
      <c r="C615" s="37" t="s">
        <v>952</v>
      </c>
      <c r="D615" s="38">
        <v>2016</v>
      </c>
      <c r="E615" s="40">
        <v>1100</v>
      </c>
      <c r="F615" s="40">
        <v>1100</v>
      </c>
      <c r="G615" s="40">
        <v>1100</v>
      </c>
      <c r="H615" s="39">
        <v>1100</v>
      </c>
      <c r="I615" s="39">
        <v>1100</v>
      </c>
      <c r="J615" s="39">
        <v>0</v>
      </c>
      <c r="K615" s="41" t="s">
        <v>28</v>
      </c>
      <c r="L615" s="75" t="s">
        <v>953</v>
      </c>
      <c r="M615" s="81"/>
    </row>
    <row r="616" spans="1:13" ht="54" x14ac:dyDescent="0.25">
      <c r="A616" s="1">
        <v>18</v>
      </c>
      <c r="B616" s="44">
        <f t="shared" si="52"/>
        <v>55</v>
      </c>
      <c r="C616" s="37" t="s">
        <v>954</v>
      </c>
      <c r="D616" s="38">
        <v>2016</v>
      </c>
      <c r="E616" s="39">
        <f>443.158-32.8</f>
        <v>410.358</v>
      </c>
      <c r="F616" s="40">
        <v>410.358</v>
      </c>
      <c r="G616" s="40">
        <v>410.358</v>
      </c>
      <c r="H616" s="39">
        <v>410.358</v>
      </c>
      <c r="I616" s="39">
        <v>410.358</v>
      </c>
      <c r="J616" s="39">
        <v>0</v>
      </c>
      <c r="K616" s="41" t="s">
        <v>939</v>
      </c>
      <c r="L616" s="73" t="s">
        <v>955</v>
      </c>
      <c r="M616" s="81"/>
    </row>
    <row r="617" spans="1:13" ht="72" x14ac:dyDescent="0.25">
      <c r="A617" s="1">
        <v>18</v>
      </c>
      <c r="B617" s="36">
        <f t="shared" si="52"/>
        <v>56</v>
      </c>
      <c r="C617" s="37" t="s">
        <v>956</v>
      </c>
      <c r="D617" s="38">
        <v>2016</v>
      </c>
      <c r="E617" s="39">
        <v>826.87800000000004</v>
      </c>
      <c r="F617" s="40">
        <v>826.87800000000004</v>
      </c>
      <c r="G617" s="40">
        <v>826.87800000000004</v>
      </c>
      <c r="H617" s="39">
        <v>672.95600000000002</v>
      </c>
      <c r="I617" s="39">
        <v>672.95600000000002</v>
      </c>
      <c r="J617" s="39">
        <v>0</v>
      </c>
      <c r="K617" s="41" t="s">
        <v>957</v>
      </c>
      <c r="L617" s="73" t="s">
        <v>510</v>
      </c>
      <c r="M617" s="81"/>
    </row>
    <row r="618" spans="1:13" ht="85.5" x14ac:dyDescent="0.25">
      <c r="A618" s="1">
        <v>18</v>
      </c>
      <c r="B618" s="36">
        <f t="shared" si="52"/>
        <v>57</v>
      </c>
      <c r="C618" s="37" t="s">
        <v>958</v>
      </c>
      <c r="D618" s="38">
        <v>2016</v>
      </c>
      <c r="E618" s="39">
        <v>330.31900000000002</v>
      </c>
      <c r="F618" s="40">
        <v>330.31900000000002</v>
      </c>
      <c r="G618" s="40">
        <v>330.31900000000002</v>
      </c>
      <c r="H618" s="39">
        <v>330.31900000000002</v>
      </c>
      <c r="I618" s="39">
        <v>330.31900000000002</v>
      </c>
      <c r="J618" s="39">
        <v>0</v>
      </c>
      <c r="K618" s="64" t="s">
        <v>38</v>
      </c>
      <c r="L618" s="94" t="s">
        <v>959</v>
      </c>
      <c r="M618" s="43"/>
    </row>
    <row r="619" spans="1:13" ht="114" x14ac:dyDescent="0.25">
      <c r="A619" s="1">
        <v>18</v>
      </c>
      <c r="B619" s="36">
        <f t="shared" si="52"/>
        <v>58</v>
      </c>
      <c r="C619" s="37" t="s">
        <v>960</v>
      </c>
      <c r="D619" s="38">
        <v>2016</v>
      </c>
      <c r="E619" s="39">
        <v>315</v>
      </c>
      <c r="F619" s="40">
        <v>315</v>
      </c>
      <c r="G619" s="40">
        <v>315</v>
      </c>
      <c r="H619" s="39">
        <v>315</v>
      </c>
      <c r="I619" s="39">
        <v>315</v>
      </c>
      <c r="J619" s="39">
        <v>0</v>
      </c>
      <c r="K619" s="64" t="s">
        <v>38</v>
      </c>
      <c r="L619" s="94" t="s">
        <v>961</v>
      </c>
      <c r="M619" s="43"/>
    </row>
    <row r="620" spans="1:13" ht="114" x14ac:dyDescent="0.25">
      <c r="A620" s="1">
        <v>18</v>
      </c>
      <c r="B620" s="36">
        <f t="shared" si="52"/>
        <v>59</v>
      </c>
      <c r="C620" s="37" t="s">
        <v>962</v>
      </c>
      <c r="D620" s="38">
        <v>2016</v>
      </c>
      <c r="E620" s="39">
        <v>630</v>
      </c>
      <c r="F620" s="40">
        <v>630</v>
      </c>
      <c r="G620" s="40">
        <v>630</v>
      </c>
      <c r="H620" s="39">
        <v>630</v>
      </c>
      <c r="I620" s="39">
        <v>630</v>
      </c>
      <c r="J620" s="39">
        <v>0</v>
      </c>
      <c r="K620" s="41" t="s">
        <v>38</v>
      </c>
      <c r="L620" s="94" t="s">
        <v>963</v>
      </c>
      <c r="M620" s="81"/>
    </row>
    <row r="621" spans="1:13" ht="142.5" x14ac:dyDescent="0.25">
      <c r="A621" s="1">
        <v>18</v>
      </c>
      <c r="B621" s="36">
        <f t="shared" si="52"/>
        <v>60</v>
      </c>
      <c r="C621" s="37" t="s">
        <v>964</v>
      </c>
      <c r="D621" s="38">
        <v>2016</v>
      </c>
      <c r="E621" s="39">
        <v>2735</v>
      </c>
      <c r="F621" s="40">
        <v>2735</v>
      </c>
      <c r="G621" s="40">
        <v>2735</v>
      </c>
      <c r="H621" s="39">
        <v>2735</v>
      </c>
      <c r="I621" s="39">
        <v>2735</v>
      </c>
      <c r="J621" s="39">
        <v>0</v>
      </c>
      <c r="K621" s="41" t="s">
        <v>957</v>
      </c>
      <c r="L621" s="94" t="s">
        <v>965</v>
      </c>
      <c r="M621" s="81"/>
    </row>
    <row r="622" spans="1:13" ht="199.5" x14ac:dyDescent="0.25">
      <c r="A622" s="1">
        <v>18</v>
      </c>
      <c r="B622" s="44">
        <f t="shared" si="52"/>
        <v>61</v>
      </c>
      <c r="C622" s="37" t="s">
        <v>966</v>
      </c>
      <c r="D622" s="38">
        <v>2016</v>
      </c>
      <c r="E622" s="40">
        <f>3276.222-274.952</f>
        <v>3001.2700000000004</v>
      </c>
      <c r="F622" s="40">
        <v>3001.2700000000004</v>
      </c>
      <c r="G622" s="40">
        <v>3001.2700000000004</v>
      </c>
      <c r="H622" s="39">
        <v>2876.2150000000001</v>
      </c>
      <c r="I622" s="39">
        <v>2876.2150000000001</v>
      </c>
      <c r="J622" s="39">
        <v>0</v>
      </c>
      <c r="K622" s="41" t="s">
        <v>28</v>
      </c>
      <c r="L622" s="75" t="s">
        <v>967</v>
      </c>
      <c r="M622" s="81"/>
    </row>
    <row r="623" spans="1:13" ht="90" x14ac:dyDescent="0.25">
      <c r="A623" s="1">
        <v>18</v>
      </c>
      <c r="B623" s="44">
        <f t="shared" si="52"/>
        <v>62</v>
      </c>
      <c r="C623" s="37" t="s">
        <v>968</v>
      </c>
      <c r="D623" s="38">
        <v>2016</v>
      </c>
      <c r="E623" s="40">
        <f>1338.028-32.974</f>
        <v>1305.0540000000001</v>
      </c>
      <c r="F623" s="40">
        <v>1305.0540000000001</v>
      </c>
      <c r="G623" s="40">
        <v>1305.0540000000001</v>
      </c>
      <c r="H623" s="39">
        <v>1286.164</v>
      </c>
      <c r="I623" s="39">
        <v>1286.164</v>
      </c>
      <c r="J623" s="39">
        <v>0</v>
      </c>
      <c r="K623" s="41" t="s">
        <v>957</v>
      </c>
      <c r="L623" s="94" t="s">
        <v>969</v>
      </c>
      <c r="M623" s="81"/>
    </row>
    <row r="624" spans="1:13" ht="85.5" x14ac:dyDescent="0.25">
      <c r="A624" s="1">
        <v>18</v>
      </c>
      <c r="B624" s="44">
        <f t="shared" si="52"/>
        <v>63</v>
      </c>
      <c r="C624" s="37" t="s">
        <v>970</v>
      </c>
      <c r="D624" s="38">
        <v>2016</v>
      </c>
      <c r="E624" s="39">
        <f>952.895-201.116</f>
        <v>751.779</v>
      </c>
      <c r="F624" s="40">
        <v>751.779</v>
      </c>
      <c r="G624" s="40">
        <v>751.779</v>
      </c>
      <c r="H624" s="39">
        <v>751.779</v>
      </c>
      <c r="I624" s="39">
        <v>751.779</v>
      </c>
      <c r="J624" s="39">
        <v>0</v>
      </c>
      <c r="K624" s="41" t="s">
        <v>38</v>
      </c>
      <c r="L624" s="94" t="s">
        <v>971</v>
      </c>
      <c r="M624" s="81"/>
    </row>
    <row r="625" spans="1:13" ht="114" x14ac:dyDescent="0.25">
      <c r="A625" s="1">
        <v>18</v>
      </c>
      <c r="B625" s="36">
        <f t="shared" si="52"/>
        <v>64</v>
      </c>
      <c r="C625" s="37" t="s">
        <v>972</v>
      </c>
      <c r="D625" s="38">
        <v>2016</v>
      </c>
      <c r="E625" s="39">
        <v>450</v>
      </c>
      <c r="F625" s="40">
        <v>450</v>
      </c>
      <c r="G625" s="40">
        <v>450</v>
      </c>
      <c r="H625" s="39">
        <v>450</v>
      </c>
      <c r="I625" s="39">
        <v>450</v>
      </c>
      <c r="J625" s="39">
        <v>0</v>
      </c>
      <c r="K625" s="41" t="s">
        <v>38</v>
      </c>
      <c r="L625" s="94" t="s">
        <v>973</v>
      </c>
      <c r="M625" s="81"/>
    </row>
    <row r="626" spans="1:13" ht="72" x14ac:dyDescent="0.25">
      <c r="A626" s="1">
        <v>18</v>
      </c>
      <c r="B626" s="36">
        <f t="shared" si="52"/>
        <v>65</v>
      </c>
      <c r="C626" s="37" t="s">
        <v>974</v>
      </c>
      <c r="D626" s="38">
        <v>2016</v>
      </c>
      <c r="E626" s="40">
        <v>658</v>
      </c>
      <c r="F626" s="40">
        <v>658</v>
      </c>
      <c r="G626" s="40">
        <v>658</v>
      </c>
      <c r="H626" s="39">
        <v>658</v>
      </c>
      <c r="I626" s="39">
        <v>658</v>
      </c>
      <c r="J626" s="39">
        <v>0</v>
      </c>
      <c r="K626" s="41" t="s">
        <v>38</v>
      </c>
      <c r="L626" s="94" t="s">
        <v>975</v>
      </c>
      <c r="M626" s="81"/>
    </row>
    <row r="627" spans="1:13" ht="85.5" x14ac:dyDescent="0.25">
      <c r="A627" s="1">
        <v>18</v>
      </c>
      <c r="B627" s="44">
        <f t="shared" si="52"/>
        <v>66</v>
      </c>
      <c r="C627" s="37" t="s">
        <v>976</v>
      </c>
      <c r="D627" s="38">
        <v>2016</v>
      </c>
      <c r="E627" s="39">
        <f>2773.387-476.047</f>
        <v>2297.34</v>
      </c>
      <c r="F627" s="40">
        <v>2297.34</v>
      </c>
      <c r="G627" s="40">
        <v>2297.34</v>
      </c>
      <c r="H627" s="39">
        <v>2297.34</v>
      </c>
      <c r="I627" s="39">
        <v>2297.34</v>
      </c>
      <c r="J627" s="39">
        <v>0</v>
      </c>
      <c r="K627" s="41" t="s">
        <v>38</v>
      </c>
      <c r="L627" s="94" t="s">
        <v>977</v>
      </c>
      <c r="M627" s="81"/>
    </row>
    <row r="628" spans="1:13" ht="99.75" x14ac:dyDescent="0.25">
      <c r="A628" s="1">
        <v>18</v>
      </c>
      <c r="B628" s="44">
        <f t="shared" ref="B628" si="53">B627+1</f>
        <v>67</v>
      </c>
      <c r="C628" s="37" t="s">
        <v>978</v>
      </c>
      <c r="D628" s="38" t="s">
        <v>45</v>
      </c>
      <c r="E628" s="39">
        <v>2685.7159999999999</v>
      </c>
      <c r="F628" s="40">
        <v>2685.7159999999999</v>
      </c>
      <c r="G628" s="40">
        <v>2685.7159999999999</v>
      </c>
      <c r="H628" s="40">
        <v>2685.7159999999999</v>
      </c>
      <c r="I628" s="40">
        <v>2685.7159999999999</v>
      </c>
      <c r="J628" s="40">
        <v>0</v>
      </c>
      <c r="K628" s="64" t="s">
        <v>957</v>
      </c>
      <c r="L628" s="76" t="s">
        <v>979</v>
      </c>
      <c r="M628" s="43"/>
    </row>
    <row r="629" spans="1:13" ht="90" x14ac:dyDescent="0.25">
      <c r="A629" s="1">
        <v>18</v>
      </c>
      <c r="B629" s="44">
        <f>B628+1</f>
        <v>68</v>
      </c>
      <c r="C629" s="37" t="s">
        <v>980</v>
      </c>
      <c r="D629" s="38">
        <v>2016</v>
      </c>
      <c r="E629" s="40">
        <v>428.54599999999999</v>
      </c>
      <c r="F629" s="40">
        <v>428.54599999999999</v>
      </c>
      <c r="G629" s="40">
        <v>428.54599999999999</v>
      </c>
      <c r="H629" s="40">
        <v>415.76799999999997</v>
      </c>
      <c r="I629" s="40">
        <v>415.76799999999997</v>
      </c>
      <c r="J629" s="40">
        <v>0</v>
      </c>
      <c r="K629" s="64" t="s">
        <v>96</v>
      </c>
      <c r="L629" s="42" t="s">
        <v>184</v>
      </c>
      <c r="M629" s="43"/>
    </row>
    <row r="630" spans="1:13" ht="72" thickBot="1" x14ac:dyDescent="0.3">
      <c r="A630" s="1">
        <v>18</v>
      </c>
      <c r="B630" s="44">
        <f>B629+1</f>
        <v>69</v>
      </c>
      <c r="C630" s="37" t="s">
        <v>981</v>
      </c>
      <c r="D630" s="38">
        <v>2016</v>
      </c>
      <c r="E630" s="39">
        <v>372.23099999999999</v>
      </c>
      <c r="F630" s="40">
        <v>372.23099999999999</v>
      </c>
      <c r="G630" s="40">
        <v>372.23099999999999</v>
      </c>
      <c r="H630" s="40">
        <v>341.08699999999999</v>
      </c>
      <c r="I630" s="40">
        <v>341.08699999999999</v>
      </c>
      <c r="J630" s="40">
        <v>0</v>
      </c>
      <c r="K630" s="64" t="s">
        <v>38</v>
      </c>
      <c r="L630" s="76" t="s">
        <v>982</v>
      </c>
      <c r="M630" s="43"/>
    </row>
    <row r="631" spans="1:13" ht="18" x14ac:dyDescent="0.25">
      <c r="A631" s="1">
        <v>19</v>
      </c>
      <c r="B631" s="112" t="s">
        <v>983</v>
      </c>
      <c r="C631" s="113"/>
      <c r="D631" s="113"/>
      <c r="E631" s="113"/>
      <c r="F631" s="113"/>
      <c r="G631" s="113"/>
      <c r="H631" s="113"/>
      <c r="I631" s="113"/>
      <c r="J631" s="113"/>
      <c r="K631" s="113"/>
      <c r="L631" s="113"/>
      <c r="M631" s="114"/>
    </row>
    <row r="632" spans="1:13" ht="18" x14ac:dyDescent="0.25">
      <c r="A632" s="1">
        <v>19</v>
      </c>
      <c r="B632" s="21"/>
      <c r="C632" s="22" t="s">
        <v>25</v>
      </c>
      <c r="D632" s="23"/>
      <c r="E632" s="34">
        <f t="shared" ref="E632:J632" si="54">SUM(E633,E635:E687)</f>
        <v>93602.433999999979</v>
      </c>
      <c r="F632" s="34">
        <f t="shared" si="54"/>
        <v>93602.433999999979</v>
      </c>
      <c r="G632" s="34">
        <f t="shared" si="54"/>
        <v>93602.433999999979</v>
      </c>
      <c r="H632" s="35">
        <f t="shared" si="54"/>
        <v>91266.84543999999</v>
      </c>
      <c r="I632" s="34">
        <f t="shared" si="54"/>
        <v>91266.84543999999</v>
      </c>
      <c r="J632" s="34">
        <f t="shared" si="54"/>
        <v>0</v>
      </c>
      <c r="K632" s="23"/>
      <c r="L632" s="23"/>
      <c r="M632" s="26"/>
    </row>
    <row r="633" spans="1:13" ht="18" x14ac:dyDescent="0.25">
      <c r="A633" s="1">
        <v>19</v>
      </c>
      <c r="B633" s="21"/>
      <c r="C633" s="22" t="s">
        <v>22</v>
      </c>
      <c r="D633" s="23"/>
      <c r="E633" s="34">
        <v>0</v>
      </c>
      <c r="F633" s="34">
        <v>0</v>
      </c>
      <c r="G633" s="34">
        <v>0</v>
      </c>
      <c r="H633" s="34"/>
      <c r="I633" s="34"/>
      <c r="J633" s="34"/>
      <c r="K633" s="23"/>
      <c r="L633" s="23"/>
      <c r="M633" s="26"/>
    </row>
    <row r="634" spans="1:13" ht="36" x14ac:dyDescent="0.25">
      <c r="A634" s="1">
        <v>19</v>
      </c>
      <c r="B634" s="21"/>
      <c r="C634" s="22" t="s">
        <v>23</v>
      </c>
      <c r="D634" s="23"/>
      <c r="E634" s="34">
        <f t="shared" ref="E634:J634" si="55">SUM(E635:E687)</f>
        <v>93602.433999999979</v>
      </c>
      <c r="F634" s="34">
        <f t="shared" si="55"/>
        <v>93602.433999999979</v>
      </c>
      <c r="G634" s="34">
        <f t="shared" si="55"/>
        <v>93602.433999999979</v>
      </c>
      <c r="H634" s="34">
        <f t="shared" si="55"/>
        <v>91266.84543999999</v>
      </c>
      <c r="I634" s="34">
        <f t="shared" si="55"/>
        <v>91266.84543999999</v>
      </c>
      <c r="J634" s="34">
        <f t="shared" si="55"/>
        <v>0</v>
      </c>
      <c r="K634" s="23"/>
      <c r="L634" s="23"/>
      <c r="M634" s="26"/>
    </row>
    <row r="635" spans="1:13" ht="126" x14ac:dyDescent="0.25">
      <c r="A635" s="1">
        <v>19</v>
      </c>
      <c r="B635" s="44">
        <v>1</v>
      </c>
      <c r="C635" s="37" t="s">
        <v>984</v>
      </c>
      <c r="D635" s="38" t="s">
        <v>110</v>
      </c>
      <c r="E635" s="40">
        <f>10000+445.665+1791.539</f>
        <v>12237.204000000002</v>
      </c>
      <c r="F635" s="40">
        <v>12237.204000000002</v>
      </c>
      <c r="G635" s="40">
        <v>12237.204000000002</v>
      </c>
      <c r="H635" s="40">
        <v>12204.928</v>
      </c>
      <c r="I635" s="40">
        <v>12204.928</v>
      </c>
      <c r="J635" s="40">
        <v>0</v>
      </c>
      <c r="K635" s="64" t="s">
        <v>38</v>
      </c>
      <c r="L635" s="42" t="s">
        <v>104</v>
      </c>
      <c r="M635" s="43"/>
    </row>
    <row r="636" spans="1:13" ht="72" x14ac:dyDescent="0.25">
      <c r="A636" s="1">
        <v>19</v>
      </c>
      <c r="B636" s="44">
        <f>B635+1</f>
        <v>2</v>
      </c>
      <c r="C636" s="37" t="s">
        <v>985</v>
      </c>
      <c r="D636" s="38">
        <v>2016</v>
      </c>
      <c r="E636" s="40">
        <f>2128.014+1432.918</f>
        <v>3560.9319999999998</v>
      </c>
      <c r="F636" s="40">
        <v>3560.9319999999998</v>
      </c>
      <c r="G636" s="40">
        <v>3560.9319999999998</v>
      </c>
      <c r="H636" s="40">
        <v>3560.9319999999998</v>
      </c>
      <c r="I636" s="40">
        <v>3560.9319999999998</v>
      </c>
      <c r="J636" s="40">
        <v>0</v>
      </c>
      <c r="K636" s="64" t="s">
        <v>38</v>
      </c>
      <c r="L636" s="42" t="s">
        <v>986</v>
      </c>
      <c r="M636" s="43" t="s">
        <v>987</v>
      </c>
    </row>
    <row r="637" spans="1:13" ht="90" x14ac:dyDescent="0.25">
      <c r="A637" s="1">
        <v>19</v>
      </c>
      <c r="B637" s="44">
        <f t="shared" ref="B637:B687" si="56">B636+1</f>
        <v>3</v>
      </c>
      <c r="C637" s="37" t="s">
        <v>988</v>
      </c>
      <c r="D637" s="38" t="s">
        <v>33</v>
      </c>
      <c r="E637" s="40">
        <f>1600-10.407</f>
        <v>1589.5930000000001</v>
      </c>
      <c r="F637" s="40">
        <v>1589.5930000000001</v>
      </c>
      <c r="G637" s="40">
        <v>1589.5930000000001</v>
      </c>
      <c r="H637" s="40">
        <v>1589.5930000000001</v>
      </c>
      <c r="I637" s="40">
        <v>1589.5930000000001</v>
      </c>
      <c r="J637" s="40">
        <v>0</v>
      </c>
      <c r="K637" s="64" t="s">
        <v>28</v>
      </c>
      <c r="L637" s="42"/>
      <c r="M637" s="43"/>
    </row>
    <row r="638" spans="1:13" ht="126" x14ac:dyDescent="0.25">
      <c r="A638" s="1">
        <v>19</v>
      </c>
      <c r="B638" s="36">
        <f t="shared" si="56"/>
        <v>4</v>
      </c>
      <c r="C638" s="37" t="s">
        <v>989</v>
      </c>
      <c r="D638" s="38">
        <v>2016</v>
      </c>
      <c r="E638" s="40">
        <v>4508.893</v>
      </c>
      <c r="F638" s="40">
        <v>4508.893</v>
      </c>
      <c r="G638" s="40">
        <v>4508.893</v>
      </c>
      <c r="H638" s="40">
        <v>4508.893</v>
      </c>
      <c r="I638" s="40">
        <v>4508.893</v>
      </c>
      <c r="J638" s="40">
        <v>0</v>
      </c>
      <c r="K638" s="64" t="s">
        <v>38</v>
      </c>
      <c r="L638" s="42" t="s">
        <v>67</v>
      </c>
      <c r="M638" s="43"/>
    </row>
    <row r="639" spans="1:13" ht="108" x14ac:dyDescent="0.25">
      <c r="A639" s="1">
        <v>19</v>
      </c>
      <c r="B639" s="36">
        <f t="shared" si="56"/>
        <v>5</v>
      </c>
      <c r="C639" s="37" t="s">
        <v>990</v>
      </c>
      <c r="D639" s="38" t="s">
        <v>73</v>
      </c>
      <c r="E639" s="40">
        <v>2583.248</v>
      </c>
      <c r="F639" s="40">
        <v>2583.248</v>
      </c>
      <c r="G639" s="40">
        <v>2583.248</v>
      </c>
      <c r="H639" s="40">
        <v>2583.248</v>
      </c>
      <c r="I639" s="40">
        <v>2583.248</v>
      </c>
      <c r="J639" s="40">
        <v>0</v>
      </c>
      <c r="K639" s="64" t="s">
        <v>38</v>
      </c>
      <c r="L639" s="42" t="s">
        <v>90</v>
      </c>
      <c r="M639" s="43"/>
    </row>
    <row r="640" spans="1:13" ht="54" x14ac:dyDescent="0.25">
      <c r="A640" s="1">
        <v>19</v>
      </c>
      <c r="B640" s="36">
        <f t="shared" si="56"/>
        <v>6</v>
      </c>
      <c r="C640" s="37" t="s">
        <v>991</v>
      </c>
      <c r="D640" s="38" t="s">
        <v>33</v>
      </c>
      <c r="E640" s="40">
        <v>5000</v>
      </c>
      <c r="F640" s="40">
        <v>5000</v>
      </c>
      <c r="G640" s="40">
        <v>5000</v>
      </c>
      <c r="H640" s="40">
        <v>4998.741</v>
      </c>
      <c r="I640" s="40">
        <v>4998.741</v>
      </c>
      <c r="J640" s="40">
        <v>0</v>
      </c>
      <c r="K640" s="64" t="s">
        <v>28</v>
      </c>
      <c r="L640" s="42"/>
      <c r="M640" s="43"/>
    </row>
    <row r="641" spans="1:13" ht="90" x14ac:dyDescent="0.25">
      <c r="A641" s="1">
        <v>19</v>
      </c>
      <c r="B641" s="44">
        <f t="shared" si="56"/>
        <v>7</v>
      </c>
      <c r="C641" s="37" t="s">
        <v>992</v>
      </c>
      <c r="D641" s="38">
        <v>2016</v>
      </c>
      <c r="E641" s="40">
        <f>239.218-1.632</f>
        <v>237.58599999999998</v>
      </c>
      <c r="F641" s="40">
        <v>237.58599999999998</v>
      </c>
      <c r="G641" s="40">
        <v>237.58599999999998</v>
      </c>
      <c r="H641" s="40">
        <f>237.583-0.0005</f>
        <v>237.58250000000001</v>
      </c>
      <c r="I641" s="40">
        <f>237.583-0.0005</f>
        <v>237.58250000000001</v>
      </c>
      <c r="J641" s="40">
        <v>0</v>
      </c>
      <c r="K641" s="64" t="s">
        <v>541</v>
      </c>
      <c r="L641" s="42" t="s">
        <v>993</v>
      </c>
      <c r="M641" s="43" t="s">
        <v>994</v>
      </c>
    </row>
    <row r="642" spans="1:13" ht="108" x14ac:dyDescent="0.25">
      <c r="A642" s="1">
        <v>19</v>
      </c>
      <c r="B642" s="44">
        <f t="shared" si="56"/>
        <v>8</v>
      </c>
      <c r="C642" s="37" t="s">
        <v>995</v>
      </c>
      <c r="D642" s="38">
        <v>2016</v>
      </c>
      <c r="E642" s="40">
        <f>174.824-15.043</f>
        <v>159.78100000000001</v>
      </c>
      <c r="F642" s="40">
        <v>159.78100000000001</v>
      </c>
      <c r="G642" s="40">
        <v>159.78100000000001</v>
      </c>
      <c r="H642" s="40">
        <v>159.78100000000001</v>
      </c>
      <c r="I642" s="40">
        <v>159.78100000000001</v>
      </c>
      <c r="J642" s="40">
        <v>0</v>
      </c>
      <c r="K642" s="64" t="s">
        <v>541</v>
      </c>
      <c r="L642" s="42" t="s">
        <v>996</v>
      </c>
      <c r="M642" s="43" t="s">
        <v>997</v>
      </c>
    </row>
    <row r="643" spans="1:13" ht="126" x14ac:dyDescent="0.25">
      <c r="A643" s="1">
        <v>19</v>
      </c>
      <c r="B643" s="44">
        <f t="shared" si="56"/>
        <v>9</v>
      </c>
      <c r="C643" s="37" t="s">
        <v>998</v>
      </c>
      <c r="D643" s="38">
        <v>2016</v>
      </c>
      <c r="E643" s="40">
        <f>231.03-2.5</f>
        <v>228.53</v>
      </c>
      <c r="F643" s="40">
        <v>228.53</v>
      </c>
      <c r="G643" s="40">
        <v>228.53</v>
      </c>
      <c r="H643" s="40">
        <v>228.53</v>
      </c>
      <c r="I643" s="40">
        <v>228.53</v>
      </c>
      <c r="J643" s="40">
        <v>0</v>
      </c>
      <c r="K643" s="64" t="s">
        <v>541</v>
      </c>
      <c r="L643" s="42" t="s">
        <v>996</v>
      </c>
      <c r="M643" s="43" t="s">
        <v>999</v>
      </c>
    </row>
    <row r="644" spans="1:13" ht="108" x14ac:dyDescent="0.25">
      <c r="A644" s="1">
        <v>19</v>
      </c>
      <c r="B644" s="36">
        <f t="shared" si="56"/>
        <v>10</v>
      </c>
      <c r="C644" s="37" t="s">
        <v>1000</v>
      </c>
      <c r="D644" s="38">
        <v>2016</v>
      </c>
      <c r="E644" s="40">
        <v>661.38599999999997</v>
      </c>
      <c r="F644" s="40">
        <v>661.38599999999997</v>
      </c>
      <c r="G644" s="40">
        <v>661.38599999999997</v>
      </c>
      <c r="H644" s="40">
        <f>661.362-0.0005</f>
        <v>661.36149999999998</v>
      </c>
      <c r="I644" s="40">
        <f>661.362-0.0005</f>
        <v>661.36149999999998</v>
      </c>
      <c r="J644" s="40">
        <v>0</v>
      </c>
      <c r="K644" s="64" t="s">
        <v>541</v>
      </c>
      <c r="L644" s="42" t="s">
        <v>996</v>
      </c>
      <c r="M644" s="43" t="s">
        <v>1001</v>
      </c>
    </row>
    <row r="645" spans="1:13" ht="108" x14ac:dyDescent="0.25">
      <c r="A645" s="1">
        <v>19</v>
      </c>
      <c r="B645" s="44">
        <f t="shared" si="56"/>
        <v>11</v>
      </c>
      <c r="C645" s="37" t="s">
        <v>1002</v>
      </c>
      <c r="D645" s="38">
        <v>2016</v>
      </c>
      <c r="E645" s="40">
        <f>238.681-2.764</f>
        <v>235.917</v>
      </c>
      <c r="F645" s="40">
        <v>235.917</v>
      </c>
      <c r="G645" s="40">
        <v>235.917</v>
      </c>
      <c r="H645" s="40">
        <v>235.916</v>
      </c>
      <c r="I645" s="40">
        <v>235.916</v>
      </c>
      <c r="J645" s="40">
        <v>0</v>
      </c>
      <c r="K645" s="64" t="s">
        <v>306</v>
      </c>
      <c r="L645" s="42" t="s">
        <v>1003</v>
      </c>
      <c r="M645" s="43" t="s">
        <v>1004</v>
      </c>
    </row>
    <row r="646" spans="1:13" ht="108" x14ac:dyDescent="0.25">
      <c r="A646" s="1">
        <v>19</v>
      </c>
      <c r="B646" s="44">
        <f t="shared" si="56"/>
        <v>12</v>
      </c>
      <c r="C646" s="37" t="s">
        <v>1005</v>
      </c>
      <c r="D646" s="38">
        <v>2016</v>
      </c>
      <c r="E646" s="40">
        <f>170.538-4.808</f>
        <v>165.73000000000002</v>
      </c>
      <c r="F646" s="40">
        <v>165.73000000000002</v>
      </c>
      <c r="G646" s="40">
        <v>165.73000000000002</v>
      </c>
      <c r="H646" s="40">
        <v>165.73</v>
      </c>
      <c r="I646" s="40">
        <v>165.73</v>
      </c>
      <c r="J646" s="40">
        <v>0</v>
      </c>
      <c r="K646" s="64" t="s">
        <v>541</v>
      </c>
      <c r="L646" s="42" t="s">
        <v>996</v>
      </c>
      <c r="M646" s="43" t="s">
        <v>1006</v>
      </c>
    </row>
    <row r="647" spans="1:13" ht="108" x14ac:dyDescent="0.25">
      <c r="A647" s="1">
        <v>19</v>
      </c>
      <c r="B647" s="44">
        <f t="shared" si="56"/>
        <v>13</v>
      </c>
      <c r="C647" s="37" t="s">
        <v>1007</v>
      </c>
      <c r="D647" s="38">
        <v>2016</v>
      </c>
      <c r="E647" s="40">
        <f>153.481-4.945</f>
        <v>148.536</v>
      </c>
      <c r="F647" s="40">
        <v>148.536</v>
      </c>
      <c r="G647" s="40">
        <v>148.536</v>
      </c>
      <c r="H647" s="40">
        <v>148.536</v>
      </c>
      <c r="I647" s="40">
        <v>148.536</v>
      </c>
      <c r="J647" s="40">
        <v>0</v>
      </c>
      <c r="K647" s="64" t="s">
        <v>541</v>
      </c>
      <c r="L647" s="42" t="s">
        <v>996</v>
      </c>
      <c r="M647" s="43" t="s">
        <v>1008</v>
      </c>
    </row>
    <row r="648" spans="1:13" ht="90" x14ac:dyDescent="0.25">
      <c r="A648" s="1">
        <v>19</v>
      </c>
      <c r="B648" s="44">
        <f t="shared" si="56"/>
        <v>14</v>
      </c>
      <c r="C648" s="37" t="s">
        <v>1009</v>
      </c>
      <c r="D648" s="38">
        <v>2016</v>
      </c>
      <c r="E648" s="40">
        <f>204.424-4.766</f>
        <v>199.65800000000002</v>
      </c>
      <c r="F648" s="40">
        <v>199.65800000000002</v>
      </c>
      <c r="G648" s="40">
        <v>199.65800000000002</v>
      </c>
      <c r="H648" s="40">
        <v>199.65799999999999</v>
      </c>
      <c r="I648" s="40">
        <v>199.65799999999999</v>
      </c>
      <c r="J648" s="40">
        <v>0</v>
      </c>
      <c r="K648" s="64" t="s">
        <v>541</v>
      </c>
      <c r="L648" s="42" t="s">
        <v>993</v>
      </c>
      <c r="M648" s="43" t="s">
        <v>1010</v>
      </c>
    </row>
    <row r="649" spans="1:13" ht="72" x14ac:dyDescent="0.25">
      <c r="A649" s="1">
        <v>19</v>
      </c>
      <c r="B649" s="44">
        <f t="shared" si="56"/>
        <v>15</v>
      </c>
      <c r="C649" s="37" t="s">
        <v>1011</v>
      </c>
      <c r="D649" s="38">
        <v>2016</v>
      </c>
      <c r="E649" s="40">
        <f>904.009-58</f>
        <v>846.00900000000001</v>
      </c>
      <c r="F649" s="40">
        <v>846.00900000000001</v>
      </c>
      <c r="G649" s="40">
        <v>846.00900000000001</v>
      </c>
      <c r="H649" s="40">
        <v>843.26300000000003</v>
      </c>
      <c r="I649" s="40">
        <v>843.26300000000003</v>
      </c>
      <c r="J649" s="40">
        <v>0</v>
      </c>
      <c r="K649" s="64" t="s">
        <v>38</v>
      </c>
      <c r="L649" s="42" t="s">
        <v>986</v>
      </c>
      <c r="M649" s="43" t="s">
        <v>1012</v>
      </c>
    </row>
    <row r="650" spans="1:13" ht="90" x14ac:dyDescent="0.25">
      <c r="A650" s="1">
        <v>19</v>
      </c>
      <c r="B650" s="44">
        <f t="shared" si="56"/>
        <v>16</v>
      </c>
      <c r="C650" s="37" t="s">
        <v>1013</v>
      </c>
      <c r="D650" s="38">
        <v>2016</v>
      </c>
      <c r="E650" s="40">
        <f>470.493-22.297</f>
        <v>448.19599999999997</v>
      </c>
      <c r="F650" s="40">
        <v>448.19599999999997</v>
      </c>
      <c r="G650" s="40">
        <v>448.19599999999997</v>
      </c>
      <c r="H650" s="40">
        <v>448.19600000000003</v>
      </c>
      <c r="I650" s="40">
        <v>448.19600000000003</v>
      </c>
      <c r="J650" s="40">
        <v>0</v>
      </c>
      <c r="K650" s="64" t="s">
        <v>306</v>
      </c>
      <c r="L650" s="42" t="s">
        <v>1003</v>
      </c>
      <c r="M650" s="43" t="s">
        <v>1014</v>
      </c>
    </row>
    <row r="651" spans="1:13" ht="72" x14ac:dyDescent="0.25">
      <c r="A651" s="1">
        <v>19</v>
      </c>
      <c r="B651" s="44">
        <f t="shared" si="56"/>
        <v>17</v>
      </c>
      <c r="C651" s="37" t="s">
        <v>1015</v>
      </c>
      <c r="D651" s="38">
        <v>2016</v>
      </c>
      <c r="E651" s="40">
        <f>320.903-17.551</f>
        <v>303.35200000000003</v>
      </c>
      <c r="F651" s="40">
        <v>303.35200000000003</v>
      </c>
      <c r="G651" s="40">
        <v>303.35200000000003</v>
      </c>
      <c r="H651" s="40">
        <v>303.35199999999998</v>
      </c>
      <c r="I651" s="40">
        <v>303.35199999999998</v>
      </c>
      <c r="J651" s="40">
        <v>0</v>
      </c>
      <c r="K651" s="64" t="s">
        <v>541</v>
      </c>
      <c r="L651" s="42" t="s">
        <v>996</v>
      </c>
      <c r="M651" s="43" t="s">
        <v>1016</v>
      </c>
    </row>
    <row r="652" spans="1:13" ht="126" x14ac:dyDescent="0.25">
      <c r="A652" s="1">
        <v>19</v>
      </c>
      <c r="B652" s="44">
        <f t="shared" si="56"/>
        <v>18</v>
      </c>
      <c r="C652" s="37" t="s">
        <v>1017</v>
      </c>
      <c r="D652" s="38">
        <v>2016</v>
      </c>
      <c r="E652" s="40">
        <f>983.178-12.884</f>
        <v>970.29399999999998</v>
      </c>
      <c r="F652" s="40">
        <v>970.29399999999998</v>
      </c>
      <c r="G652" s="40">
        <v>970.29399999999998</v>
      </c>
      <c r="H652" s="40">
        <v>970.29399999999998</v>
      </c>
      <c r="I652" s="40">
        <v>970.29399999999998</v>
      </c>
      <c r="J652" s="40">
        <v>0</v>
      </c>
      <c r="K652" s="64" t="s">
        <v>306</v>
      </c>
      <c r="L652" s="42" t="s">
        <v>1018</v>
      </c>
      <c r="M652" s="43"/>
    </row>
    <row r="653" spans="1:13" ht="72" x14ac:dyDescent="0.25">
      <c r="A653" s="1">
        <v>19</v>
      </c>
      <c r="B653" s="44">
        <f t="shared" si="56"/>
        <v>19</v>
      </c>
      <c r="C653" s="37" t="s">
        <v>1019</v>
      </c>
      <c r="D653" s="38">
        <v>2016</v>
      </c>
      <c r="E653" s="40">
        <f>235.095-24.509</f>
        <v>210.58600000000001</v>
      </c>
      <c r="F653" s="40">
        <v>210.58600000000001</v>
      </c>
      <c r="G653" s="40">
        <v>210.58600000000001</v>
      </c>
      <c r="H653" s="40">
        <v>210.58600000000001</v>
      </c>
      <c r="I653" s="40">
        <v>210.58600000000001</v>
      </c>
      <c r="J653" s="40">
        <v>0</v>
      </c>
      <c r="K653" s="64" t="s">
        <v>541</v>
      </c>
      <c r="L653" s="42" t="s">
        <v>993</v>
      </c>
      <c r="M653" s="43" t="s">
        <v>1020</v>
      </c>
    </row>
    <row r="654" spans="1:13" ht="72" x14ac:dyDescent="0.25">
      <c r="A654" s="1">
        <v>19</v>
      </c>
      <c r="B654" s="36">
        <f t="shared" si="56"/>
        <v>20</v>
      </c>
      <c r="C654" s="37" t="s">
        <v>1021</v>
      </c>
      <c r="D654" s="38" t="s">
        <v>700</v>
      </c>
      <c r="E654" s="40">
        <v>3003.8789999999999</v>
      </c>
      <c r="F654" s="40">
        <v>3003.8789999999999</v>
      </c>
      <c r="G654" s="40">
        <v>3003.8789999999999</v>
      </c>
      <c r="H654" s="40">
        <v>3003.8789999999999</v>
      </c>
      <c r="I654" s="40">
        <v>3003.8789999999999</v>
      </c>
      <c r="J654" s="40">
        <v>0</v>
      </c>
      <c r="K654" s="64" t="s">
        <v>28</v>
      </c>
      <c r="L654" s="42"/>
      <c r="M654" s="43"/>
    </row>
    <row r="655" spans="1:13" ht="72" x14ac:dyDescent="0.25">
      <c r="A655" s="1">
        <v>19</v>
      </c>
      <c r="B655" s="44">
        <f t="shared" si="56"/>
        <v>21</v>
      </c>
      <c r="C655" s="37" t="s">
        <v>1022</v>
      </c>
      <c r="D655" s="38">
        <v>2016</v>
      </c>
      <c r="E655" s="40">
        <f>4651.655-190</f>
        <v>4461.6549999999997</v>
      </c>
      <c r="F655" s="40">
        <v>4461.6549999999997</v>
      </c>
      <c r="G655" s="40">
        <v>4461.6549999999997</v>
      </c>
      <c r="H655" s="40">
        <v>4461.6549999999997</v>
      </c>
      <c r="I655" s="40">
        <v>4461.6549999999997</v>
      </c>
      <c r="J655" s="40">
        <v>0</v>
      </c>
      <c r="K655" s="64" t="s">
        <v>38</v>
      </c>
      <c r="L655" s="42" t="s">
        <v>67</v>
      </c>
      <c r="M655" s="43"/>
    </row>
    <row r="656" spans="1:13" ht="72" x14ac:dyDescent="0.25">
      <c r="A656" s="1">
        <v>19</v>
      </c>
      <c r="B656" s="36">
        <f t="shared" si="56"/>
        <v>22</v>
      </c>
      <c r="C656" s="37" t="s">
        <v>1023</v>
      </c>
      <c r="D656" s="38" t="s">
        <v>33</v>
      </c>
      <c r="E656" s="40">
        <v>2260.5830000000001</v>
      </c>
      <c r="F656" s="40">
        <v>2260.5830000000001</v>
      </c>
      <c r="G656" s="40">
        <v>2260.5830000000001</v>
      </c>
      <c r="H656" s="40">
        <v>2256.17</v>
      </c>
      <c r="I656" s="40">
        <v>2256.17</v>
      </c>
      <c r="J656" s="40">
        <v>0</v>
      </c>
      <c r="K656" s="64" t="s">
        <v>28</v>
      </c>
      <c r="L656" s="42"/>
      <c r="M656" s="43"/>
    </row>
    <row r="657" spans="1:13" ht="54" x14ac:dyDescent="0.25">
      <c r="A657" s="1">
        <v>19</v>
      </c>
      <c r="B657" s="36">
        <f t="shared" si="56"/>
        <v>23</v>
      </c>
      <c r="C657" s="37" t="s">
        <v>1024</v>
      </c>
      <c r="D657" s="38">
        <v>2016</v>
      </c>
      <c r="E657" s="40">
        <v>2461.0500000000002</v>
      </c>
      <c r="F657" s="40">
        <v>2461.0500000000002</v>
      </c>
      <c r="G657" s="40">
        <v>2461.0500000000002</v>
      </c>
      <c r="H657" s="40">
        <v>1524.2059999999999</v>
      </c>
      <c r="I657" s="40">
        <v>1524.2059999999999</v>
      </c>
      <c r="J657" s="40">
        <v>0</v>
      </c>
      <c r="K657" s="64" t="s">
        <v>38</v>
      </c>
      <c r="L657" s="42" t="s">
        <v>1025</v>
      </c>
      <c r="M657" s="43"/>
    </row>
    <row r="658" spans="1:13" ht="54" x14ac:dyDescent="0.25">
      <c r="A658" s="1">
        <v>19</v>
      </c>
      <c r="B658" s="36">
        <f t="shared" si="56"/>
        <v>24</v>
      </c>
      <c r="C658" s="37" t="s">
        <v>1026</v>
      </c>
      <c r="D658" s="38">
        <v>2016</v>
      </c>
      <c r="E658" s="40">
        <v>1260.2909999999999</v>
      </c>
      <c r="F658" s="40">
        <v>1260.2909999999999</v>
      </c>
      <c r="G658" s="40">
        <v>1260.2909999999999</v>
      </c>
      <c r="H658" s="40">
        <f>1092.865-0.00036</f>
        <v>1092.86464</v>
      </c>
      <c r="I658" s="40">
        <f>1092.865-0.00036</f>
        <v>1092.86464</v>
      </c>
      <c r="J658" s="40">
        <v>0</v>
      </c>
      <c r="K658" s="64" t="s">
        <v>38</v>
      </c>
      <c r="L658" s="42" t="s">
        <v>1025</v>
      </c>
      <c r="M658" s="43"/>
    </row>
    <row r="659" spans="1:13" ht="90" x14ac:dyDescent="0.25">
      <c r="A659" s="1">
        <v>19</v>
      </c>
      <c r="B659" s="44">
        <f t="shared" si="56"/>
        <v>25</v>
      </c>
      <c r="C659" s="37" t="s">
        <v>1027</v>
      </c>
      <c r="D659" s="38">
        <v>2016</v>
      </c>
      <c r="E659" s="40">
        <f>851.04-27.3</f>
        <v>823.74</v>
      </c>
      <c r="F659" s="40">
        <v>823.74</v>
      </c>
      <c r="G659" s="40">
        <v>823.74</v>
      </c>
      <c r="H659" s="40">
        <v>823.74</v>
      </c>
      <c r="I659" s="40">
        <v>823.74</v>
      </c>
      <c r="J659" s="40">
        <v>0</v>
      </c>
      <c r="K659" s="64" t="s">
        <v>38</v>
      </c>
      <c r="L659" s="42" t="s">
        <v>436</v>
      </c>
      <c r="M659" s="43" t="s">
        <v>1028</v>
      </c>
    </row>
    <row r="660" spans="1:13" ht="54" x14ac:dyDescent="0.25">
      <c r="A660" s="1">
        <v>19</v>
      </c>
      <c r="B660" s="44">
        <f t="shared" si="56"/>
        <v>26</v>
      </c>
      <c r="C660" s="37" t="s">
        <v>1029</v>
      </c>
      <c r="D660" s="38">
        <v>2016</v>
      </c>
      <c r="E660" s="40">
        <f>617.93-20</f>
        <v>597.92999999999995</v>
      </c>
      <c r="F660" s="40">
        <v>597.92999999999995</v>
      </c>
      <c r="G660" s="40">
        <v>597.92999999999995</v>
      </c>
      <c r="H660" s="40">
        <v>593.24900000000002</v>
      </c>
      <c r="I660" s="40">
        <v>593.24900000000002</v>
      </c>
      <c r="J660" s="40">
        <v>0</v>
      </c>
      <c r="K660" s="64" t="s">
        <v>38</v>
      </c>
      <c r="L660" s="42" t="s">
        <v>436</v>
      </c>
      <c r="M660" s="43" t="s">
        <v>1030</v>
      </c>
    </row>
    <row r="661" spans="1:13" ht="72" x14ac:dyDescent="0.25">
      <c r="A661" s="1">
        <v>19</v>
      </c>
      <c r="B661" s="44">
        <f t="shared" si="56"/>
        <v>27</v>
      </c>
      <c r="C661" s="37" t="s">
        <v>1031</v>
      </c>
      <c r="D661" s="38">
        <v>2016</v>
      </c>
      <c r="E661" s="40">
        <f>585.582-80</f>
        <v>505.58199999999999</v>
      </c>
      <c r="F661" s="40">
        <v>505.58199999999999</v>
      </c>
      <c r="G661" s="40">
        <v>505.58199999999999</v>
      </c>
      <c r="H661" s="40">
        <v>505.50200000000001</v>
      </c>
      <c r="I661" s="40">
        <v>505.50200000000001</v>
      </c>
      <c r="J661" s="40">
        <v>0</v>
      </c>
      <c r="K661" s="64" t="s">
        <v>306</v>
      </c>
      <c r="L661" s="42" t="s">
        <v>1032</v>
      </c>
      <c r="M661" s="43" t="s">
        <v>1033</v>
      </c>
    </row>
    <row r="662" spans="1:13" ht="72" x14ac:dyDescent="0.25">
      <c r="A662" s="1">
        <v>19</v>
      </c>
      <c r="B662" s="44">
        <f t="shared" si="56"/>
        <v>28</v>
      </c>
      <c r="C662" s="37" t="s">
        <v>1034</v>
      </c>
      <c r="D662" s="38">
        <v>2016</v>
      </c>
      <c r="E662" s="40">
        <f>191.89-22.347</f>
        <v>169.54299999999998</v>
      </c>
      <c r="F662" s="40">
        <v>169.54299999999998</v>
      </c>
      <c r="G662" s="40">
        <v>169.54299999999998</v>
      </c>
      <c r="H662" s="40">
        <v>169.54300000000001</v>
      </c>
      <c r="I662" s="40">
        <v>169.54300000000001</v>
      </c>
      <c r="J662" s="40">
        <v>0</v>
      </c>
      <c r="K662" s="64" t="s">
        <v>306</v>
      </c>
      <c r="L662" s="42" t="s">
        <v>1003</v>
      </c>
      <c r="M662" s="43" t="s">
        <v>1035</v>
      </c>
    </row>
    <row r="663" spans="1:13" ht="54" x14ac:dyDescent="0.25">
      <c r="A663" s="1">
        <v>19</v>
      </c>
      <c r="B663" s="36">
        <f t="shared" si="56"/>
        <v>29</v>
      </c>
      <c r="C663" s="37" t="s">
        <v>1036</v>
      </c>
      <c r="D663" s="38" t="s">
        <v>49</v>
      </c>
      <c r="E663" s="40">
        <v>256.02499999999998</v>
      </c>
      <c r="F663" s="40">
        <v>256.02499999999998</v>
      </c>
      <c r="G663" s="40">
        <v>256.02499999999998</v>
      </c>
      <c r="H663" s="40">
        <v>189.81399999999999</v>
      </c>
      <c r="I663" s="40">
        <v>189.81399999999999</v>
      </c>
      <c r="J663" s="40">
        <v>0</v>
      </c>
      <c r="K663" s="64" t="s">
        <v>306</v>
      </c>
      <c r="L663" s="42" t="s">
        <v>1003</v>
      </c>
      <c r="M663" s="43" t="s">
        <v>1037</v>
      </c>
    </row>
    <row r="664" spans="1:13" ht="54" x14ac:dyDescent="0.25">
      <c r="A664" s="1">
        <v>19</v>
      </c>
      <c r="B664" s="36">
        <f t="shared" si="56"/>
        <v>30</v>
      </c>
      <c r="C664" s="37" t="s">
        <v>1038</v>
      </c>
      <c r="D664" s="38" t="s">
        <v>49</v>
      </c>
      <c r="E664" s="40">
        <v>308.82499999999999</v>
      </c>
      <c r="F664" s="40">
        <v>308.82499999999999</v>
      </c>
      <c r="G664" s="40">
        <v>308.82499999999999</v>
      </c>
      <c r="H664" s="40">
        <v>275.928</v>
      </c>
      <c r="I664" s="40">
        <v>275.928</v>
      </c>
      <c r="J664" s="40">
        <v>0</v>
      </c>
      <c r="K664" s="64" t="s">
        <v>38</v>
      </c>
      <c r="L664" s="42" t="s">
        <v>90</v>
      </c>
      <c r="M664" s="43"/>
    </row>
    <row r="665" spans="1:13" ht="54" x14ac:dyDescent="0.25">
      <c r="A665" s="1">
        <v>19</v>
      </c>
      <c r="B665" s="36">
        <f t="shared" si="56"/>
        <v>31</v>
      </c>
      <c r="C665" s="37" t="s">
        <v>1039</v>
      </c>
      <c r="D665" s="38">
        <v>2016</v>
      </c>
      <c r="E665" s="40">
        <v>582.57000000000005</v>
      </c>
      <c r="F665" s="40">
        <v>582.57000000000005</v>
      </c>
      <c r="G665" s="40">
        <v>582.57000000000005</v>
      </c>
      <c r="H665" s="40">
        <v>499.60399999999998</v>
      </c>
      <c r="I665" s="40">
        <v>499.60399999999998</v>
      </c>
      <c r="J665" s="40">
        <v>0</v>
      </c>
      <c r="K665" s="64" t="s">
        <v>306</v>
      </c>
      <c r="L665" s="42" t="s">
        <v>1003</v>
      </c>
      <c r="M665" s="43" t="s">
        <v>1040</v>
      </c>
    </row>
    <row r="666" spans="1:13" ht="72" x14ac:dyDescent="0.25">
      <c r="A666" s="1">
        <v>19</v>
      </c>
      <c r="B666" s="44">
        <f t="shared" si="56"/>
        <v>32</v>
      </c>
      <c r="C666" s="37" t="s">
        <v>1041</v>
      </c>
      <c r="D666" s="38" t="s">
        <v>49</v>
      </c>
      <c r="E666" s="40">
        <f>1418.855-450</f>
        <v>968.85500000000002</v>
      </c>
      <c r="F666" s="40">
        <v>968.85500000000002</v>
      </c>
      <c r="G666" s="40">
        <v>968.85500000000002</v>
      </c>
      <c r="H666" s="40">
        <v>966.58500000000004</v>
      </c>
      <c r="I666" s="40">
        <v>966.58500000000004</v>
      </c>
      <c r="J666" s="40">
        <v>0</v>
      </c>
      <c r="K666" s="64" t="s">
        <v>306</v>
      </c>
      <c r="L666" s="42" t="s">
        <v>1032</v>
      </c>
      <c r="M666" s="43" t="s">
        <v>1042</v>
      </c>
    </row>
    <row r="667" spans="1:13" ht="72" x14ac:dyDescent="0.25">
      <c r="A667" s="1">
        <v>19</v>
      </c>
      <c r="B667" s="44">
        <f t="shared" si="56"/>
        <v>33</v>
      </c>
      <c r="C667" s="37" t="s">
        <v>1043</v>
      </c>
      <c r="D667" s="38">
        <v>2016</v>
      </c>
      <c r="E667" s="40">
        <f>579.57-55.66</f>
        <v>523.91000000000008</v>
      </c>
      <c r="F667" s="40">
        <v>523.91000000000008</v>
      </c>
      <c r="G667" s="40">
        <v>523.91000000000008</v>
      </c>
      <c r="H667" s="40">
        <v>523.91</v>
      </c>
      <c r="I667" s="40">
        <v>523.91</v>
      </c>
      <c r="J667" s="40">
        <v>0</v>
      </c>
      <c r="K667" s="64" t="s">
        <v>541</v>
      </c>
      <c r="L667" s="42" t="s">
        <v>993</v>
      </c>
      <c r="M667" s="43" t="s">
        <v>1044</v>
      </c>
    </row>
    <row r="668" spans="1:13" ht="72" x14ac:dyDescent="0.25">
      <c r="A668" s="1">
        <v>19</v>
      </c>
      <c r="B668" s="44">
        <f t="shared" si="56"/>
        <v>34</v>
      </c>
      <c r="C668" s="37" t="s">
        <v>1045</v>
      </c>
      <c r="D668" s="38">
        <v>2016</v>
      </c>
      <c r="E668" s="40">
        <f>1501.48-23.6</f>
        <v>1477.88</v>
      </c>
      <c r="F668" s="40">
        <v>1477.88</v>
      </c>
      <c r="G668" s="40">
        <v>1477.88</v>
      </c>
      <c r="H668" s="40">
        <v>1477.88</v>
      </c>
      <c r="I668" s="40">
        <v>1477.88</v>
      </c>
      <c r="J668" s="40">
        <v>0</v>
      </c>
      <c r="K668" s="64" t="s">
        <v>38</v>
      </c>
      <c r="L668" s="42" t="s">
        <v>986</v>
      </c>
      <c r="M668" s="43" t="s">
        <v>1046</v>
      </c>
    </row>
    <row r="669" spans="1:13" ht="72" x14ac:dyDescent="0.25">
      <c r="A669" s="1">
        <v>19</v>
      </c>
      <c r="B669" s="44">
        <f t="shared" si="56"/>
        <v>35</v>
      </c>
      <c r="C669" s="37" t="s">
        <v>1047</v>
      </c>
      <c r="D669" s="38">
        <v>2016</v>
      </c>
      <c r="E669" s="40">
        <f>396.68-15.8</f>
        <v>380.88</v>
      </c>
      <c r="F669" s="40">
        <v>380.88</v>
      </c>
      <c r="G669" s="40">
        <v>380.88</v>
      </c>
      <c r="H669" s="40">
        <f>380.87+0.00045</f>
        <v>380.87045000000001</v>
      </c>
      <c r="I669" s="40">
        <f>380.87+0.00045</f>
        <v>380.87045000000001</v>
      </c>
      <c r="J669" s="40">
        <v>0</v>
      </c>
      <c r="K669" s="64" t="s">
        <v>541</v>
      </c>
      <c r="L669" s="42" t="s">
        <v>996</v>
      </c>
      <c r="M669" s="43" t="s">
        <v>1048</v>
      </c>
    </row>
    <row r="670" spans="1:13" ht="90" x14ac:dyDescent="0.25">
      <c r="A670" s="1">
        <v>19</v>
      </c>
      <c r="B670" s="44">
        <f t="shared" si="56"/>
        <v>36</v>
      </c>
      <c r="C670" s="37" t="s">
        <v>1049</v>
      </c>
      <c r="D670" s="38">
        <v>2016</v>
      </c>
      <c r="E670" s="40">
        <f>513.12-15.7</f>
        <v>497.42</v>
      </c>
      <c r="F670" s="40">
        <v>497.42</v>
      </c>
      <c r="G670" s="40">
        <v>497.42</v>
      </c>
      <c r="H670" s="40">
        <v>497.041</v>
      </c>
      <c r="I670" s="40">
        <v>497.041</v>
      </c>
      <c r="J670" s="40">
        <v>0</v>
      </c>
      <c r="K670" s="64" t="s">
        <v>541</v>
      </c>
      <c r="L670" s="42" t="s">
        <v>996</v>
      </c>
      <c r="M670" s="43" t="s">
        <v>1050</v>
      </c>
    </row>
    <row r="671" spans="1:13" ht="72" x14ac:dyDescent="0.25">
      <c r="A671" s="1">
        <v>19</v>
      </c>
      <c r="B671" s="36">
        <f t="shared" si="56"/>
        <v>37</v>
      </c>
      <c r="C671" s="37" t="s">
        <v>1051</v>
      </c>
      <c r="D671" s="38">
        <v>2016</v>
      </c>
      <c r="E671" s="40">
        <v>409.43</v>
      </c>
      <c r="F671" s="40">
        <v>409.43</v>
      </c>
      <c r="G671" s="40">
        <v>409.43</v>
      </c>
      <c r="H671" s="40">
        <f>393.975+0.00045</f>
        <v>393.97545000000002</v>
      </c>
      <c r="I671" s="40">
        <f>393.975+0.00045</f>
        <v>393.97545000000002</v>
      </c>
      <c r="J671" s="40">
        <v>0</v>
      </c>
      <c r="K671" s="64" t="s">
        <v>38</v>
      </c>
      <c r="L671" s="42" t="s">
        <v>986</v>
      </c>
      <c r="M671" s="43" t="s">
        <v>1052</v>
      </c>
    </row>
    <row r="672" spans="1:13" ht="54" x14ac:dyDescent="0.25">
      <c r="A672" s="1">
        <v>19</v>
      </c>
      <c r="B672" s="36">
        <f t="shared" si="56"/>
        <v>38</v>
      </c>
      <c r="C672" s="37" t="s">
        <v>1053</v>
      </c>
      <c r="D672" s="38" t="s">
        <v>33</v>
      </c>
      <c r="E672" s="40">
        <v>3296.35</v>
      </c>
      <c r="F672" s="40">
        <v>3296.35</v>
      </c>
      <c r="G672" s="40">
        <v>3296.35</v>
      </c>
      <c r="H672" s="40">
        <v>3296.35</v>
      </c>
      <c r="I672" s="40">
        <v>3296.35</v>
      </c>
      <c r="J672" s="40">
        <v>0</v>
      </c>
      <c r="K672" s="64" t="s">
        <v>28</v>
      </c>
      <c r="L672" s="42"/>
      <c r="M672" s="43"/>
    </row>
    <row r="673" spans="1:13" ht="72" x14ac:dyDescent="0.25">
      <c r="A673" s="1">
        <v>19</v>
      </c>
      <c r="B673" s="36">
        <f t="shared" si="56"/>
        <v>39</v>
      </c>
      <c r="C673" s="37" t="s">
        <v>1054</v>
      </c>
      <c r="D673" s="38" t="s">
        <v>49</v>
      </c>
      <c r="E673" s="40">
        <v>3762.08</v>
      </c>
      <c r="F673" s="40">
        <v>3762.08</v>
      </c>
      <c r="G673" s="40">
        <v>3762.08</v>
      </c>
      <c r="H673" s="40">
        <v>3762.08</v>
      </c>
      <c r="I673" s="40">
        <v>3762.08</v>
      </c>
      <c r="J673" s="40">
        <v>0</v>
      </c>
      <c r="K673" s="64" t="s">
        <v>38</v>
      </c>
      <c r="L673" s="42" t="s">
        <v>90</v>
      </c>
      <c r="M673" s="43"/>
    </row>
    <row r="674" spans="1:13" ht="45" x14ac:dyDescent="0.25">
      <c r="A674" s="1">
        <v>19</v>
      </c>
      <c r="B674" s="44">
        <f t="shared" si="56"/>
        <v>40</v>
      </c>
      <c r="C674" s="37" t="s">
        <v>1055</v>
      </c>
      <c r="D674" s="38">
        <v>2016</v>
      </c>
      <c r="E674" s="40">
        <f>5597.918-886.1</f>
        <v>4711.8179999999993</v>
      </c>
      <c r="F674" s="40">
        <v>4711.8179999999993</v>
      </c>
      <c r="G674" s="40">
        <v>4711.8179999999993</v>
      </c>
      <c r="H674" s="40">
        <v>4601.4610000000002</v>
      </c>
      <c r="I674" s="40">
        <v>4601.4610000000002</v>
      </c>
      <c r="J674" s="40">
        <v>0</v>
      </c>
      <c r="K674" s="64" t="s">
        <v>38</v>
      </c>
      <c r="L674" s="42" t="s">
        <v>986</v>
      </c>
      <c r="M674" s="43" t="s">
        <v>1056</v>
      </c>
    </row>
    <row r="675" spans="1:13" ht="54" x14ac:dyDescent="0.25">
      <c r="A675" s="1">
        <v>19</v>
      </c>
      <c r="B675" s="44">
        <f t="shared" si="56"/>
        <v>41</v>
      </c>
      <c r="C675" s="37" t="s">
        <v>1057</v>
      </c>
      <c r="D675" s="38" t="s">
        <v>73</v>
      </c>
      <c r="E675" s="40">
        <f>3000+2946.509</f>
        <v>5946.509</v>
      </c>
      <c r="F675" s="40">
        <v>5946.509</v>
      </c>
      <c r="G675" s="40">
        <v>5946.509</v>
      </c>
      <c r="H675" s="40">
        <v>5946.509</v>
      </c>
      <c r="I675" s="40">
        <v>5946.509</v>
      </c>
      <c r="J675" s="40">
        <v>0</v>
      </c>
      <c r="K675" s="64" t="s">
        <v>38</v>
      </c>
      <c r="L675" s="42" t="s">
        <v>986</v>
      </c>
      <c r="M675" s="43" t="s">
        <v>1058</v>
      </c>
    </row>
    <row r="676" spans="1:13" ht="54" x14ac:dyDescent="0.25">
      <c r="A676" s="1">
        <v>19</v>
      </c>
      <c r="B676" s="36">
        <f t="shared" si="56"/>
        <v>42</v>
      </c>
      <c r="C676" s="37" t="s">
        <v>1059</v>
      </c>
      <c r="D676" s="38" t="s">
        <v>41</v>
      </c>
      <c r="E676" s="40">
        <v>263.67700000000002</v>
      </c>
      <c r="F676" s="40">
        <v>263.67700000000002</v>
      </c>
      <c r="G676" s="40">
        <v>263.67700000000002</v>
      </c>
      <c r="H676" s="40">
        <v>263.67700000000002</v>
      </c>
      <c r="I676" s="40">
        <v>263.67700000000002</v>
      </c>
      <c r="J676" s="40">
        <v>0</v>
      </c>
      <c r="K676" s="64" t="s">
        <v>28</v>
      </c>
      <c r="L676" s="42"/>
      <c r="M676" s="43"/>
    </row>
    <row r="677" spans="1:13" ht="72" x14ac:dyDescent="0.25">
      <c r="A677" s="1">
        <v>19</v>
      </c>
      <c r="B677" s="36">
        <f t="shared" si="56"/>
        <v>43</v>
      </c>
      <c r="C677" s="37" t="s">
        <v>1060</v>
      </c>
      <c r="D677" s="38" t="s">
        <v>853</v>
      </c>
      <c r="E677" s="40">
        <v>3500</v>
      </c>
      <c r="F677" s="40">
        <v>3500</v>
      </c>
      <c r="G677" s="40">
        <v>3500</v>
      </c>
      <c r="H677" s="40">
        <v>3499.279</v>
      </c>
      <c r="I677" s="40">
        <v>3499.279</v>
      </c>
      <c r="J677" s="40">
        <v>0</v>
      </c>
      <c r="K677" s="64" t="s">
        <v>38</v>
      </c>
      <c r="L677" s="42" t="s">
        <v>102</v>
      </c>
      <c r="M677" s="43"/>
    </row>
    <row r="678" spans="1:13" ht="54" x14ac:dyDescent="0.25">
      <c r="A678" s="1">
        <v>19</v>
      </c>
      <c r="B678" s="44">
        <f t="shared" si="56"/>
        <v>44</v>
      </c>
      <c r="C678" s="37" t="s">
        <v>1061</v>
      </c>
      <c r="D678" s="38">
        <v>2016</v>
      </c>
      <c r="E678" s="40">
        <f>4044.18-205</f>
        <v>3839.18</v>
      </c>
      <c r="F678" s="40">
        <v>3839.18</v>
      </c>
      <c r="G678" s="40">
        <v>3839.18</v>
      </c>
      <c r="H678" s="40">
        <v>3839.0320000000002</v>
      </c>
      <c r="I678" s="40">
        <v>3839.0320000000002</v>
      </c>
      <c r="J678" s="40">
        <v>0</v>
      </c>
      <c r="K678" s="64" t="s">
        <v>38</v>
      </c>
      <c r="L678" s="42" t="s">
        <v>986</v>
      </c>
      <c r="M678" s="43" t="s">
        <v>1062</v>
      </c>
    </row>
    <row r="679" spans="1:13" ht="72" x14ac:dyDescent="0.25">
      <c r="A679" s="1">
        <v>19</v>
      </c>
      <c r="B679" s="36">
        <f t="shared" si="56"/>
        <v>45</v>
      </c>
      <c r="C679" s="37" t="s">
        <v>1063</v>
      </c>
      <c r="D679" s="38" t="s">
        <v>33</v>
      </c>
      <c r="E679" s="40">
        <v>382.3</v>
      </c>
      <c r="F679" s="40">
        <v>382.3</v>
      </c>
      <c r="G679" s="40">
        <v>382.3</v>
      </c>
      <c r="H679" s="40">
        <f>312.663+0.00045</f>
        <v>312.66345000000001</v>
      </c>
      <c r="I679" s="40">
        <f>312.663+0.00045</f>
        <v>312.66345000000001</v>
      </c>
      <c r="J679" s="40">
        <v>0</v>
      </c>
      <c r="K679" s="64" t="s">
        <v>38</v>
      </c>
      <c r="L679" s="42" t="s">
        <v>986</v>
      </c>
      <c r="M679" s="43" t="s">
        <v>1064</v>
      </c>
    </row>
    <row r="680" spans="1:13" ht="72" x14ac:dyDescent="0.25">
      <c r="A680" s="1">
        <v>19</v>
      </c>
      <c r="B680" s="36">
        <f t="shared" si="56"/>
        <v>46</v>
      </c>
      <c r="C680" s="37" t="s">
        <v>1065</v>
      </c>
      <c r="D680" s="38" t="s">
        <v>33</v>
      </c>
      <c r="E680" s="40">
        <v>2000</v>
      </c>
      <c r="F680" s="40">
        <v>2000</v>
      </c>
      <c r="G680" s="40">
        <v>2000</v>
      </c>
      <c r="H680" s="40">
        <v>1985.2370000000001</v>
      </c>
      <c r="I680" s="40">
        <v>1985.2370000000001</v>
      </c>
      <c r="J680" s="40">
        <v>0</v>
      </c>
      <c r="K680" s="64" t="s">
        <v>28</v>
      </c>
      <c r="L680" s="42"/>
      <c r="M680" s="43"/>
    </row>
    <row r="681" spans="1:13" ht="90" x14ac:dyDescent="0.25">
      <c r="A681" s="1">
        <v>19</v>
      </c>
      <c r="B681" s="44">
        <f t="shared" si="56"/>
        <v>47</v>
      </c>
      <c r="C681" s="37" t="s">
        <v>1066</v>
      </c>
      <c r="D681" s="38">
        <v>2016</v>
      </c>
      <c r="E681" s="40">
        <f>376.28-25.871</f>
        <v>350.40899999999999</v>
      </c>
      <c r="F681" s="40">
        <v>350.40899999999999</v>
      </c>
      <c r="G681" s="40">
        <v>350.40899999999999</v>
      </c>
      <c r="H681" s="40">
        <f>350.408+0.00045</f>
        <v>350.40845000000002</v>
      </c>
      <c r="I681" s="40">
        <f>350.408+0.00045</f>
        <v>350.40845000000002</v>
      </c>
      <c r="J681" s="40">
        <v>0</v>
      </c>
      <c r="K681" s="64" t="s">
        <v>306</v>
      </c>
      <c r="L681" s="42" t="s">
        <v>1003</v>
      </c>
      <c r="M681" s="43" t="s">
        <v>1067</v>
      </c>
    </row>
    <row r="682" spans="1:13" ht="72" x14ac:dyDescent="0.25">
      <c r="A682" s="1">
        <v>19</v>
      </c>
      <c r="B682" s="36">
        <f t="shared" si="56"/>
        <v>48</v>
      </c>
      <c r="C682" s="37" t="s">
        <v>1068</v>
      </c>
      <c r="D682" s="38">
        <v>2016</v>
      </c>
      <c r="E682" s="40">
        <v>1720.01</v>
      </c>
      <c r="F682" s="40">
        <v>1720.01</v>
      </c>
      <c r="G682" s="40">
        <v>1720.01</v>
      </c>
      <c r="H682" s="40">
        <v>1666.626</v>
      </c>
      <c r="I682" s="40">
        <v>1666.626</v>
      </c>
      <c r="J682" s="40">
        <v>0</v>
      </c>
      <c r="K682" s="64" t="s">
        <v>38</v>
      </c>
      <c r="L682" s="42" t="s">
        <v>102</v>
      </c>
      <c r="M682" s="43"/>
    </row>
    <row r="683" spans="1:13" ht="54" x14ac:dyDescent="0.25">
      <c r="A683" s="1">
        <v>19</v>
      </c>
      <c r="B683" s="36">
        <f t="shared" si="56"/>
        <v>49</v>
      </c>
      <c r="C683" s="37" t="s">
        <v>1069</v>
      </c>
      <c r="D683" s="38">
        <v>2016</v>
      </c>
      <c r="E683" s="40">
        <v>2543.8000000000002</v>
      </c>
      <c r="F683" s="40">
        <v>2543.8000000000002</v>
      </c>
      <c r="G683" s="40">
        <v>2543.8000000000002</v>
      </c>
      <c r="H683" s="40">
        <v>2223.0079999999998</v>
      </c>
      <c r="I683" s="40">
        <v>2223.0079999999998</v>
      </c>
      <c r="J683" s="40">
        <v>0</v>
      </c>
      <c r="K683" s="64" t="s">
        <v>38</v>
      </c>
      <c r="L683" s="42" t="s">
        <v>1025</v>
      </c>
      <c r="M683" s="43"/>
    </row>
    <row r="684" spans="1:13" ht="72" x14ac:dyDescent="0.25">
      <c r="A684" s="1">
        <v>19</v>
      </c>
      <c r="B684" s="36">
        <f t="shared" si="56"/>
        <v>50</v>
      </c>
      <c r="C684" s="37" t="s">
        <v>1070</v>
      </c>
      <c r="D684" s="38">
        <v>2016</v>
      </c>
      <c r="E684" s="40">
        <v>1274.6600000000001</v>
      </c>
      <c r="F684" s="40">
        <v>1274.6600000000001</v>
      </c>
      <c r="G684" s="40">
        <v>1274.6600000000001</v>
      </c>
      <c r="H684" s="40">
        <v>1147.0350000000001</v>
      </c>
      <c r="I684" s="40">
        <v>1147.0350000000001</v>
      </c>
      <c r="J684" s="40">
        <v>0</v>
      </c>
      <c r="K684" s="64" t="s">
        <v>306</v>
      </c>
      <c r="L684" s="42" t="s">
        <v>1071</v>
      </c>
      <c r="M684" s="43"/>
    </row>
    <row r="685" spans="1:13" ht="54" x14ac:dyDescent="0.25">
      <c r="A685" s="1">
        <v>19</v>
      </c>
      <c r="B685" s="36">
        <f t="shared" si="56"/>
        <v>51</v>
      </c>
      <c r="C685" s="37" t="s">
        <v>1072</v>
      </c>
      <c r="D685" s="38">
        <v>2016</v>
      </c>
      <c r="E685" s="40">
        <v>1274.855</v>
      </c>
      <c r="F685" s="40">
        <v>1274.855</v>
      </c>
      <c r="G685" s="40">
        <v>1274.855</v>
      </c>
      <c r="H685" s="40">
        <v>986.98500000000001</v>
      </c>
      <c r="I685" s="40">
        <v>986.98500000000001</v>
      </c>
      <c r="J685" s="40">
        <v>0</v>
      </c>
      <c r="K685" s="64" t="s">
        <v>38</v>
      </c>
      <c r="L685" s="42" t="s">
        <v>84</v>
      </c>
      <c r="M685" s="43"/>
    </row>
    <row r="686" spans="1:13" ht="54" x14ac:dyDescent="0.25">
      <c r="A686" s="1">
        <v>19</v>
      </c>
      <c r="B686" s="44">
        <f t="shared" si="56"/>
        <v>52</v>
      </c>
      <c r="C686" s="37" t="s">
        <v>1073</v>
      </c>
      <c r="D686" s="38">
        <v>2016</v>
      </c>
      <c r="E686" s="40">
        <f>492.6-24.973</f>
        <v>467.62700000000001</v>
      </c>
      <c r="F686" s="40">
        <v>467.62700000000001</v>
      </c>
      <c r="G686" s="40">
        <v>467.62700000000001</v>
      </c>
      <c r="H686" s="40">
        <v>467.52699999999999</v>
      </c>
      <c r="I686" s="40">
        <v>467.52699999999999</v>
      </c>
      <c r="J686" s="40">
        <v>0</v>
      </c>
      <c r="K686" s="64" t="s">
        <v>541</v>
      </c>
      <c r="L686" s="42" t="s">
        <v>993</v>
      </c>
      <c r="M686" s="43" t="s">
        <v>1074</v>
      </c>
    </row>
    <row r="687" spans="1:13" ht="144.75" thickBot="1" x14ac:dyDescent="0.3">
      <c r="A687" s="1">
        <v>19</v>
      </c>
      <c r="B687" s="56">
        <f t="shared" si="56"/>
        <v>53</v>
      </c>
      <c r="C687" s="57" t="s">
        <v>1075</v>
      </c>
      <c r="D687" s="67" t="s">
        <v>1076</v>
      </c>
      <c r="E687" s="68">
        <v>3023.68</v>
      </c>
      <c r="F687" s="68">
        <v>3023.68</v>
      </c>
      <c r="G687" s="68">
        <v>3023.68</v>
      </c>
      <c r="H687" s="68">
        <v>3023.43</v>
      </c>
      <c r="I687" s="68">
        <v>3023.43</v>
      </c>
      <c r="J687" s="68">
        <v>0</v>
      </c>
      <c r="K687" s="70" t="s">
        <v>38</v>
      </c>
      <c r="L687" s="71" t="s">
        <v>769</v>
      </c>
      <c r="M687" s="43"/>
    </row>
    <row r="688" spans="1:13" ht="18" customHeight="1" x14ac:dyDescent="0.25">
      <c r="A688" s="1">
        <v>20</v>
      </c>
      <c r="B688" s="112" t="s">
        <v>1077</v>
      </c>
      <c r="C688" s="113"/>
      <c r="D688" s="113"/>
      <c r="E688" s="113"/>
      <c r="F688" s="113"/>
      <c r="G688" s="113"/>
      <c r="H688" s="113"/>
      <c r="I688" s="113"/>
      <c r="J688" s="113"/>
      <c r="K688" s="113"/>
      <c r="L688" s="113"/>
      <c r="M688" s="114"/>
    </row>
    <row r="689" spans="1:13" ht="18" x14ac:dyDescent="0.25">
      <c r="A689" s="1">
        <v>20</v>
      </c>
      <c r="B689" s="21"/>
      <c r="C689" s="22" t="s">
        <v>25</v>
      </c>
      <c r="D689" s="23"/>
      <c r="E689" s="34">
        <f t="shared" ref="E689:J689" si="57">SUM(E690,E692:E716)</f>
        <v>152580.07399999996</v>
      </c>
      <c r="F689" s="34">
        <f t="shared" si="57"/>
        <v>152580.07399999996</v>
      </c>
      <c r="G689" s="34">
        <f t="shared" si="57"/>
        <v>152580.07399999996</v>
      </c>
      <c r="H689" s="34">
        <f t="shared" si="57"/>
        <v>150564.97253999999</v>
      </c>
      <c r="I689" s="34">
        <f t="shared" si="57"/>
        <v>150499.41553999999</v>
      </c>
      <c r="J689" s="34">
        <f t="shared" si="57"/>
        <v>0</v>
      </c>
      <c r="K689" s="23"/>
      <c r="L689" s="23"/>
      <c r="M689" s="26"/>
    </row>
    <row r="690" spans="1:13" ht="18" x14ac:dyDescent="0.25">
      <c r="A690" s="1">
        <v>20</v>
      </c>
      <c r="B690" s="21"/>
      <c r="C690" s="22" t="s">
        <v>22</v>
      </c>
      <c r="D690" s="23"/>
      <c r="E690" s="34">
        <v>0</v>
      </c>
      <c r="F690" s="34">
        <v>0</v>
      </c>
      <c r="G690" s="34">
        <v>0</v>
      </c>
      <c r="H690" s="34"/>
      <c r="I690" s="34"/>
      <c r="J690" s="34"/>
      <c r="K690" s="23"/>
      <c r="L690" s="23"/>
      <c r="M690" s="26"/>
    </row>
    <row r="691" spans="1:13" ht="36" x14ac:dyDescent="0.25">
      <c r="A691" s="1">
        <v>20</v>
      </c>
      <c r="B691" s="21"/>
      <c r="C691" s="22" t="s">
        <v>23</v>
      </c>
      <c r="D691" s="23"/>
      <c r="E691" s="34">
        <f t="shared" ref="E691:J691" si="58">SUM(E692:E716)</f>
        <v>152580.07399999996</v>
      </c>
      <c r="F691" s="34">
        <f t="shared" si="58"/>
        <v>152580.07399999996</v>
      </c>
      <c r="G691" s="34">
        <f t="shared" si="58"/>
        <v>152580.07399999996</v>
      </c>
      <c r="H691" s="34">
        <f t="shared" si="58"/>
        <v>150564.97253999999</v>
      </c>
      <c r="I691" s="34">
        <f t="shared" si="58"/>
        <v>150499.41553999999</v>
      </c>
      <c r="J691" s="34">
        <f t="shared" si="58"/>
        <v>0</v>
      </c>
      <c r="K691" s="23"/>
      <c r="L691" s="23"/>
      <c r="M691" s="26"/>
    </row>
    <row r="692" spans="1:13" ht="90" x14ac:dyDescent="0.25">
      <c r="A692" s="1">
        <v>20</v>
      </c>
      <c r="B692" s="36">
        <v>1</v>
      </c>
      <c r="C692" s="37" t="s">
        <v>1078</v>
      </c>
      <c r="D692" s="38" t="s">
        <v>33</v>
      </c>
      <c r="E692" s="40">
        <v>36000</v>
      </c>
      <c r="F692" s="40">
        <v>36000</v>
      </c>
      <c r="G692" s="40">
        <v>36000</v>
      </c>
      <c r="H692" s="40">
        <v>36000</v>
      </c>
      <c r="I692" s="40">
        <v>36000</v>
      </c>
      <c r="J692" s="40">
        <v>0</v>
      </c>
      <c r="K692" s="64" t="s">
        <v>28</v>
      </c>
      <c r="L692" s="95"/>
      <c r="M692" s="43"/>
    </row>
    <row r="693" spans="1:13" ht="76.5" x14ac:dyDescent="0.25">
      <c r="A693" s="1">
        <v>20</v>
      </c>
      <c r="B693" s="36">
        <f>B692+1</f>
        <v>2</v>
      </c>
      <c r="C693" s="37" t="s">
        <v>1079</v>
      </c>
      <c r="D693" s="38" t="s">
        <v>33</v>
      </c>
      <c r="E693" s="40">
        <v>1309.623</v>
      </c>
      <c r="F693" s="40">
        <v>1309.623</v>
      </c>
      <c r="G693" s="40">
        <v>1309.623</v>
      </c>
      <c r="H693" s="40">
        <v>1309.623</v>
      </c>
      <c r="I693" s="40">
        <v>1309.623</v>
      </c>
      <c r="J693" s="40">
        <v>0</v>
      </c>
      <c r="K693" s="64" t="s">
        <v>28</v>
      </c>
      <c r="L693" s="96" t="s">
        <v>1080</v>
      </c>
      <c r="M693" s="43"/>
    </row>
    <row r="694" spans="1:13" ht="76.5" x14ac:dyDescent="0.25">
      <c r="A694" s="1">
        <v>20</v>
      </c>
      <c r="B694" s="36">
        <f t="shared" ref="B694:B716" si="59">B693+1</f>
        <v>3</v>
      </c>
      <c r="C694" s="37" t="s">
        <v>1081</v>
      </c>
      <c r="D694" s="38" t="s">
        <v>33</v>
      </c>
      <c r="E694" s="40">
        <v>945.54399999999998</v>
      </c>
      <c r="F694" s="40">
        <v>945.54399999999998</v>
      </c>
      <c r="G694" s="40">
        <v>945.54399999999998</v>
      </c>
      <c r="H694" s="40">
        <v>945.54399999999998</v>
      </c>
      <c r="I694" s="40">
        <v>945.54399999999998</v>
      </c>
      <c r="J694" s="40">
        <v>0</v>
      </c>
      <c r="K694" s="64" t="s">
        <v>28</v>
      </c>
      <c r="L694" s="96" t="s">
        <v>1082</v>
      </c>
      <c r="M694" s="43"/>
    </row>
    <row r="695" spans="1:13" ht="142.5" x14ac:dyDescent="0.25">
      <c r="A695" s="1">
        <v>20</v>
      </c>
      <c r="B695" s="36">
        <f t="shared" si="59"/>
        <v>4</v>
      </c>
      <c r="C695" s="37" t="s">
        <v>1083</v>
      </c>
      <c r="D695" s="38" t="s">
        <v>33</v>
      </c>
      <c r="E695" s="40">
        <v>1003.668</v>
      </c>
      <c r="F695" s="40">
        <v>1003.668</v>
      </c>
      <c r="G695" s="40">
        <v>1003.668</v>
      </c>
      <c r="H695" s="40">
        <f>994.357-0.00046</f>
        <v>994.35654</v>
      </c>
      <c r="I695" s="40">
        <f>994.357-0.00046</f>
        <v>994.35654</v>
      </c>
      <c r="J695" s="40">
        <v>0</v>
      </c>
      <c r="K695" s="64" t="s">
        <v>38</v>
      </c>
      <c r="L695" s="76" t="s">
        <v>1084</v>
      </c>
      <c r="M695" s="43"/>
    </row>
    <row r="696" spans="1:13" ht="72" x14ac:dyDescent="0.25">
      <c r="A696" s="1">
        <v>20</v>
      </c>
      <c r="B696" s="36">
        <f t="shared" si="59"/>
        <v>5</v>
      </c>
      <c r="C696" s="37" t="s">
        <v>1085</v>
      </c>
      <c r="D696" s="38">
        <v>2016</v>
      </c>
      <c r="E696" s="40">
        <v>667.96900000000005</v>
      </c>
      <c r="F696" s="40">
        <v>667.96900000000005</v>
      </c>
      <c r="G696" s="40">
        <v>667.96900000000005</v>
      </c>
      <c r="H696" s="40">
        <v>667.96900000000005</v>
      </c>
      <c r="I696" s="40">
        <v>667.96900000000005</v>
      </c>
      <c r="J696" s="40">
        <v>0</v>
      </c>
      <c r="K696" s="64" t="s">
        <v>38</v>
      </c>
      <c r="L696" s="76" t="s">
        <v>1086</v>
      </c>
      <c r="M696" s="43"/>
    </row>
    <row r="697" spans="1:13" ht="72" x14ac:dyDescent="0.25">
      <c r="A697" s="1">
        <v>20</v>
      </c>
      <c r="B697" s="36">
        <f t="shared" si="59"/>
        <v>6</v>
      </c>
      <c r="C697" s="37" t="s">
        <v>1087</v>
      </c>
      <c r="D697" s="38" t="s">
        <v>95</v>
      </c>
      <c r="E697" s="40">
        <v>4312.59</v>
      </c>
      <c r="F697" s="40">
        <v>4312.59</v>
      </c>
      <c r="G697" s="40">
        <v>4312.59</v>
      </c>
      <c r="H697" s="40">
        <v>4312.59</v>
      </c>
      <c r="I697" s="40">
        <v>4312.59</v>
      </c>
      <c r="J697" s="40">
        <v>0</v>
      </c>
      <c r="K697" s="64" t="s">
        <v>28</v>
      </c>
      <c r="L697" s="95"/>
      <c r="M697" s="43"/>
    </row>
    <row r="698" spans="1:13" ht="89.25" x14ac:dyDescent="0.25">
      <c r="A698" s="1">
        <v>20</v>
      </c>
      <c r="B698" s="36">
        <f t="shared" si="59"/>
        <v>7</v>
      </c>
      <c r="C698" s="37" t="s">
        <v>1088</v>
      </c>
      <c r="D698" s="38" t="s">
        <v>33</v>
      </c>
      <c r="E698" s="40">
        <v>6341.5119999999997</v>
      </c>
      <c r="F698" s="40">
        <v>6341.5119999999997</v>
      </c>
      <c r="G698" s="40">
        <v>6341.5119999999997</v>
      </c>
      <c r="H698" s="40">
        <v>6341.5119999999997</v>
      </c>
      <c r="I698" s="40">
        <v>6341.5119999999997</v>
      </c>
      <c r="J698" s="40">
        <v>0</v>
      </c>
      <c r="K698" s="64" t="s">
        <v>28</v>
      </c>
      <c r="L698" s="96" t="s">
        <v>1089</v>
      </c>
      <c r="M698" s="43"/>
    </row>
    <row r="699" spans="1:13" ht="114" x14ac:dyDescent="0.25">
      <c r="A699" s="1">
        <v>20</v>
      </c>
      <c r="B699" s="36">
        <f t="shared" si="59"/>
        <v>8</v>
      </c>
      <c r="C699" s="37" t="s">
        <v>1090</v>
      </c>
      <c r="D699" s="38" t="s">
        <v>95</v>
      </c>
      <c r="E699" s="40">
        <v>5607.7169999999996</v>
      </c>
      <c r="F699" s="40">
        <v>5607.7169999999996</v>
      </c>
      <c r="G699" s="40">
        <v>5607.7169999999996</v>
      </c>
      <c r="H699" s="40">
        <v>5607.3149999999996</v>
      </c>
      <c r="I699" s="40">
        <v>5607.3149999999996</v>
      </c>
      <c r="J699" s="40">
        <v>0</v>
      </c>
      <c r="K699" s="64" t="s">
        <v>38</v>
      </c>
      <c r="L699" s="76" t="s">
        <v>1091</v>
      </c>
      <c r="M699" s="43" t="s">
        <v>1092</v>
      </c>
    </row>
    <row r="700" spans="1:13" ht="90" x14ac:dyDescent="0.25">
      <c r="A700" s="1">
        <v>20</v>
      </c>
      <c r="B700" s="36">
        <f t="shared" si="59"/>
        <v>9</v>
      </c>
      <c r="C700" s="37" t="s">
        <v>1093</v>
      </c>
      <c r="D700" s="38">
        <v>2016</v>
      </c>
      <c r="E700" s="40">
        <v>6064.38</v>
      </c>
      <c r="F700" s="40">
        <v>6064.38</v>
      </c>
      <c r="G700" s="40">
        <v>6064.38</v>
      </c>
      <c r="H700" s="40">
        <v>5968.5069999999996</v>
      </c>
      <c r="I700" s="40">
        <v>5968.5069999999996</v>
      </c>
      <c r="J700" s="40">
        <v>0</v>
      </c>
      <c r="K700" s="64" t="s">
        <v>28</v>
      </c>
      <c r="L700" s="95"/>
      <c r="M700" s="43"/>
    </row>
    <row r="701" spans="1:13" ht="114" x14ac:dyDescent="0.25">
      <c r="A701" s="1">
        <v>20</v>
      </c>
      <c r="B701" s="44">
        <f t="shared" si="59"/>
        <v>10</v>
      </c>
      <c r="C701" s="37" t="s">
        <v>1094</v>
      </c>
      <c r="D701" s="38" t="s">
        <v>49</v>
      </c>
      <c r="E701" s="40">
        <f>1108.17-681.679</f>
        <v>426.4910000000001</v>
      </c>
      <c r="F701" s="40">
        <v>426.4910000000001</v>
      </c>
      <c r="G701" s="40">
        <f>1108.17-681.679</f>
        <v>426.4910000000001</v>
      </c>
      <c r="H701" s="40">
        <v>426.49099999999999</v>
      </c>
      <c r="I701" s="40">
        <v>426.49099999999999</v>
      </c>
      <c r="J701" s="40">
        <v>0</v>
      </c>
      <c r="K701" s="64" t="s">
        <v>38</v>
      </c>
      <c r="L701" s="76" t="s">
        <v>1095</v>
      </c>
      <c r="M701" s="43"/>
    </row>
    <row r="702" spans="1:13" ht="99.75" x14ac:dyDescent="0.25">
      <c r="A702" s="1">
        <v>20</v>
      </c>
      <c r="B702" s="44">
        <f t="shared" si="59"/>
        <v>11</v>
      </c>
      <c r="C702" s="37" t="s">
        <v>1096</v>
      </c>
      <c r="D702" s="38" t="s">
        <v>49</v>
      </c>
      <c r="E702" s="40">
        <f>428.634-62.672</f>
        <v>365.96199999999999</v>
      </c>
      <c r="F702" s="40">
        <v>365.96199999999999</v>
      </c>
      <c r="G702" s="40">
        <f>428.634-62.672</f>
        <v>365.96199999999999</v>
      </c>
      <c r="H702" s="40">
        <v>365.96100000000001</v>
      </c>
      <c r="I702" s="40">
        <v>365.96100000000001</v>
      </c>
      <c r="J702" s="40">
        <v>0</v>
      </c>
      <c r="K702" s="64" t="s">
        <v>38</v>
      </c>
      <c r="L702" s="76" t="s">
        <v>1097</v>
      </c>
      <c r="M702" s="43"/>
    </row>
    <row r="703" spans="1:13" ht="85.5" x14ac:dyDescent="0.25">
      <c r="A703" s="1">
        <v>20</v>
      </c>
      <c r="B703" s="44">
        <f t="shared" si="59"/>
        <v>12</v>
      </c>
      <c r="C703" s="37" t="s">
        <v>1098</v>
      </c>
      <c r="D703" s="38" t="s">
        <v>49</v>
      </c>
      <c r="E703" s="40">
        <f>975.366-480.159</f>
        <v>495.20699999999999</v>
      </c>
      <c r="F703" s="40">
        <v>495.20699999999999</v>
      </c>
      <c r="G703" s="40">
        <f>975.366-480.159</f>
        <v>495.20699999999999</v>
      </c>
      <c r="H703" s="40">
        <v>24.547000000000001</v>
      </c>
      <c r="I703" s="40">
        <v>24.547000000000001</v>
      </c>
      <c r="J703" s="40">
        <v>0</v>
      </c>
      <c r="K703" s="64" t="s">
        <v>38</v>
      </c>
      <c r="L703" s="76" t="s">
        <v>1099</v>
      </c>
      <c r="M703" s="43"/>
    </row>
    <row r="704" spans="1:13" ht="142.5" x14ac:dyDescent="0.25">
      <c r="A704" s="1">
        <v>20</v>
      </c>
      <c r="B704" s="44">
        <f t="shared" si="59"/>
        <v>13</v>
      </c>
      <c r="C704" s="37" t="s">
        <v>1100</v>
      </c>
      <c r="D704" s="38" t="s">
        <v>49</v>
      </c>
      <c r="E704" s="40">
        <f>832.165-57.883</f>
        <v>774.28199999999993</v>
      </c>
      <c r="F704" s="40">
        <v>774.28199999999993</v>
      </c>
      <c r="G704" s="40">
        <f>832.165-57.883</f>
        <v>774.28199999999993</v>
      </c>
      <c r="H704" s="40">
        <v>774.11300000000006</v>
      </c>
      <c r="I704" s="40">
        <v>774.11300000000006</v>
      </c>
      <c r="J704" s="40">
        <v>0</v>
      </c>
      <c r="K704" s="64" t="s">
        <v>38</v>
      </c>
      <c r="L704" s="76" t="s">
        <v>1101</v>
      </c>
      <c r="M704" s="43" t="s">
        <v>1102</v>
      </c>
    </row>
    <row r="705" spans="1:13" ht="126" x14ac:dyDescent="0.25">
      <c r="A705" s="1">
        <v>20</v>
      </c>
      <c r="B705" s="36">
        <f t="shared" si="59"/>
        <v>14</v>
      </c>
      <c r="C705" s="37" t="s">
        <v>1103</v>
      </c>
      <c r="D705" s="38">
        <v>2016</v>
      </c>
      <c r="E705" s="40">
        <v>8099.951</v>
      </c>
      <c r="F705" s="40">
        <v>8099.951</v>
      </c>
      <c r="G705" s="40">
        <v>8099.951</v>
      </c>
      <c r="H705" s="40">
        <v>8026.5519999999997</v>
      </c>
      <c r="I705" s="40">
        <v>8026.5519999999997</v>
      </c>
      <c r="J705" s="40">
        <v>0</v>
      </c>
      <c r="K705" s="64" t="s">
        <v>38</v>
      </c>
      <c r="L705" s="42" t="s">
        <v>1104</v>
      </c>
      <c r="M705" s="43"/>
    </row>
    <row r="706" spans="1:13" ht="114" x14ac:dyDescent="0.25">
      <c r="A706" s="1">
        <v>20</v>
      </c>
      <c r="B706" s="36">
        <f t="shared" si="59"/>
        <v>15</v>
      </c>
      <c r="C706" s="37" t="s">
        <v>1105</v>
      </c>
      <c r="D706" s="38">
        <v>2016</v>
      </c>
      <c r="E706" s="40">
        <v>195.274</v>
      </c>
      <c r="F706" s="40">
        <v>195.274</v>
      </c>
      <c r="G706" s="40">
        <v>195.274</v>
      </c>
      <c r="H706" s="40">
        <v>191.16900000000001</v>
      </c>
      <c r="I706" s="40">
        <v>191.16900000000001</v>
      </c>
      <c r="J706" s="40">
        <v>0</v>
      </c>
      <c r="K706" s="64" t="s">
        <v>38</v>
      </c>
      <c r="L706" s="76" t="s">
        <v>1106</v>
      </c>
      <c r="M706" s="43" t="s">
        <v>1107</v>
      </c>
    </row>
    <row r="707" spans="1:13" ht="185.25" x14ac:dyDescent="0.25">
      <c r="A707" s="1">
        <v>20</v>
      </c>
      <c r="B707" s="44">
        <f t="shared" si="59"/>
        <v>16</v>
      </c>
      <c r="C707" s="37" t="s">
        <v>1108</v>
      </c>
      <c r="D707" s="38">
        <v>2016</v>
      </c>
      <c r="E707" s="40">
        <f>3328.837-188.41</f>
        <v>3140.4270000000001</v>
      </c>
      <c r="F707" s="40">
        <v>3140.4270000000001</v>
      </c>
      <c r="G707" s="40">
        <f>3328.837-188.41</f>
        <v>3140.4270000000001</v>
      </c>
      <c r="H707" s="40">
        <v>2927.8850000000002</v>
      </c>
      <c r="I707" s="40">
        <v>2927.8850000000002</v>
      </c>
      <c r="J707" s="40">
        <v>0</v>
      </c>
      <c r="K707" s="64" t="s">
        <v>38</v>
      </c>
      <c r="L707" s="76" t="s">
        <v>1109</v>
      </c>
      <c r="M707" s="43"/>
    </row>
    <row r="708" spans="1:13" ht="54" x14ac:dyDescent="0.25">
      <c r="A708" s="1">
        <v>20</v>
      </c>
      <c r="B708" s="36">
        <f t="shared" si="59"/>
        <v>17</v>
      </c>
      <c r="C708" s="37" t="s">
        <v>1110</v>
      </c>
      <c r="D708" s="38" t="s">
        <v>33</v>
      </c>
      <c r="E708" s="40">
        <v>8108.6090000000004</v>
      </c>
      <c r="F708" s="40">
        <v>8108.6090000000004</v>
      </c>
      <c r="G708" s="40">
        <v>8108.6090000000004</v>
      </c>
      <c r="H708" s="39">
        <v>7465.1319999999996</v>
      </c>
      <c r="I708" s="40">
        <v>7465.1319999999996</v>
      </c>
      <c r="J708" s="40">
        <v>0</v>
      </c>
      <c r="K708" s="64" t="s">
        <v>28</v>
      </c>
      <c r="L708" s="95"/>
      <c r="M708" s="43"/>
    </row>
    <row r="709" spans="1:13" ht="171" x14ac:dyDescent="0.25">
      <c r="A709" s="1">
        <v>20</v>
      </c>
      <c r="B709" s="44">
        <f t="shared" si="59"/>
        <v>18</v>
      </c>
      <c r="C709" s="37" t="s">
        <v>1111</v>
      </c>
      <c r="D709" s="38" t="s">
        <v>49</v>
      </c>
      <c r="E709" s="40">
        <f>1550.673-242.279</f>
        <v>1308.394</v>
      </c>
      <c r="F709" s="40">
        <v>1308.394</v>
      </c>
      <c r="G709" s="40">
        <f>1550.673-242.279</f>
        <v>1308.394</v>
      </c>
      <c r="H709" s="40">
        <v>1301.932</v>
      </c>
      <c r="I709" s="40">
        <v>1301.932</v>
      </c>
      <c r="J709" s="40">
        <v>0</v>
      </c>
      <c r="K709" s="64" t="s">
        <v>38</v>
      </c>
      <c r="L709" s="76" t="s">
        <v>1112</v>
      </c>
      <c r="M709" s="43"/>
    </row>
    <row r="710" spans="1:13" ht="72" x14ac:dyDescent="0.25">
      <c r="A710" s="1">
        <v>20</v>
      </c>
      <c r="B710" s="44">
        <f t="shared" si="59"/>
        <v>19</v>
      </c>
      <c r="C710" s="37" t="s">
        <v>1113</v>
      </c>
      <c r="D710" s="38" t="s">
        <v>330</v>
      </c>
      <c r="E710" s="40">
        <f>24750+1713.082</f>
        <v>26463.081999999999</v>
      </c>
      <c r="F710" s="40">
        <v>26463.081999999999</v>
      </c>
      <c r="G710" s="40">
        <f>24750+1713.082</f>
        <v>26463.081999999999</v>
      </c>
      <c r="H710" s="40">
        <v>26463.081999999999</v>
      </c>
      <c r="I710" s="40">
        <v>26463.081999999999</v>
      </c>
      <c r="J710" s="40">
        <v>0</v>
      </c>
      <c r="K710" s="64" t="s">
        <v>31</v>
      </c>
      <c r="L710" s="95"/>
      <c r="M710" s="43"/>
    </row>
    <row r="711" spans="1:13" ht="73.5" x14ac:dyDescent="0.25">
      <c r="A711" s="1">
        <v>20</v>
      </c>
      <c r="B711" s="36">
        <f t="shared" si="59"/>
        <v>20</v>
      </c>
      <c r="C711" s="37" t="s">
        <v>1114</v>
      </c>
      <c r="D711" s="38"/>
      <c r="E711" s="40">
        <v>65.557000000000002</v>
      </c>
      <c r="F711" s="40">
        <v>65.557000000000002</v>
      </c>
      <c r="G711" s="40">
        <v>65.557000000000002</v>
      </c>
      <c r="H711" s="40">
        <v>65.557000000000002</v>
      </c>
      <c r="I711" s="40">
        <v>0</v>
      </c>
      <c r="J711" s="40">
        <v>0</v>
      </c>
      <c r="K711" s="64" t="s">
        <v>1115</v>
      </c>
      <c r="L711" s="95"/>
      <c r="M711" s="43"/>
    </row>
    <row r="712" spans="1:13" ht="108" x14ac:dyDescent="0.25">
      <c r="A712" s="1">
        <v>20</v>
      </c>
      <c r="B712" s="36">
        <f t="shared" si="59"/>
        <v>21</v>
      </c>
      <c r="C712" s="37" t="s">
        <v>1116</v>
      </c>
      <c r="D712" s="38" t="s">
        <v>1117</v>
      </c>
      <c r="E712" s="40">
        <v>32414.651000000002</v>
      </c>
      <c r="F712" s="40">
        <v>32414.651000000002</v>
      </c>
      <c r="G712" s="40">
        <v>32414.651000000002</v>
      </c>
      <c r="H712" s="40">
        <v>32364.05</v>
      </c>
      <c r="I712" s="40">
        <v>32364.05</v>
      </c>
      <c r="J712" s="40">
        <v>0</v>
      </c>
      <c r="K712" s="64" t="s">
        <v>31</v>
      </c>
      <c r="L712" s="95"/>
      <c r="M712" s="43"/>
    </row>
    <row r="713" spans="1:13" ht="72" x14ac:dyDescent="0.25">
      <c r="A713" s="1">
        <v>20</v>
      </c>
      <c r="B713" s="36">
        <f t="shared" si="59"/>
        <v>22</v>
      </c>
      <c r="C713" s="37" t="s">
        <v>1118</v>
      </c>
      <c r="D713" s="38" t="s">
        <v>49</v>
      </c>
      <c r="E713" s="40">
        <v>1024.373</v>
      </c>
      <c r="F713" s="40">
        <v>1024.373</v>
      </c>
      <c r="G713" s="40">
        <v>1024.373</v>
      </c>
      <c r="H713" s="40">
        <v>1018.417</v>
      </c>
      <c r="I713" s="40">
        <v>1018.417</v>
      </c>
      <c r="J713" s="40">
        <v>0</v>
      </c>
      <c r="K713" s="64" t="s">
        <v>38</v>
      </c>
      <c r="L713" s="42" t="s">
        <v>1119</v>
      </c>
      <c r="M713" s="43"/>
    </row>
    <row r="714" spans="1:13" ht="199.5" x14ac:dyDescent="0.25">
      <c r="A714" s="1">
        <v>20</v>
      </c>
      <c r="B714" s="36">
        <f t="shared" si="59"/>
        <v>23</v>
      </c>
      <c r="C714" s="37" t="s">
        <v>1120</v>
      </c>
      <c r="D714" s="38" t="s">
        <v>33</v>
      </c>
      <c r="E714" s="40">
        <v>504</v>
      </c>
      <c r="F714" s="40">
        <v>504</v>
      </c>
      <c r="G714" s="40">
        <v>504</v>
      </c>
      <c r="H714" s="40">
        <v>428.36399999999998</v>
      </c>
      <c r="I714" s="40">
        <v>428.36399999999998</v>
      </c>
      <c r="J714" s="40">
        <v>0</v>
      </c>
      <c r="K714" s="64" t="s">
        <v>28</v>
      </c>
      <c r="L714" s="76" t="s">
        <v>1121</v>
      </c>
      <c r="M714" s="43"/>
    </row>
    <row r="715" spans="1:13" ht="213.75" x14ac:dyDescent="0.25">
      <c r="A715" s="1">
        <v>20</v>
      </c>
      <c r="B715" s="36">
        <f t="shared" si="59"/>
        <v>24</v>
      </c>
      <c r="C715" s="37" t="s">
        <v>1122</v>
      </c>
      <c r="D715" s="38" t="s">
        <v>33</v>
      </c>
      <c r="E715" s="40">
        <v>4702.4620000000004</v>
      </c>
      <c r="F715" s="40">
        <v>4702.4620000000004</v>
      </c>
      <c r="G715" s="40">
        <v>4702.4620000000004</v>
      </c>
      <c r="H715" s="40">
        <v>4702.4620000000004</v>
      </c>
      <c r="I715" s="40">
        <v>4702.4620000000004</v>
      </c>
      <c r="J715" s="40">
        <v>0</v>
      </c>
      <c r="K715" s="64" t="s">
        <v>38</v>
      </c>
      <c r="L715" s="76" t="s">
        <v>1123</v>
      </c>
      <c r="M715" s="43"/>
    </row>
    <row r="716" spans="1:13" ht="60.75" thickBot="1" x14ac:dyDescent="0.3">
      <c r="A716" s="1">
        <v>20</v>
      </c>
      <c r="B716" s="56">
        <f t="shared" si="59"/>
        <v>25</v>
      </c>
      <c r="C716" s="57" t="s">
        <v>1124</v>
      </c>
      <c r="D716" s="67" t="s">
        <v>61</v>
      </c>
      <c r="E716" s="68">
        <v>2238.3490000000002</v>
      </c>
      <c r="F716" s="68">
        <v>2238.3490000000002</v>
      </c>
      <c r="G716" s="68">
        <v>2238.3490000000002</v>
      </c>
      <c r="H716" s="68">
        <v>1871.8420000000001</v>
      </c>
      <c r="I716" s="68">
        <v>1871.8420000000001</v>
      </c>
      <c r="J716" s="68">
        <v>0</v>
      </c>
      <c r="K716" s="70" t="s">
        <v>38</v>
      </c>
      <c r="L716" s="71" t="s">
        <v>1125</v>
      </c>
      <c r="M716" s="72"/>
    </row>
    <row r="717" spans="1:13" ht="18" customHeight="1" x14ac:dyDescent="0.25">
      <c r="A717" s="1">
        <v>21</v>
      </c>
      <c r="B717" s="112" t="s">
        <v>1126</v>
      </c>
      <c r="C717" s="113"/>
      <c r="D717" s="113"/>
      <c r="E717" s="113"/>
      <c r="F717" s="113"/>
      <c r="G717" s="113"/>
      <c r="H717" s="113"/>
      <c r="I717" s="113"/>
      <c r="J717" s="113"/>
      <c r="K717" s="113"/>
      <c r="L717" s="113"/>
      <c r="M717" s="114"/>
    </row>
    <row r="718" spans="1:13" ht="18" x14ac:dyDescent="0.25">
      <c r="A718" s="1">
        <v>21</v>
      </c>
      <c r="B718" s="21"/>
      <c r="C718" s="22" t="s">
        <v>25</v>
      </c>
      <c r="D718" s="23"/>
      <c r="E718" s="34">
        <f t="shared" ref="E718:J718" si="60">SUM(E719,E721:E751)</f>
        <v>93363.716000000015</v>
      </c>
      <c r="F718" s="34">
        <f t="shared" si="60"/>
        <v>93363.716000000015</v>
      </c>
      <c r="G718" s="34">
        <f t="shared" si="60"/>
        <v>93363.716000000015</v>
      </c>
      <c r="H718" s="34">
        <f t="shared" si="60"/>
        <v>87183.392409999986</v>
      </c>
      <c r="I718" s="34">
        <f t="shared" si="60"/>
        <v>87183.392409999986</v>
      </c>
      <c r="J718" s="34">
        <f t="shared" si="60"/>
        <v>0</v>
      </c>
      <c r="K718" s="23"/>
      <c r="L718" s="23"/>
      <c r="M718" s="26"/>
    </row>
    <row r="719" spans="1:13" ht="18" x14ac:dyDescent="0.25">
      <c r="A719" s="1">
        <v>21</v>
      </c>
      <c r="B719" s="21"/>
      <c r="C719" s="22" t="s">
        <v>22</v>
      </c>
      <c r="D719" s="23"/>
      <c r="E719" s="34">
        <v>0</v>
      </c>
      <c r="F719" s="34">
        <v>0</v>
      </c>
      <c r="G719" s="34">
        <v>0</v>
      </c>
      <c r="H719" s="34"/>
      <c r="I719" s="34"/>
      <c r="J719" s="34"/>
      <c r="K719" s="23"/>
      <c r="L719" s="23"/>
      <c r="M719" s="26"/>
    </row>
    <row r="720" spans="1:13" ht="36" x14ac:dyDescent="0.25">
      <c r="A720" s="1">
        <v>21</v>
      </c>
      <c r="B720" s="21"/>
      <c r="C720" s="22" t="s">
        <v>23</v>
      </c>
      <c r="D720" s="23"/>
      <c r="E720" s="34">
        <f t="shared" ref="E720:J720" si="61">SUM(E721:E751)</f>
        <v>93363.716000000015</v>
      </c>
      <c r="F720" s="34">
        <f t="shared" si="61"/>
        <v>93363.716000000015</v>
      </c>
      <c r="G720" s="34">
        <f t="shared" si="61"/>
        <v>93363.716000000015</v>
      </c>
      <c r="H720" s="34">
        <f t="shared" si="61"/>
        <v>87183.392409999986</v>
      </c>
      <c r="I720" s="34">
        <f t="shared" si="61"/>
        <v>87183.392409999986</v>
      </c>
      <c r="J720" s="34">
        <f t="shared" si="61"/>
        <v>0</v>
      </c>
      <c r="K720" s="23"/>
      <c r="L720" s="23"/>
      <c r="M720" s="26"/>
    </row>
    <row r="721" spans="1:13" ht="54" x14ac:dyDescent="0.25">
      <c r="A721" s="1">
        <v>21</v>
      </c>
      <c r="B721" s="36">
        <v>1</v>
      </c>
      <c r="C721" s="37" t="s">
        <v>1127</v>
      </c>
      <c r="D721" s="38" t="s">
        <v>33</v>
      </c>
      <c r="E721" s="40">
        <v>44280</v>
      </c>
      <c r="F721" s="40">
        <v>44280</v>
      </c>
      <c r="G721" s="40">
        <v>44280</v>
      </c>
      <c r="H721" s="40">
        <v>44279.999989999997</v>
      </c>
      <c r="I721" s="40">
        <v>44279.999989999997</v>
      </c>
      <c r="J721" s="40">
        <v>0</v>
      </c>
      <c r="K721" s="64" t="s">
        <v>28</v>
      </c>
      <c r="L721" s="42"/>
      <c r="M721" s="43"/>
    </row>
    <row r="722" spans="1:13" ht="54" x14ac:dyDescent="0.25">
      <c r="A722" s="1">
        <v>21</v>
      </c>
      <c r="B722" s="44">
        <f>B721+1</f>
        <v>2</v>
      </c>
      <c r="C722" s="37" t="s">
        <v>1128</v>
      </c>
      <c r="D722" s="38" t="s">
        <v>33</v>
      </c>
      <c r="E722" s="40">
        <f>7472+743.381+1649.2</f>
        <v>9864.5810000000001</v>
      </c>
      <c r="F722" s="40">
        <v>9864.5810000000001</v>
      </c>
      <c r="G722" s="40">
        <v>9864.5810000000001</v>
      </c>
      <c r="H722" s="40">
        <v>7390.7347099999997</v>
      </c>
      <c r="I722" s="40">
        <v>7390.7347099999997</v>
      </c>
      <c r="J722" s="40">
        <v>0</v>
      </c>
      <c r="K722" s="64" t="s">
        <v>28</v>
      </c>
      <c r="L722" s="42"/>
      <c r="M722" s="43"/>
    </row>
    <row r="723" spans="1:13" ht="90" x14ac:dyDescent="0.25">
      <c r="A723" s="1">
        <v>21</v>
      </c>
      <c r="B723" s="44">
        <f t="shared" ref="B723:B751" si="62">B722+1</f>
        <v>3</v>
      </c>
      <c r="C723" s="37" t="s">
        <v>1129</v>
      </c>
      <c r="D723" s="38" t="s">
        <v>33</v>
      </c>
      <c r="E723" s="40">
        <f>4000-128</f>
        <v>3872</v>
      </c>
      <c r="F723" s="40">
        <v>3872</v>
      </c>
      <c r="G723" s="40">
        <v>3872</v>
      </c>
      <c r="H723" s="39">
        <v>2256.5079799999999</v>
      </c>
      <c r="I723" s="40">
        <v>2256.5079799999999</v>
      </c>
      <c r="J723" s="40">
        <v>0</v>
      </c>
      <c r="K723" s="64" t="s">
        <v>28</v>
      </c>
      <c r="L723" s="42"/>
      <c r="M723" s="43"/>
    </row>
    <row r="724" spans="1:13" ht="108" x14ac:dyDescent="0.25">
      <c r="A724" s="1">
        <v>21</v>
      </c>
      <c r="B724" s="36">
        <f t="shared" si="62"/>
        <v>4</v>
      </c>
      <c r="C724" s="37" t="s">
        <v>1130</v>
      </c>
      <c r="D724" s="38" t="s">
        <v>37</v>
      </c>
      <c r="E724" s="40">
        <v>3566.62</v>
      </c>
      <c r="F724" s="40">
        <v>3566.62</v>
      </c>
      <c r="G724" s="40">
        <v>3566.62</v>
      </c>
      <c r="H724" s="40">
        <v>3521.6288399999999</v>
      </c>
      <c r="I724" s="40">
        <v>3521.6288399999999</v>
      </c>
      <c r="J724" s="40">
        <v>0</v>
      </c>
      <c r="K724" s="64" t="s">
        <v>38</v>
      </c>
      <c r="L724" s="42" t="s">
        <v>1131</v>
      </c>
      <c r="M724" s="43"/>
    </row>
    <row r="725" spans="1:13" ht="90" x14ac:dyDescent="0.25">
      <c r="A725" s="1">
        <v>21</v>
      </c>
      <c r="B725" s="36">
        <f t="shared" si="62"/>
        <v>5</v>
      </c>
      <c r="C725" s="37" t="s">
        <v>1132</v>
      </c>
      <c r="D725" s="38" t="s">
        <v>49</v>
      </c>
      <c r="E725" s="40">
        <v>5951.1350000000002</v>
      </c>
      <c r="F725" s="40">
        <v>5951.1350000000002</v>
      </c>
      <c r="G725" s="40">
        <v>5951.1350000000002</v>
      </c>
      <c r="H725" s="40">
        <v>5692.1087299999999</v>
      </c>
      <c r="I725" s="40">
        <v>5692.1087299999999</v>
      </c>
      <c r="J725" s="40">
        <v>0</v>
      </c>
      <c r="K725" s="64" t="s">
        <v>38</v>
      </c>
      <c r="L725" s="42" t="s">
        <v>124</v>
      </c>
      <c r="M725" s="43"/>
    </row>
    <row r="726" spans="1:13" ht="36" x14ac:dyDescent="0.25">
      <c r="A726" s="1">
        <v>21</v>
      </c>
      <c r="B726" s="36">
        <f t="shared" si="62"/>
        <v>6</v>
      </c>
      <c r="C726" s="37" t="s">
        <v>1133</v>
      </c>
      <c r="D726" s="38" t="s">
        <v>49</v>
      </c>
      <c r="E726" s="40">
        <v>5000</v>
      </c>
      <c r="F726" s="40">
        <v>5000</v>
      </c>
      <c r="G726" s="40">
        <v>5000</v>
      </c>
      <c r="H726" s="40">
        <v>4831.6512199999997</v>
      </c>
      <c r="I726" s="40">
        <v>4831.6512199999997</v>
      </c>
      <c r="J726" s="40">
        <v>0</v>
      </c>
      <c r="K726" s="64" t="s">
        <v>28</v>
      </c>
      <c r="L726" s="42"/>
      <c r="M726" s="43"/>
    </row>
    <row r="727" spans="1:13" ht="90" x14ac:dyDescent="0.25">
      <c r="A727" s="1">
        <v>21</v>
      </c>
      <c r="B727" s="44">
        <f t="shared" si="62"/>
        <v>7</v>
      </c>
      <c r="C727" s="37" t="s">
        <v>1134</v>
      </c>
      <c r="D727" s="38" t="s">
        <v>37</v>
      </c>
      <c r="E727" s="40">
        <f>1517.574-174.6</f>
        <v>1342.9740000000002</v>
      </c>
      <c r="F727" s="40">
        <v>1342.9740000000002</v>
      </c>
      <c r="G727" s="40">
        <v>1342.9740000000002</v>
      </c>
      <c r="H727" s="40">
        <v>1204.7850800000001</v>
      </c>
      <c r="I727" s="40">
        <v>1204.7850800000001</v>
      </c>
      <c r="J727" s="40">
        <v>0</v>
      </c>
      <c r="K727" s="64" t="s">
        <v>38</v>
      </c>
      <c r="L727" s="42" t="s">
        <v>1135</v>
      </c>
      <c r="M727" s="43" t="s">
        <v>1136</v>
      </c>
    </row>
    <row r="728" spans="1:13" ht="72" x14ac:dyDescent="0.25">
      <c r="A728" s="1">
        <v>21</v>
      </c>
      <c r="B728" s="44">
        <f t="shared" si="62"/>
        <v>8</v>
      </c>
      <c r="C728" s="37" t="s">
        <v>1137</v>
      </c>
      <c r="D728" s="38" t="s">
        <v>37</v>
      </c>
      <c r="E728" s="40">
        <f>799.897-4.8</f>
        <v>795.09700000000009</v>
      </c>
      <c r="F728" s="40">
        <v>795.09700000000009</v>
      </c>
      <c r="G728" s="40">
        <v>795.09700000000009</v>
      </c>
      <c r="H728" s="40">
        <v>613.73878000000002</v>
      </c>
      <c r="I728" s="40">
        <v>613.73878000000002</v>
      </c>
      <c r="J728" s="40">
        <v>0</v>
      </c>
      <c r="K728" s="64" t="s">
        <v>38</v>
      </c>
      <c r="L728" s="42" t="s">
        <v>512</v>
      </c>
      <c r="M728" s="43" t="s">
        <v>1138</v>
      </c>
    </row>
    <row r="729" spans="1:13" ht="90" x14ac:dyDescent="0.25">
      <c r="A729" s="1">
        <v>21</v>
      </c>
      <c r="B729" s="44">
        <f t="shared" si="62"/>
        <v>9</v>
      </c>
      <c r="C729" s="37" t="s">
        <v>1139</v>
      </c>
      <c r="D729" s="38" t="s">
        <v>37</v>
      </c>
      <c r="E729" s="40">
        <f>529.792-19.3</f>
        <v>510.49200000000002</v>
      </c>
      <c r="F729" s="40">
        <v>510.49200000000002</v>
      </c>
      <c r="G729" s="40">
        <v>510.49200000000002</v>
      </c>
      <c r="H729" s="40">
        <v>383.97383000000002</v>
      </c>
      <c r="I729" s="40">
        <v>383.97383000000002</v>
      </c>
      <c r="J729" s="40">
        <v>0</v>
      </c>
      <c r="K729" s="64" t="s">
        <v>28</v>
      </c>
      <c r="L729" s="42"/>
      <c r="M729" s="43"/>
    </row>
    <row r="730" spans="1:13" ht="54" x14ac:dyDescent="0.25">
      <c r="A730" s="1">
        <v>21</v>
      </c>
      <c r="B730" s="36">
        <f t="shared" si="62"/>
        <v>10</v>
      </c>
      <c r="C730" s="37" t="s">
        <v>1140</v>
      </c>
      <c r="D730" s="38" t="s">
        <v>37</v>
      </c>
      <c r="E730" s="40">
        <v>278.964</v>
      </c>
      <c r="F730" s="40">
        <v>278.964</v>
      </c>
      <c r="G730" s="40">
        <v>278.964</v>
      </c>
      <c r="H730" s="40">
        <v>272.64228000000003</v>
      </c>
      <c r="I730" s="40">
        <v>272.64228000000003</v>
      </c>
      <c r="J730" s="40">
        <v>0</v>
      </c>
      <c r="K730" s="64" t="s">
        <v>38</v>
      </c>
      <c r="L730" s="42" t="s">
        <v>1141</v>
      </c>
      <c r="M730" s="43"/>
    </row>
    <row r="731" spans="1:13" ht="54" x14ac:dyDescent="0.25">
      <c r="A731" s="1">
        <v>21</v>
      </c>
      <c r="B731" s="44">
        <f t="shared" si="62"/>
        <v>11</v>
      </c>
      <c r="C731" s="37" t="s">
        <v>1142</v>
      </c>
      <c r="D731" s="38" t="s">
        <v>37</v>
      </c>
      <c r="E731" s="40">
        <f>1035-34.4</f>
        <v>1000.6</v>
      </c>
      <c r="F731" s="40">
        <v>1000.6</v>
      </c>
      <c r="G731" s="40">
        <v>1000.6</v>
      </c>
      <c r="H731" s="40">
        <v>906.18889999999999</v>
      </c>
      <c r="I731" s="40">
        <v>906.18889999999999</v>
      </c>
      <c r="J731" s="40">
        <v>0</v>
      </c>
      <c r="K731" s="64" t="s">
        <v>28</v>
      </c>
      <c r="L731" s="42"/>
      <c r="M731" s="43"/>
    </row>
    <row r="732" spans="1:13" ht="90" x14ac:dyDescent="0.25">
      <c r="A732" s="1">
        <v>21</v>
      </c>
      <c r="B732" s="44">
        <f t="shared" si="62"/>
        <v>12</v>
      </c>
      <c r="C732" s="37" t="s">
        <v>1143</v>
      </c>
      <c r="D732" s="38" t="s">
        <v>37</v>
      </c>
      <c r="E732" s="40">
        <f>575.626-20.5</f>
        <v>555.12599999999998</v>
      </c>
      <c r="F732" s="40">
        <v>555.12599999999998</v>
      </c>
      <c r="G732" s="40">
        <v>555.12599999999998</v>
      </c>
      <c r="H732" s="40">
        <v>541.49230999999997</v>
      </c>
      <c r="I732" s="40">
        <v>541.49230999999997</v>
      </c>
      <c r="J732" s="40">
        <v>0</v>
      </c>
      <c r="K732" s="41" t="s">
        <v>38</v>
      </c>
      <c r="L732" s="42" t="s">
        <v>1144</v>
      </c>
      <c r="M732" s="43"/>
    </row>
    <row r="733" spans="1:13" ht="72" x14ac:dyDescent="0.25">
      <c r="A733" s="1">
        <v>21</v>
      </c>
      <c r="B733" s="44">
        <f t="shared" si="62"/>
        <v>13</v>
      </c>
      <c r="C733" s="37" t="s">
        <v>1145</v>
      </c>
      <c r="D733" s="38" t="s">
        <v>37</v>
      </c>
      <c r="E733" s="40">
        <f>1030.517-7.2</f>
        <v>1023.317</v>
      </c>
      <c r="F733" s="40">
        <v>1023.317</v>
      </c>
      <c r="G733" s="40">
        <v>1023.317</v>
      </c>
      <c r="H733" s="40">
        <v>856.23879999999997</v>
      </c>
      <c r="I733" s="40">
        <v>856.23879999999997</v>
      </c>
      <c r="J733" s="40">
        <v>0</v>
      </c>
      <c r="K733" s="64" t="s">
        <v>28</v>
      </c>
      <c r="L733" s="42"/>
      <c r="M733" s="43"/>
    </row>
    <row r="734" spans="1:13" ht="54" x14ac:dyDescent="0.25">
      <c r="A734" s="1">
        <v>21</v>
      </c>
      <c r="B734" s="44">
        <f t="shared" si="62"/>
        <v>14</v>
      </c>
      <c r="C734" s="37" t="s">
        <v>1146</v>
      </c>
      <c r="D734" s="38" t="s">
        <v>37</v>
      </c>
      <c r="E734" s="40">
        <f>455.251-1.9</f>
        <v>453.351</v>
      </c>
      <c r="F734" s="40">
        <v>453.351</v>
      </c>
      <c r="G734" s="40">
        <v>453.351</v>
      </c>
      <c r="H734" s="40">
        <v>453.15472999999997</v>
      </c>
      <c r="I734" s="40">
        <v>453.15472999999997</v>
      </c>
      <c r="J734" s="40">
        <v>0</v>
      </c>
      <c r="K734" s="41" t="s">
        <v>38</v>
      </c>
      <c r="L734" s="42" t="s">
        <v>1147</v>
      </c>
      <c r="M734" s="43" t="s">
        <v>1148</v>
      </c>
    </row>
    <row r="735" spans="1:13" ht="72" x14ac:dyDescent="0.25">
      <c r="A735" s="1">
        <v>21</v>
      </c>
      <c r="B735" s="44">
        <f t="shared" si="62"/>
        <v>15</v>
      </c>
      <c r="C735" s="37" t="s">
        <v>1149</v>
      </c>
      <c r="D735" s="38" t="s">
        <v>37</v>
      </c>
      <c r="E735" s="40">
        <f>1526.813-157.6</f>
        <v>1369.2130000000002</v>
      </c>
      <c r="F735" s="40">
        <v>1369.2130000000002</v>
      </c>
      <c r="G735" s="40">
        <v>1369.2130000000002</v>
      </c>
      <c r="H735" s="40">
        <v>1316.7380800000001</v>
      </c>
      <c r="I735" s="40">
        <v>1316.7380800000001</v>
      </c>
      <c r="J735" s="40">
        <v>0</v>
      </c>
      <c r="K735" s="64" t="s">
        <v>38</v>
      </c>
      <c r="L735" s="42" t="s">
        <v>74</v>
      </c>
      <c r="M735" s="43" t="s">
        <v>1136</v>
      </c>
    </row>
    <row r="736" spans="1:13" ht="72" x14ac:dyDescent="0.25">
      <c r="A736" s="1">
        <v>21</v>
      </c>
      <c r="B736" s="44">
        <f t="shared" si="62"/>
        <v>16</v>
      </c>
      <c r="C736" s="37" t="s">
        <v>1150</v>
      </c>
      <c r="D736" s="38" t="s">
        <v>37</v>
      </c>
      <c r="E736" s="40">
        <f>1390.191-84.2</f>
        <v>1305.991</v>
      </c>
      <c r="F736" s="40">
        <v>1305.991</v>
      </c>
      <c r="G736" s="40">
        <v>1305.991</v>
      </c>
      <c r="H736" s="39">
        <v>1305.0563400000001</v>
      </c>
      <c r="I736" s="40">
        <v>1305.0563400000001</v>
      </c>
      <c r="J736" s="40">
        <v>0</v>
      </c>
      <c r="K736" s="64" t="s">
        <v>38</v>
      </c>
      <c r="L736" s="42" t="s">
        <v>1151</v>
      </c>
      <c r="M736" s="43"/>
    </row>
    <row r="737" spans="1:13" ht="72" x14ac:dyDescent="0.25">
      <c r="A737" s="1">
        <v>21</v>
      </c>
      <c r="B737" s="44">
        <f t="shared" si="62"/>
        <v>17</v>
      </c>
      <c r="C737" s="37" t="s">
        <v>1152</v>
      </c>
      <c r="D737" s="38" t="s">
        <v>37</v>
      </c>
      <c r="E737" s="40">
        <f>1067-37</f>
        <v>1030</v>
      </c>
      <c r="F737" s="40">
        <v>1030</v>
      </c>
      <c r="G737" s="40">
        <v>1030</v>
      </c>
      <c r="H737" s="40">
        <v>1028.3860299999999</v>
      </c>
      <c r="I737" s="40">
        <v>1028.3860299999999</v>
      </c>
      <c r="J737" s="40">
        <v>0</v>
      </c>
      <c r="K737" s="64" t="s">
        <v>38</v>
      </c>
      <c r="L737" s="42" t="s">
        <v>460</v>
      </c>
      <c r="M737" s="43"/>
    </row>
    <row r="738" spans="1:13" ht="54" x14ac:dyDescent="0.25">
      <c r="A738" s="1">
        <v>21</v>
      </c>
      <c r="B738" s="44">
        <f t="shared" si="62"/>
        <v>18</v>
      </c>
      <c r="C738" s="37" t="s">
        <v>1153</v>
      </c>
      <c r="D738" s="38" t="s">
        <v>37</v>
      </c>
      <c r="E738" s="40">
        <f>673.711-3.5</f>
        <v>670.21100000000001</v>
      </c>
      <c r="F738" s="40">
        <v>670.21100000000001</v>
      </c>
      <c r="G738" s="40">
        <v>670.21100000000001</v>
      </c>
      <c r="H738" s="40">
        <v>558.47356000000002</v>
      </c>
      <c r="I738" s="40">
        <v>558.47356000000002</v>
      </c>
      <c r="J738" s="40">
        <v>0</v>
      </c>
      <c r="K738" s="64" t="s">
        <v>28</v>
      </c>
      <c r="L738" s="42"/>
      <c r="M738" s="43"/>
    </row>
    <row r="739" spans="1:13" ht="54" x14ac:dyDescent="0.25">
      <c r="A739" s="1">
        <v>21</v>
      </c>
      <c r="B739" s="36">
        <f t="shared" si="62"/>
        <v>19</v>
      </c>
      <c r="C739" s="37" t="s">
        <v>1154</v>
      </c>
      <c r="D739" s="38" t="s">
        <v>37</v>
      </c>
      <c r="E739" s="40">
        <v>703.51099999999997</v>
      </c>
      <c r="F739" s="40">
        <v>703.51099999999997</v>
      </c>
      <c r="G739" s="40">
        <v>703.51099999999997</v>
      </c>
      <c r="H739" s="40">
        <v>596.12237000000005</v>
      </c>
      <c r="I739" s="40">
        <v>596.12237000000005</v>
      </c>
      <c r="J739" s="40">
        <v>0</v>
      </c>
      <c r="K739" s="41" t="s">
        <v>38</v>
      </c>
      <c r="L739" s="42" t="s">
        <v>1155</v>
      </c>
      <c r="M739" s="43" t="s">
        <v>1156</v>
      </c>
    </row>
    <row r="740" spans="1:13" ht="54" x14ac:dyDescent="0.25">
      <c r="A740" s="1">
        <v>21</v>
      </c>
      <c r="B740" s="36">
        <f t="shared" si="62"/>
        <v>20</v>
      </c>
      <c r="C740" s="37" t="s">
        <v>1157</v>
      </c>
      <c r="D740" s="38" t="s">
        <v>37</v>
      </c>
      <c r="E740" s="40">
        <v>673</v>
      </c>
      <c r="F740" s="40">
        <v>673</v>
      </c>
      <c r="G740" s="40">
        <v>673</v>
      </c>
      <c r="H740" s="40">
        <v>652.25064999999995</v>
      </c>
      <c r="I740" s="40">
        <v>652.25064999999995</v>
      </c>
      <c r="J740" s="40">
        <v>0</v>
      </c>
      <c r="K740" s="64" t="s">
        <v>38</v>
      </c>
      <c r="L740" s="42" t="s">
        <v>475</v>
      </c>
      <c r="M740" s="43" t="s">
        <v>1156</v>
      </c>
    </row>
    <row r="741" spans="1:13" ht="72" x14ac:dyDescent="0.25">
      <c r="A741" s="1">
        <v>21</v>
      </c>
      <c r="B741" s="36">
        <f t="shared" si="62"/>
        <v>21</v>
      </c>
      <c r="C741" s="37" t="s">
        <v>1158</v>
      </c>
      <c r="D741" s="38" t="s">
        <v>37</v>
      </c>
      <c r="E741" s="40">
        <v>292</v>
      </c>
      <c r="F741" s="40">
        <v>292</v>
      </c>
      <c r="G741" s="40">
        <v>292</v>
      </c>
      <c r="H741" s="40">
        <v>267.64094999999998</v>
      </c>
      <c r="I741" s="40">
        <v>267.64094999999998</v>
      </c>
      <c r="J741" s="40">
        <v>0</v>
      </c>
      <c r="K741" s="64" t="s">
        <v>38</v>
      </c>
      <c r="L741" s="42" t="s">
        <v>536</v>
      </c>
      <c r="M741" s="43"/>
    </row>
    <row r="742" spans="1:13" ht="90" x14ac:dyDescent="0.25">
      <c r="A742" s="1">
        <v>21</v>
      </c>
      <c r="B742" s="44">
        <f t="shared" si="62"/>
        <v>22</v>
      </c>
      <c r="C742" s="37" t="s">
        <v>1159</v>
      </c>
      <c r="D742" s="38" t="s">
        <v>37</v>
      </c>
      <c r="E742" s="40">
        <f>980-28.2</f>
        <v>951.8</v>
      </c>
      <c r="F742" s="40">
        <v>951.8</v>
      </c>
      <c r="G742" s="40">
        <v>951.8</v>
      </c>
      <c r="H742" s="40">
        <v>950.40695000000005</v>
      </c>
      <c r="I742" s="40">
        <v>950.40695000000005</v>
      </c>
      <c r="J742" s="40">
        <v>0</v>
      </c>
      <c r="K742" s="64" t="s">
        <v>38</v>
      </c>
      <c r="L742" s="42" t="s">
        <v>460</v>
      </c>
      <c r="M742" s="43"/>
    </row>
    <row r="743" spans="1:13" ht="72" x14ac:dyDescent="0.25">
      <c r="A743" s="1">
        <v>21</v>
      </c>
      <c r="B743" s="44">
        <f t="shared" si="62"/>
        <v>23</v>
      </c>
      <c r="C743" s="37" t="s">
        <v>1160</v>
      </c>
      <c r="D743" s="38" t="s">
        <v>37</v>
      </c>
      <c r="E743" s="40">
        <f>2150.556-58</f>
        <v>2092.556</v>
      </c>
      <c r="F743" s="39">
        <v>2092.556</v>
      </c>
      <c r="G743" s="39">
        <v>2092.556</v>
      </c>
      <c r="H743" s="40">
        <v>1893.4594999999999</v>
      </c>
      <c r="I743" s="40">
        <v>1893.4594999999999</v>
      </c>
      <c r="J743" s="40">
        <v>0</v>
      </c>
      <c r="K743" s="64" t="s">
        <v>38</v>
      </c>
      <c r="L743" s="42" t="s">
        <v>1161</v>
      </c>
      <c r="M743" s="43"/>
    </row>
    <row r="744" spans="1:13" ht="72" x14ac:dyDescent="0.25">
      <c r="A744" s="1">
        <v>21</v>
      </c>
      <c r="B744" s="44">
        <f t="shared" si="62"/>
        <v>24</v>
      </c>
      <c r="C744" s="37" t="s">
        <v>1162</v>
      </c>
      <c r="D744" s="38" t="s">
        <v>37</v>
      </c>
      <c r="E744" s="40">
        <f>3083.676-586</f>
        <v>2497.6759999999999</v>
      </c>
      <c r="F744" s="40">
        <v>2497.6759999999999</v>
      </c>
      <c r="G744" s="40">
        <v>2497.6759999999999</v>
      </c>
      <c r="H744" s="40">
        <v>2490.57458</v>
      </c>
      <c r="I744" s="40">
        <v>2490.57458</v>
      </c>
      <c r="J744" s="40">
        <v>0</v>
      </c>
      <c r="K744" s="41" t="s">
        <v>38</v>
      </c>
      <c r="L744" s="42" t="s">
        <v>520</v>
      </c>
      <c r="M744" s="43"/>
    </row>
    <row r="745" spans="1:13" ht="72" x14ac:dyDescent="0.25">
      <c r="A745" s="1">
        <v>21</v>
      </c>
      <c r="B745" s="44">
        <f t="shared" si="62"/>
        <v>25</v>
      </c>
      <c r="C745" s="37" t="s">
        <v>1163</v>
      </c>
      <c r="D745" s="38" t="s">
        <v>37</v>
      </c>
      <c r="E745" s="40">
        <f>1869.679-304</f>
        <v>1565.6790000000001</v>
      </c>
      <c r="F745" s="40">
        <v>1565.6790000000001</v>
      </c>
      <c r="G745" s="40">
        <v>1565.6790000000001</v>
      </c>
      <c r="H745" s="40">
        <v>1565.0696</v>
      </c>
      <c r="I745" s="40">
        <v>1565.0696</v>
      </c>
      <c r="J745" s="40">
        <v>0</v>
      </c>
      <c r="K745" s="41" t="s">
        <v>38</v>
      </c>
      <c r="L745" s="42" t="s">
        <v>533</v>
      </c>
      <c r="M745" s="43"/>
    </row>
    <row r="746" spans="1:13" ht="90" x14ac:dyDescent="0.25">
      <c r="A746" s="1">
        <v>21</v>
      </c>
      <c r="B746" s="36">
        <f t="shared" si="62"/>
        <v>26</v>
      </c>
      <c r="C746" s="37" t="s">
        <v>1164</v>
      </c>
      <c r="D746" s="38" t="s">
        <v>37</v>
      </c>
      <c r="E746" s="40">
        <v>412.72500000000002</v>
      </c>
      <c r="F746" s="40">
        <v>412.72500000000002</v>
      </c>
      <c r="G746" s="40">
        <v>412.72500000000002</v>
      </c>
      <c r="H746" s="40">
        <v>166.768</v>
      </c>
      <c r="I746" s="40">
        <v>166.768</v>
      </c>
      <c r="J746" s="40">
        <v>0</v>
      </c>
      <c r="K746" s="64" t="s">
        <v>28</v>
      </c>
      <c r="L746" s="42"/>
      <c r="M746" s="43"/>
    </row>
    <row r="747" spans="1:13" ht="90" x14ac:dyDescent="0.25">
      <c r="A747" s="1">
        <v>21</v>
      </c>
      <c r="B747" s="36">
        <f t="shared" si="62"/>
        <v>27</v>
      </c>
      <c r="C747" s="37" t="s">
        <v>1165</v>
      </c>
      <c r="D747" s="38" t="s">
        <v>37</v>
      </c>
      <c r="E747" s="40">
        <v>227.42099999999999</v>
      </c>
      <c r="F747" s="40">
        <v>227.42099999999999</v>
      </c>
      <c r="G747" s="40">
        <v>227.42099999999999</v>
      </c>
      <c r="H747" s="40">
        <v>133.46222</v>
      </c>
      <c r="I747" s="40">
        <v>133.46222</v>
      </c>
      <c r="J747" s="40">
        <v>0</v>
      </c>
      <c r="K747" s="64" t="s">
        <v>28</v>
      </c>
      <c r="L747" s="42"/>
      <c r="M747" s="43"/>
    </row>
    <row r="748" spans="1:13" ht="54" x14ac:dyDescent="0.25">
      <c r="A748" s="1">
        <v>21</v>
      </c>
      <c r="B748" s="36">
        <f t="shared" si="62"/>
        <v>28</v>
      </c>
      <c r="C748" s="37" t="s">
        <v>1166</v>
      </c>
      <c r="D748" s="38" t="s">
        <v>37</v>
      </c>
      <c r="E748" s="39">
        <v>170.172</v>
      </c>
      <c r="F748" s="40">
        <v>170.172</v>
      </c>
      <c r="G748" s="40">
        <v>170.172</v>
      </c>
      <c r="H748" s="40">
        <v>170.172</v>
      </c>
      <c r="I748" s="40">
        <v>170.172</v>
      </c>
      <c r="J748" s="40">
        <v>0</v>
      </c>
      <c r="K748" s="64" t="s">
        <v>38</v>
      </c>
      <c r="L748" s="42" t="s">
        <v>1167</v>
      </c>
      <c r="M748" s="43"/>
    </row>
    <row r="749" spans="1:13" ht="72" x14ac:dyDescent="0.25">
      <c r="A749" s="1">
        <v>21</v>
      </c>
      <c r="B749" s="36">
        <f t="shared" si="62"/>
        <v>29</v>
      </c>
      <c r="C749" s="37" t="s">
        <v>1168</v>
      </c>
      <c r="D749" s="38" t="s">
        <v>37</v>
      </c>
      <c r="E749" s="40">
        <v>337.19400000000002</v>
      </c>
      <c r="F749" s="40">
        <v>337.19400000000002</v>
      </c>
      <c r="G749" s="40">
        <v>337.19400000000002</v>
      </c>
      <c r="H749" s="40">
        <v>323.26616000000001</v>
      </c>
      <c r="I749" s="40">
        <v>323.26616000000001</v>
      </c>
      <c r="J749" s="40">
        <v>0</v>
      </c>
      <c r="K749" s="64" t="s">
        <v>38</v>
      </c>
      <c r="L749" s="42" t="s">
        <v>475</v>
      </c>
      <c r="M749" s="43"/>
    </row>
    <row r="750" spans="1:13" ht="72" x14ac:dyDescent="0.25">
      <c r="A750" s="1">
        <v>21</v>
      </c>
      <c r="B750" s="36">
        <f t="shared" si="62"/>
        <v>30</v>
      </c>
      <c r="C750" s="37" t="s">
        <v>1169</v>
      </c>
      <c r="D750" s="38" t="s">
        <v>37</v>
      </c>
      <c r="E750" s="40">
        <v>269.351</v>
      </c>
      <c r="F750" s="40">
        <v>269.351</v>
      </c>
      <c r="G750" s="40">
        <v>269.351</v>
      </c>
      <c r="H750" s="40">
        <v>267.33452</v>
      </c>
      <c r="I750" s="40">
        <v>267.33452</v>
      </c>
      <c r="J750" s="40">
        <v>0</v>
      </c>
      <c r="K750" s="64" t="s">
        <v>38</v>
      </c>
      <c r="L750" s="42" t="s">
        <v>198</v>
      </c>
      <c r="M750" s="43"/>
    </row>
    <row r="751" spans="1:13" ht="72.75" thickBot="1" x14ac:dyDescent="0.3">
      <c r="A751" s="1">
        <v>21</v>
      </c>
      <c r="B751" s="56">
        <f t="shared" si="62"/>
        <v>31</v>
      </c>
      <c r="C751" s="57" t="s">
        <v>1170</v>
      </c>
      <c r="D751" s="67" t="s">
        <v>37</v>
      </c>
      <c r="E751" s="68">
        <v>300.959</v>
      </c>
      <c r="F751" s="68">
        <v>300.959</v>
      </c>
      <c r="G751" s="68">
        <v>300.959</v>
      </c>
      <c r="H751" s="68">
        <v>293.36471999999998</v>
      </c>
      <c r="I751" s="68">
        <v>293.36471999999998</v>
      </c>
      <c r="J751" s="68">
        <v>0</v>
      </c>
      <c r="K751" s="70" t="s">
        <v>38</v>
      </c>
      <c r="L751" s="71" t="s">
        <v>475</v>
      </c>
      <c r="M751" s="72"/>
    </row>
    <row r="752" spans="1:13" ht="18" customHeight="1" x14ac:dyDescent="0.25">
      <c r="A752" s="1">
        <v>22</v>
      </c>
      <c r="B752" s="112" t="s">
        <v>1171</v>
      </c>
      <c r="C752" s="113"/>
      <c r="D752" s="113"/>
      <c r="E752" s="113"/>
      <c r="F752" s="113"/>
      <c r="G752" s="113"/>
      <c r="H752" s="113"/>
      <c r="I752" s="113"/>
      <c r="J752" s="113"/>
      <c r="K752" s="113"/>
      <c r="L752" s="113"/>
      <c r="M752" s="114"/>
    </row>
    <row r="753" spans="1:13" ht="18" x14ac:dyDescent="0.25">
      <c r="A753" s="1">
        <v>22</v>
      </c>
      <c r="B753" s="21"/>
      <c r="C753" s="22" t="s">
        <v>25</v>
      </c>
      <c r="D753" s="23"/>
      <c r="E753" s="34">
        <f>SUM(E754,E756:E796)</f>
        <v>113751.31699999998</v>
      </c>
      <c r="F753" s="34">
        <f t="shared" ref="F753:J753" si="63">SUM(F754,F756:F796)</f>
        <v>113751.31699999998</v>
      </c>
      <c r="G753" s="34">
        <f t="shared" si="63"/>
        <v>113751.31699999998</v>
      </c>
      <c r="H753" s="34">
        <f t="shared" si="63"/>
        <v>107128.58971999999</v>
      </c>
      <c r="I753" s="34">
        <f t="shared" si="63"/>
        <v>107128.58801999998</v>
      </c>
      <c r="J753" s="34">
        <f t="shared" si="63"/>
        <v>159.30000000000001</v>
      </c>
      <c r="K753" s="23"/>
      <c r="L753" s="23"/>
      <c r="M753" s="26"/>
    </row>
    <row r="754" spans="1:13" ht="18" x14ac:dyDescent="0.25">
      <c r="A754" s="1">
        <v>22</v>
      </c>
      <c r="B754" s="21"/>
      <c r="C754" s="22" t="s">
        <v>22</v>
      </c>
      <c r="D754" s="23"/>
      <c r="E754" s="34">
        <v>0</v>
      </c>
      <c r="F754" s="34">
        <v>0</v>
      </c>
      <c r="G754" s="34">
        <v>0</v>
      </c>
      <c r="H754" s="34"/>
      <c r="I754" s="34"/>
      <c r="J754" s="34"/>
      <c r="K754" s="23"/>
      <c r="L754" s="23"/>
      <c r="M754" s="26"/>
    </row>
    <row r="755" spans="1:13" ht="36" x14ac:dyDescent="0.25">
      <c r="A755" s="1">
        <v>22</v>
      </c>
      <c r="B755" s="21"/>
      <c r="C755" s="22" t="s">
        <v>23</v>
      </c>
      <c r="D755" s="23"/>
      <c r="E755" s="34">
        <f t="shared" ref="E755:J755" si="64">SUM(E756:E796)</f>
        <v>113751.31699999998</v>
      </c>
      <c r="F755" s="34">
        <f t="shared" si="64"/>
        <v>113751.31699999998</v>
      </c>
      <c r="G755" s="34">
        <f t="shared" si="64"/>
        <v>113751.31699999998</v>
      </c>
      <c r="H755" s="34">
        <f t="shared" si="64"/>
        <v>107128.58971999999</v>
      </c>
      <c r="I755" s="34">
        <f t="shared" si="64"/>
        <v>107128.58801999998</v>
      </c>
      <c r="J755" s="34">
        <f t="shared" si="64"/>
        <v>159.30000000000001</v>
      </c>
      <c r="K755" s="23"/>
      <c r="L755" s="23"/>
      <c r="M755" s="26"/>
    </row>
    <row r="756" spans="1:13" ht="73.5" x14ac:dyDescent="0.25">
      <c r="A756" s="1">
        <v>22</v>
      </c>
      <c r="B756" s="36">
        <v>1</v>
      </c>
      <c r="C756" s="37" t="s">
        <v>1172</v>
      </c>
      <c r="D756" s="38"/>
      <c r="E756" s="40">
        <v>201.45099999999999</v>
      </c>
      <c r="F756" s="40">
        <v>201.45099999999999</v>
      </c>
      <c r="G756" s="40">
        <v>201.45099999999999</v>
      </c>
      <c r="H756" s="40">
        <v>201.45099999999999</v>
      </c>
      <c r="I756" s="40">
        <v>201.45099999999999</v>
      </c>
      <c r="J756" s="40">
        <v>0</v>
      </c>
      <c r="K756" s="64" t="s">
        <v>1173</v>
      </c>
      <c r="L756" s="42"/>
      <c r="M756" s="43" t="s">
        <v>1174</v>
      </c>
    </row>
    <row r="757" spans="1:13" ht="55.5" x14ac:dyDescent="0.25">
      <c r="A757" s="1">
        <v>22</v>
      </c>
      <c r="B757" s="36">
        <f>B756+1</f>
        <v>2</v>
      </c>
      <c r="C757" s="37" t="s">
        <v>1175</v>
      </c>
      <c r="D757" s="38"/>
      <c r="E757" s="40">
        <v>159.30000000000001</v>
      </c>
      <c r="F757" s="40">
        <v>159.30000000000001</v>
      </c>
      <c r="G757" s="40">
        <v>159.30000000000001</v>
      </c>
      <c r="H757" s="39">
        <v>0</v>
      </c>
      <c r="I757" s="39">
        <v>0</v>
      </c>
      <c r="J757" s="39">
        <v>159.30000000000001</v>
      </c>
      <c r="K757" s="41" t="s">
        <v>28</v>
      </c>
      <c r="L757" s="73"/>
      <c r="M757" s="43"/>
    </row>
    <row r="758" spans="1:13" ht="73.5" x14ac:dyDescent="0.25">
      <c r="A758" s="1">
        <v>22</v>
      </c>
      <c r="B758" s="36">
        <f t="shared" ref="B758:B796" si="65">B757+1</f>
        <v>3</v>
      </c>
      <c r="C758" s="37" t="s">
        <v>1176</v>
      </c>
      <c r="D758" s="38"/>
      <c r="E758" s="40">
        <v>178.761</v>
      </c>
      <c r="F758" s="40">
        <v>178.761</v>
      </c>
      <c r="G758" s="40">
        <v>178.761</v>
      </c>
      <c r="H758" s="39">
        <v>178.76</v>
      </c>
      <c r="I758" s="39">
        <v>178.76</v>
      </c>
      <c r="J758" s="39">
        <v>0</v>
      </c>
      <c r="K758" s="41" t="s">
        <v>28</v>
      </c>
      <c r="L758" s="73"/>
      <c r="M758" s="43"/>
    </row>
    <row r="759" spans="1:13" ht="73.5" x14ac:dyDescent="0.25">
      <c r="A759" s="1">
        <v>22</v>
      </c>
      <c r="B759" s="36">
        <f t="shared" si="65"/>
        <v>4</v>
      </c>
      <c r="C759" s="37" t="s">
        <v>1177</v>
      </c>
      <c r="D759" s="38"/>
      <c r="E759" s="40">
        <v>195.904</v>
      </c>
      <c r="F759" s="40">
        <v>195.904</v>
      </c>
      <c r="G759" s="40">
        <v>195.904</v>
      </c>
      <c r="H759" s="40">
        <v>195.904</v>
      </c>
      <c r="I759" s="40">
        <v>195.904</v>
      </c>
      <c r="J759" s="40">
        <v>0</v>
      </c>
      <c r="K759" s="64" t="s">
        <v>1178</v>
      </c>
      <c r="L759" s="42"/>
      <c r="M759" s="43" t="s">
        <v>1179</v>
      </c>
    </row>
    <row r="760" spans="1:13" ht="60" x14ac:dyDescent="0.25">
      <c r="A760" s="1">
        <v>22</v>
      </c>
      <c r="B760" s="44">
        <f t="shared" si="65"/>
        <v>5</v>
      </c>
      <c r="C760" s="37" t="s">
        <v>1180</v>
      </c>
      <c r="D760" s="38" t="s">
        <v>37</v>
      </c>
      <c r="E760" s="39">
        <f>2032.65+1344</f>
        <v>3376.65</v>
      </c>
      <c r="F760" s="40">
        <v>3376.65</v>
      </c>
      <c r="G760" s="40">
        <v>3376.65</v>
      </c>
      <c r="H760" s="39">
        <v>3156.8580000000002</v>
      </c>
      <c r="I760" s="39">
        <v>3156.8580000000002</v>
      </c>
      <c r="J760" s="39">
        <v>0</v>
      </c>
      <c r="K760" s="41" t="s">
        <v>38</v>
      </c>
      <c r="L760" s="73" t="s">
        <v>1181</v>
      </c>
      <c r="M760" s="43"/>
    </row>
    <row r="761" spans="1:13" ht="108" x14ac:dyDescent="0.25">
      <c r="A761" s="1">
        <v>22</v>
      </c>
      <c r="B761" s="36">
        <f t="shared" si="65"/>
        <v>6</v>
      </c>
      <c r="C761" s="37" t="s">
        <v>1182</v>
      </c>
      <c r="D761" s="38" t="s">
        <v>37</v>
      </c>
      <c r="E761" s="40">
        <v>2463</v>
      </c>
      <c r="F761" s="40">
        <v>2463</v>
      </c>
      <c r="G761" s="40">
        <v>2463</v>
      </c>
      <c r="H761" s="39">
        <v>2341.9989999999998</v>
      </c>
      <c r="I761" s="39">
        <v>2341.9989999999998</v>
      </c>
      <c r="J761" s="39">
        <v>0</v>
      </c>
      <c r="K761" s="41" t="s">
        <v>939</v>
      </c>
      <c r="L761" s="73" t="s">
        <v>533</v>
      </c>
      <c r="M761" s="43"/>
    </row>
    <row r="762" spans="1:13" ht="54" x14ac:dyDescent="0.25">
      <c r="A762" s="1">
        <v>22</v>
      </c>
      <c r="B762" s="36">
        <f t="shared" si="65"/>
        <v>7</v>
      </c>
      <c r="C762" s="37" t="s">
        <v>1183</v>
      </c>
      <c r="D762" s="38" t="s">
        <v>853</v>
      </c>
      <c r="E762" s="40">
        <v>6462.23</v>
      </c>
      <c r="F762" s="40">
        <v>6462.23</v>
      </c>
      <c r="G762" s="40">
        <v>6462.23</v>
      </c>
      <c r="H762" s="39">
        <v>5961.3429999999998</v>
      </c>
      <c r="I762" s="39">
        <v>5961.3429999999998</v>
      </c>
      <c r="J762" s="39">
        <v>0</v>
      </c>
      <c r="K762" s="41" t="s">
        <v>181</v>
      </c>
      <c r="L762" s="73" t="s">
        <v>1184</v>
      </c>
      <c r="M762" s="43"/>
    </row>
    <row r="763" spans="1:13" ht="90" x14ac:dyDescent="0.25">
      <c r="A763" s="1">
        <v>22</v>
      </c>
      <c r="B763" s="36">
        <f t="shared" si="65"/>
        <v>8</v>
      </c>
      <c r="C763" s="37" t="s">
        <v>1185</v>
      </c>
      <c r="D763" s="38" t="s">
        <v>37</v>
      </c>
      <c r="E763" s="40">
        <v>496.5</v>
      </c>
      <c r="F763" s="40">
        <v>496.5</v>
      </c>
      <c r="G763" s="40">
        <v>496.5</v>
      </c>
      <c r="H763" s="39">
        <v>496.49900000000002</v>
      </c>
      <c r="I763" s="39">
        <v>496.49900000000002</v>
      </c>
      <c r="J763" s="39">
        <v>0</v>
      </c>
      <c r="K763" s="41" t="s">
        <v>38</v>
      </c>
      <c r="L763" s="73" t="s">
        <v>53</v>
      </c>
      <c r="M763" s="43" t="s">
        <v>1186</v>
      </c>
    </row>
    <row r="764" spans="1:13" ht="54" x14ac:dyDescent="0.25">
      <c r="A764" s="1">
        <v>22</v>
      </c>
      <c r="B764" s="44">
        <f t="shared" si="65"/>
        <v>9</v>
      </c>
      <c r="C764" s="37" t="s">
        <v>1187</v>
      </c>
      <c r="D764" s="38" t="s">
        <v>37</v>
      </c>
      <c r="E764" s="40">
        <f>444.942-7.874</f>
        <v>437.06799999999998</v>
      </c>
      <c r="F764" s="40">
        <v>437.06799999999998</v>
      </c>
      <c r="G764" s="40">
        <v>437.06799999999998</v>
      </c>
      <c r="H764" s="39">
        <v>437.06799999999998</v>
      </c>
      <c r="I764" s="39">
        <v>437.06799999999998</v>
      </c>
      <c r="J764" s="39">
        <v>0</v>
      </c>
      <c r="K764" s="41" t="s">
        <v>38</v>
      </c>
      <c r="L764" s="73" t="s">
        <v>53</v>
      </c>
      <c r="M764" s="43" t="s">
        <v>1188</v>
      </c>
    </row>
    <row r="765" spans="1:13" ht="90" x14ac:dyDescent="0.25">
      <c r="A765" s="1">
        <v>22</v>
      </c>
      <c r="B765" s="36">
        <f t="shared" si="65"/>
        <v>10</v>
      </c>
      <c r="C765" s="37" t="s">
        <v>1189</v>
      </c>
      <c r="D765" s="38" t="s">
        <v>37</v>
      </c>
      <c r="E765" s="40">
        <v>1328</v>
      </c>
      <c r="F765" s="40">
        <v>1328</v>
      </c>
      <c r="G765" s="40">
        <v>1328</v>
      </c>
      <c r="H765" s="39">
        <v>1327.9829999999999</v>
      </c>
      <c r="I765" s="39">
        <v>1327.9829999999999</v>
      </c>
      <c r="J765" s="39">
        <v>0</v>
      </c>
      <c r="K765" s="41" t="s">
        <v>38</v>
      </c>
      <c r="L765" s="73" t="s">
        <v>1131</v>
      </c>
      <c r="M765" s="81"/>
    </row>
    <row r="766" spans="1:13" ht="72" x14ac:dyDescent="0.25">
      <c r="A766" s="1">
        <v>22</v>
      </c>
      <c r="B766" s="44">
        <f t="shared" si="65"/>
        <v>11</v>
      </c>
      <c r="C766" s="37" t="s">
        <v>1190</v>
      </c>
      <c r="D766" s="38" t="s">
        <v>423</v>
      </c>
      <c r="E766" s="40">
        <f>6460.411+1017.65</f>
        <v>7478.0609999999997</v>
      </c>
      <c r="F766" s="40">
        <v>7478.0609999999997</v>
      </c>
      <c r="G766" s="40">
        <v>7478.0609999999997</v>
      </c>
      <c r="H766" s="39">
        <v>7478.0609999999997</v>
      </c>
      <c r="I766" s="39">
        <v>7478.0609999999997</v>
      </c>
      <c r="J766" s="39">
        <v>0</v>
      </c>
      <c r="K766" s="41" t="s">
        <v>939</v>
      </c>
      <c r="L766" s="73"/>
      <c r="M766" s="43"/>
    </row>
    <row r="767" spans="1:13" ht="72" x14ac:dyDescent="0.25">
      <c r="A767" s="1">
        <v>22</v>
      </c>
      <c r="B767" s="44">
        <f t="shared" si="65"/>
        <v>12</v>
      </c>
      <c r="C767" s="37" t="s">
        <v>1191</v>
      </c>
      <c r="D767" s="38" t="s">
        <v>37</v>
      </c>
      <c r="E767" s="40">
        <f>4007.853+1345</f>
        <v>5352.8530000000001</v>
      </c>
      <c r="F767" s="40">
        <v>5352.8530000000001</v>
      </c>
      <c r="G767" s="40">
        <v>5352.8530000000001</v>
      </c>
      <c r="H767" s="39">
        <v>5338.8270000000002</v>
      </c>
      <c r="I767" s="39">
        <v>5338.8270000000002</v>
      </c>
      <c r="J767" s="39">
        <v>0</v>
      </c>
      <c r="K767" s="41" t="s">
        <v>38</v>
      </c>
      <c r="L767" s="73" t="s">
        <v>1192</v>
      </c>
      <c r="M767" s="81"/>
    </row>
    <row r="768" spans="1:13" ht="90" x14ac:dyDescent="0.25">
      <c r="A768" s="1">
        <v>22</v>
      </c>
      <c r="B768" s="36">
        <f t="shared" si="65"/>
        <v>13</v>
      </c>
      <c r="C768" s="37" t="s">
        <v>1193</v>
      </c>
      <c r="D768" s="38" t="s">
        <v>49</v>
      </c>
      <c r="E768" s="40">
        <v>1367.6</v>
      </c>
      <c r="F768" s="40">
        <v>1367.6</v>
      </c>
      <c r="G768" s="40">
        <v>1367.6</v>
      </c>
      <c r="H768" s="39">
        <v>1151.424</v>
      </c>
      <c r="I768" s="39">
        <v>1151.424</v>
      </c>
      <c r="J768" s="39">
        <v>0</v>
      </c>
      <c r="K768" s="41" t="s">
        <v>38</v>
      </c>
      <c r="L768" s="73" t="s">
        <v>53</v>
      </c>
      <c r="M768" s="81" t="s">
        <v>1194</v>
      </c>
    </row>
    <row r="769" spans="1:13" ht="108" x14ac:dyDescent="0.25">
      <c r="A769" s="1">
        <v>22</v>
      </c>
      <c r="B769" s="36">
        <f t="shared" si="65"/>
        <v>14</v>
      </c>
      <c r="C769" s="37" t="s">
        <v>1195</v>
      </c>
      <c r="D769" s="38" t="s">
        <v>37</v>
      </c>
      <c r="E769" s="40">
        <v>2366.89</v>
      </c>
      <c r="F769" s="40">
        <v>2366.89</v>
      </c>
      <c r="G769" s="40">
        <v>2366.89</v>
      </c>
      <c r="H769" s="39">
        <v>2223.2449999999999</v>
      </c>
      <c r="I769" s="39">
        <v>2223.2449999999999</v>
      </c>
      <c r="J769" s="39">
        <v>0</v>
      </c>
      <c r="K769" s="41" t="s">
        <v>38</v>
      </c>
      <c r="L769" s="73" t="s">
        <v>1196</v>
      </c>
      <c r="M769" s="81"/>
    </row>
    <row r="770" spans="1:13" ht="108" x14ac:dyDescent="0.25">
      <c r="A770" s="1">
        <v>22</v>
      </c>
      <c r="B770" s="36">
        <f t="shared" si="65"/>
        <v>15</v>
      </c>
      <c r="C770" s="37" t="s">
        <v>1197</v>
      </c>
      <c r="D770" s="38" t="s">
        <v>37</v>
      </c>
      <c r="E770" s="40">
        <v>2716.94</v>
      </c>
      <c r="F770" s="40">
        <v>2716.94</v>
      </c>
      <c r="G770" s="40">
        <v>2716.94</v>
      </c>
      <c r="H770" s="39">
        <v>2560.3429999999998</v>
      </c>
      <c r="I770" s="39">
        <v>2560.3429999999998</v>
      </c>
      <c r="J770" s="39">
        <v>0</v>
      </c>
      <c r="K770" s="41" t="s">
        <v>38</v>
      </c>
      <c r="L770" s="73" t="s">
        <v>496</v>
      </c>
      <c r="M770" s="81" t="s">
        <v>157</v>
      </c>
    </row>
    <row r="771" spans="1:13" ht="72" x14ac:dyDescent="0.25">
      <c r="A771" s="1">
        <v>22</v>
      </c>
      <c r="B771" s="44">
        <f t="shared" si="65"/>
        <v>16</v>
      </c>
      <c r="C771" s="37" t="s">
        <v>1198</v>
      </c>
      <c r="D771" s="38" t="s">
        <v>49</v>
      </c>
      <c r="E771" s="40">
        <f>1597.06-500</f>
        <v>1097.06</v>
      </c>
      <c r="F771" s="40">
        <v>1097.06</v>
      </c>
      <c r="G771" s="40">
        <v>1097.06</v>
      </c>
      <c r="H771" s="39">
        <v>758.12800000000004</v>
      </c>
      <c r="I771" s="39">
        <v>758.12800000000004</v>
      </c>
      <c r="J771" s="39">
        <v>0</v>
      </c>
      <c r="K771" s="41" t="s">
        <v>753</v>
      </c>
      <c r="L771" s="97" t="s">
        <v>1199</v>
      </c>
      <c r="M771" s="43"/>
    </row>
    <row r="772" spans="1:13" ht="90" x14ac:dyDescent="0.25">
      <c r="A772" s="1">
        <v>22</v>
      </c>
      <c r="B772" s="36">
        <f t="shared" si="65"/>
        <v>17</v>
      </c>
      <c r="C772" s="37" t="s">
        <v>1200</v>
      </c>
      <c r="D772" s="38" t="s">
        <v>37</v>
      </c>
      <c r="E772" s="40">
        <v>806.6</v>
      </c>
      <c r="F772" s="40">
        <v>806.6</v>
      </c>
      <c r="G772" s="40">
        <v>806.6</v>
      </c>
      <c r="H772" s="39">
        <v>783.19899999999996</v>
      </c>
      <c r="I772" s="39">
        <v>783.19899999999996</v>
      </c>
      <c r="J772" s="39">
        <v>0</v>
      </c>
      <c r="K772" s="41" t="s">
        <v>939</v>
      </c>
      <c r="L772" s="73" t="s">
        <v>1201</v>
      </c>
      <c r="M772" s="43"/>
    </row>
    <row r="773" spans="1:13" ht="72" x14ac:dyDescent="0.25">
      <c r="A773" s="1">
        <v>22</v>
      </c>
      <c r="B773" s="36">
        <f t="shared" si="65"/>
        <v>18</v>
      </c>
      <c r="C773" s="37" t="s">
        <v>1202</v>
      </c>
      <c r="D773" s="38" t="s">
        <v>37</v>
      </c>
      <c r="E773" s="40">
        <v>718.73800000000006</v>
      </c>
      <c r="F773" s="40">
        <v>718.73800000000006</v>
      </c>
      <c r="G773" s="40">
        <v>718.73800000000006</v>
      </c>
      <c r="H773" s="39">
        <v>718.73800000000006</v>
      </c>
      <c r="I773" s="39">
        <v>718.73800000000006</v>
      </c>
      <c r="J773" s="39">
        <v>0</v>
      </c>
      <c r="K773" s="41" t="s">
        <v>753</v>
      </c>
      <c r="L773" s="97" t="s">
        <v>1203</v>
      </c>
      <c r="M773" s="43"/>
    </row>
    <row r="774" spans="1:13" ht="90" x14ac:dyDescent="0.25">
      <c r="A774" s="1">
        <v>22</v>
      </c>
      <c r="B774" s="36">
        <f t="shared" si="65"/>
        <v>19</v>
      </c>
      <c r="C774" s="37" t="s">
        <v>1204</v>
      </c>
      <c r="D774" s="38" t="s">
        <v>37</v>
      </c>
      <c r="E774" s="40">
        <v>555.84199999999998</v>
      </c>
      <c r="F774" s="40">
        <v>555.84199999999998</v>
      </c>
      <c r="G774" s="40">
        <v>555.84199999999998</v>
      </c>
      <c r="H774" s="39">
        <v>555.84199999999998</v>
      </c>
      <c r="I774" s="39">
        <v>555.84199999999998</v>
      </c>
      <c r="J774" s="39">
        <v>0</v>
      </c>
      <c r="K774" s="41" t="s">
        <v>80</v>
      </c>
      <c r="L774" s="73" t="s">
        <v>81</v>
      </c>
      <c r="M774" s="81" t="s">
        <v>1205</v>
      </c>
    </row>
    <row r="775" spans="1:13" ht="90" x14ac:dyDescent="0.25">
      <c r="A775" s="1">
        <v>22</v>
      </c>
      <c r="B775" s="36">
        <f t="shared" si="65"/>
        <v>20</v>
      </c>
      <c r="C775" s="37" t="s">
        <v>1206</v>
      </c>
      <c r="D775" s="38" t="s">
        <v>61</v>
      </c>
      <c r="E775" s="40">
        <v>2606.9</v>
      </c>
      <c r="F775" s="40">
        <v>2606.9</v>
      </c>
      <c r="G775" s="40">
        <v>2606.9</v>
      </c>
      <c r="H775" s="39">
        <f>2337.64+0.00122</f>
        <v>2337.64122</v>
      </c>
      <c r="I775" s="39">
        <f>2337.64+0.00002</f>
        <v>2337.6400199999998</v>
      </c>
      <c r="J775" s="39">
        <v>0</v>
      </c>
      <c r="K775" s="41" t="s">
        <v>38</v>
      </c>
      <c r="L775" s="73" t="s">
        <v>53</v>
      </c>
      <c r="M775" s="81" t="s">
        <v>1207</v>
      </c>
    </row>
    <row r="776" spans="1:13" ht="54" x14ac:dyDescent="0.25">
      <c r="A776" s="1">
        <v>22</v>
      </c>
      <c r="B776" s="36">
        <f t="shared" si="65"/>
        <v>21</v>
      </c>
      <c r="C776" s="37" t="s">
        <v>1208</v>
      </c>
      <c r="D776" s="38" t="s">
        <v>37</v>
      </c>
      <c r="E776" s="40">
        <v>2261.7559999999999</v>
      </c>
      <c r="F776" s="40">
        <v>2261.7559999999999</v>
      </c>
      <c r="G776" s="40">
        <v>2261.7559999999999</v>
      </c>
      <c r="H776" s="39">
        <v>1435.9369999999999</v>
      </c>
      <c r="I776" s="39">
        <v>1435.9369999999999</v>
      </c>
      <c r="J776" s="39">
        <v>0</v>
      </c>
      <c r="K776" s="41" t="s">
        <v>753</v>
      </c>
      <c r="L776" s="97" t="s">
        <v>98</v>
      </c>
      <c r="M776" s="43"/>
    </row>
    <row r="777" spans="1:13" ht="90" x14ac:dyDescent="0.25">
      <c r="A777" s="1">
        <v>22</v>
      </c>
      <c r="B777" s="36">
        <f t="shared" si="65"/>
        <v>22</v>
      </c>
      <c r="C777" s="37" t="s">
        <v>1209</v>
      </c>
      <c r="D777" s="38" t="s">
        <v>37</v>
      </c>
      <c r="E777" s="40">
        <v>2476.31</v>
      </c>
      <c r="F777" s="40">
        <v>2476.31</v>
      </c>
      <c r="G777" s="40">
        <v>2476.31</v>
      </c>
      <c r="H777" s="39">
        <v>1944.279</v>
      </c>
      <c r="I777" s="39">
        <v>1944.279</v>
      </c>
      <c r="J777" s="39">
        <v>0</v>
      </c>
      <c r="K777" s="41" t="s">
        <v>939</v>
      </c>
      <c r="L777" s="73" t="s">
        <v>1210</v>
      </c>
      <c r="M777" s="43"/>
    </row>
    <row r="778" spans="1:13" ht="72" x14ac:dyDescent="0.25">
      <c r="A778" s="1">
        <v>22</v>
      </c>
      <c r="B778" s="44">
        <f t="shared" si="65"/>
        <v>23</v>
      </c>
      <c r="C778" s="37" t="s">
        <v>1211</v>
      </c>
      <c r="D778" s="38" t="s">
        <v>49</v>
      </c>
      <c r="E778" s="40">
        <f>8224.67-2070</f>
        <v>6154.67</v>
      </c>
      <c r="F778" s="40">
        <v>6154.67</v>
      </c>
      <c r="G778" s="40">
        <v>6154.67</v>
      </c>
      <c r="H778" s="39">
        <v>6154.67</v>
      </c>
      <c r="I778" s="39">
        <v>6154.67</v>
      </c>
      <c r="J778" s="39">
        <v>0</v>
      </c>
      <c r="K778" s="41" t="s">
        <v>38</v>
      </c>
      <c r="L778" s="73" t="s">
        <v>162</v>
      </c>
      <c r="M778" s="81"/>
    </row>
    <row r="779" spans="1:13" ht="72" x14ac:dyDescent="0.25">
      <c r="A779" s="1">
        <v>22</v>
      </c>
      <c r="B779" s="36">
        <f t="shared" si="65"/>
        <v>24</v>
      </c>
      <c r="C779" s="37" t="s">
        <v>1212</v>
      </c>
      <c r="D779" s="38" t="s">
        <v>1213</v>
      </c>
      <c r="E779" s="40">
        <v>2700.7</v>
      </c>
      <c r="F779" s="40">
        <v>2700.7</v>
      </c>
      <c r="G779" s="40">
        <v>2700.7</v>
      </c>
      <c r="H779" s="39">
        <v>2445.8409999999999</v>
      </c>
      <c r="I779" s="39">
        <v>2445.8409999999999</v>
      </c>
      <c r="J779" s="39">
        <v>0</v>
      </c>
      <c r="K779" s="41" t="s">
        <v>306</v>
      </c>
      <c r="L779" s="73" t="s">
        <v>296</v>
      </c>
      <c r="M779" s="81" t="s">
        <v>1214</v>
      </c>
    </row>
    <row r="780" spans="1:13" ht="54" x14ac:dyDescent="0.25">
      <c r="A780" s="1">
        <v>22</v>
      </c>
      <c r="B780" s="36">
        <f t="shared" si="65"/>
        <v>25</v>
      </c>
      <c r="C780" s="37" t="s">
        <v>1215</v>
      </c>
      <c r="D780" s="38" t="s">
        <v>37</v>
      </c>
      <c r="E780" s="40">
        <v>3526.3</v>
      </c>
      <c r="F780" s="40">
        <v>3526.3</v>
      </c>
      <c r="G780" s="40">
        <v>3526.3</v>
      </c>
      <c r="H780" s="39">
        <v>3486.1970000000001</v>
      </c>
      <c r="I780" s="39">
        <v>3486.1970000000001</v>
      </c>
      <c r="J780" s="39">
        <v>0</v>
      </c>
      <c r="K780" s="41" t="s">
        <v>38</v>
      </c>
      <c r="L780" s="73" t="s">
        <v>512</v>
      </c>
      <c r="M780" s="81"/>
    </row>
    <row r="781" spans="1:13" ht="72" x14ac:dyDescent="0.25">
      <c r="A781" s="1">
        <v>22</v>
      </c>
      <c r="B781" s="36">
        <f t="shared" si="65"/>
        <v>26</v>
      </c>
      <c r="C781" s="37" t="s">
        <v>1216</v>
      </c>
      <c r="D781" s="38" t="s">
        <v>41</v>
      </c>
      <c r="E781" s="40">
        <v>3000</v>
      </c>
      <c r="F781" s="40">
        <v>3000</v>
      </c>
      <c r="G781" s="40">
        <v>3000</v>
      </c>
      <c r="H781" s="39">
        <v>3000</v>
      </c>
      <c r="I781" s="39">
        <v>3000</v>
      </c>
      <c r="J781" s="39">
        <v>0</v>
      </c>
      <c r="K781" s="41" t="s">
        <v>181</v>
      </c>
      <c r="L781" s="73" t="s">
        <v>1217</v>
      </c>
      <c r="M781" s="43"/>
    </row>
    <row r="782" spans="1:13" ht="90" x14ac:dyDescent="0.25">
      <c r="A782" s="1">
        <v>22</v>
      </c>
      <c r="B782" s="36">
        <f t="shared" si="65"/>
        <v>27</v>
      </c>
      <c r="C782" s="37" t="s">
        <v>1218</v>
      </c>
      <c r="D782" s="38" t="s">
        <v>110</v>
      </c>
      <c r="E782" s="40">
        <v>6742.58</v>
      </c>
      <c r="F782" s="40">
        <v>6742.58</v>
      </c>
      <c r="G782" s="40">
        <v>6742.58</v>
      </c>
      <c r="H782" s="39">
        <v>6678.7420000000002</v>
      </c>
      <c r="I782" s="39">
        <v>6678.7420000000002</v>
      </c>
      <c r="J782" s="39">
        <v>0</v>
      </c>
      <c r="K782" s="41" t="s">
        <v>38</v>
      </c>
      <c r="L782" s="73" t="s">
        <v>53</v>
      </c>
      <c r="M782" s="81" t="s">
        <v>1219</v>
      </c>
    </row>
    <row r="783" spans="1:13" ht="108" x14ac:dyDescent="0.25">
      <c r="A783" s="1">
        <v>22</v>
      </c>
      <c r="B783" s="36">
        <f t="shared" si="65"/>
        <v>28</v>
      </c>
      <c r="C783" s="37" t="s">
        <v>1220</v>
      </c>
      <c r="D783" s="38" t="s">
        <v>49</v>
      </c>
      <c r="E783" s="40">
        <v>8883.0540000000001</v>
      </c>
      <c r="F783" s="40">
        <v>8883.0540000000001</v>
      </c>
      <c r="G783" s="40">
        <v>8883.0540000000001</v>
      </c>
      <c r="H783" s="39">
        <v>8699.0879999999997</v>
      </c>
      <c r="I783" s="39">
        <v>8699.0879999999997</v>
      </c>
      <c r="J783" s="39">
        <v>0</v>
      </c>
      <c r="K783" s="41" t="s">
        <v>38</v>
      </c>
      <c r="L783" s="73" t="s">
        <v>460</v>
      </c>
      <c r="M783" s="81"/>
    </row>
    <row r="784" spans="1:13" ht="72" x14ac:dyDescent="0.25">
      <c r="A784" s="1">
        <v>22</v>
      </c>
      <c r="B784" s="36">
        <f t="shared" si="65"/>
        <v>29</v>
      </c>
      <c r="C784" s="37" t="s">
        <v>1221</v>
      </c>
      <c r="D784" s="38" t="s">
        <v>611</v>
      </c>
      <c r="E784" s="40">
        <v>13500</v>
      </c>
      <c r="F784" s="40">
        <v>13500</v>
      </c>
      <c r="G784" s="40">
        <v>13500</v>
      </c>
      <c r="H784" s="39">
        <v>11197.35</v>
      </c>
      <c r="I784" s="39">
        <v>11197.35</v>
      </c>
      <c r="J784" s="39">
        <v>0</v>
      </c>
      <c r="K784" s="41" t="s">
        <v>115</v>
      </c>
      <c r="L784" s="97" t="s">
        <v>1222</v>
      </c>
      <c r="M784" s="43"/>
    </row>
    <row r="785" spans="1:13" ht="90" x14ac:dyDescent="0.25">
      <c r="A785" s="1">
        <v>22</v>
      </c>
      <c r="B785" s="36">
        <f t="shared" si="65"/>
        <v>30</v>
      </c>
      <c r="C785" s="37" t="s">
        <v>1223</v>
      </c>
      <c r="D785" s="38" t="s">
        <v>49</v>
      </c>
      <c r="E785" s="40">
        <v>2585.2800000000002</v>
      </c>
      <c r="F785" s="40">
        <v>2585.2800000000002</v>
      </c>
      <c r="G785" s="40">
        <v>2585.2800000000002</v>
      </c>
      <c r="H785" s="39">
        <f>2567.555+0.0005</f>
        <v>2567.5554999999999</v>
      </c>
      <c r="I785" s="39">
        <v>2567.5549999999998</v>
      </c>
      <c r="J785" s="39">
        <v>0</v>
      </c>
      <c r="K785" s="41" t="s">
        <v>957</v>
      </c>
      <c r="L785" s="73" t="s">
        <v>1224</v>
      </c>
      <c r="M785" s="81"/>
    </row>
    <row r="786" spans="1:13" ht="72" x14ac:dyDescent="0.25">
      <c r="A786" s="1">
        <v>22</v>
      </c>
      <c r="B786" s="36">
        <f t="shared" si="65"/>
        <v>31</v>
      </c>
      <c r="C786" s="37" t="s">
        <v>1225</v>
      </c>
      <c r="D786" s="38" t="s">
        <v>37</v>
      </c>
      <c r="E786" s="40">
        <v>799.34299999999996</v>
      </c>
      <c r="F786" s="40">
        <v>799.34299999999996</v>
      </c>
      <c r="G786" s="40">
        <v>799.34299999999996</v>
      </c>
      <c r="H786" s="39">
        <v>735.28499999999997</v>
      </c>
      <c r="I786" s="39">
        <v>735.28499999999997</v>
      </c>
      <c r="J786" s="39">
        <v>0</v>
      </c>
      <c r="K786" s="41" t="s">
        <v>38</v>
      </c>
      <c r="L786" s="73" t="s">
        <v>512</v>
      </c>
      <c r="M786" s="81"/>
    </row>
    <row r="787" spans="1:13" ht="72" x14ac:dyDescent="0.25">
      <c r="A787" s="1">
        <v>22</v>
      </c>
      <c r="B787" s="36">
        <f t="shared" si="65"/>
        <v>32</v>
      </c>
      <c r="C787" s="37" t="s">
        <v>1226</v>
      </c>
      <c r="D787" s="38" t="s">
        <v>330</v>
      </c>
      <c r="E787" s="40">
        <v>1800</v>
      </c>
      <c r="F787" s="40">
        <v>1800</v>
      </c>
      <c r="G787" s="40">
        <v>1800</v>
      </c>
      <c r="H787" s="39">
        <v>1800</v>
      </c>
      <c r="I787" s="39">
        <v>1800</v>
      </c>
      <c r="J787" s="39">
        <v>0</v>
      </c>
      <c r="K787" s="41" t="s">
        <v>31</v>
      </c>
      <c r="L787" s="97" t="s">
        <v>184</v>
      </c>
      <c r="M787" s="43"/>
    </row>
    <row r="788" spans="1:13" ht="162" x14ac:dyDescent="0.25">
      <c r="A788" s="1">
        <v>22</v>
      </c>
      <c r="B788" s="36">
        <f t="shared" si="65"/>
        <v>33</v>
      </c>
      <c r="C788" s="37" t="s">
        <v>1227</v>
      </c>
      <c r="D788" s="38" t="s">
        <v>33</v>
      </c>
      <c r="E788" s="40">
        <v>4550</v>
      </c>
      <c r="F788" s="40">
        <v>4550</v>
      </c>
      <c r="G788" s="40">
        <v>4550</v>
      </c>
      <c r="H788" s="39">
        <v>4550</v>
      </c>
      <c r="I788" s="39">
        <v>4550</v>
      </c>
      <c r="J788" s="39">
        <v>0</v>
      </c>
      <c r="K788" s="41" t="s">
        <v>1228</v>
      </c>
      <c r="L788" s="97" t="s">
        <v>1229</v>
      </c>
      <c r="M788" s="43"/>
    </row>
    <row r="789" spans="1:13" ht="126" x14ac:dyDescent="0.25">
      <c r="A789" s="1">
        <v>22</v>
      </c>
      <c r="B789" s="36">
        <f t="shared" si="65"/>
        <v>34</v>
      </c>
      <c r="C789" s="37" t="s">
        <v>1230</v>
      </c>
      <c r="D789" s="38" t="s">
        <v>37</v>
      </c>
      <c r="E789" s="40">
        <v>630</v>
      </c>
      <c r="F789" s="40">
        <v>630</v>
      </c>
      <c r="G789" s="40">
        <v>630</v>
      </c>
      <c r="H789" s="39">
        <v>630</v>
      </c>
      <c r="I789" s="39">
        <v>630</v>
      </c>
      <c r="J789" s="39">
        <v>0</v>
      </c>
      <c r="K789" s="41" t="s">
        <v>38</v>
      </c>
      <c r="L789" s="73" t="s">
        <v>1231</v>
      </c>
      <c r="M789" s="81" t="s">
        <v>157</v>
      </c>
    </row>
    <row r="790" spans="1:13" ht="72" x14ac:dyDescent="0.25">
      <c r="A790" s="1">
        <v>22</v>
      </c>
      <c r="B790" s="36">
        <f t="shared" si="65"/>
        <v>35</v>
      </c>
      <c r="C790" s="37" t="s">
        <v>1232</v>
      </c>
      <c r="D790" s="38" t="s">
        <v>611</v>
      </c>
      <c r="E790" s="40">
        <v>4382.5600000000004</v>
      </c>
      <c r="F790" s="40">
        <v>4382.5600000000004</v>
      </c>
      <c r="G790" s="40">
        <v>4382.5600000000004</v>
      </c>
      <c r="H790" s="39">
        <v>4355.018</v>
      </c>
      <c r="I790" s="39">
        <v>4355.018</v>
      </c>
      <c r="J790" s="39">
        <v>0</v>
      </c>
      <c r="K790" s="41" t="s">
        <v>31</v>
      </c>
      <c r="L790" s="97" t="s">
        <v>1233</v>
      </c>
      <c r="M790" s="43"/>
    </row>
    <row r="791" spans="1:13" ht="126" x14ac:dyDescent="0.25">
      <c r="A791" s="1">
        <v>22</v>
      </c>
      <c r="B791" s="36">
        <f t="shared" si="65"/>
        <v>36</v>
      </c>
      <c r="C791" s="37" t="s">
        <v>1234</v>
      </c>
      <c r="D791" s="38" t="s">
        <v>37</v>
      </c>
      <c r="E791" s="40">
        <v>630</v>
      </c>
      <c r="F791" s="40">
        <v>630</v>
      </c>
      <c r="G791" s="40">
        <v>630</v>
      </c>
      <c r="H791" s="39">
        <v>627.65</v>
      </c>
      <c r="I791" s="39">
        <v>627.65</v>
      </c>
      <c r="J791" s="39">
        <v>0</v>
      </c>
      <c r="K791" s="41" t="s">
        <v>38</v>
      </c>
      <c r="L791" s="73" t="s">
        <v>1235</v>
      </c>
      <c r="M791" s="81"/>
    </row>
    <row r="792" spans="1:13" ht="126" x14ac:dyDescent="0.25">
      <c r="A792" s="1">
        <v>22</v>
      </c>
      <c r="B792" s="36">
        <f t="shared" si="65"/>
        <v>37</v>
      </c>
      <c r="C792" s="37" t="s">
        <v>1236</v>
      </c>
      <c r="D792" s="38" t="s">
        <v>37</v>
      </c>
      <c r="E792" s="40">
        <v>630</v>
      </c>
      <c r="F792" s="40">
        <v>630</v>
      </c>
      <c r="G792" s="40">
        <v>630</v>
      </c>
      <c r="H792" s="39">
        <v>487</v>
      </c>
      <c r="I792" s="39">
        <v>487</v>
      </c>
      <c r="J792" s="39">
        <v>0</v>
      </c>
      <c r="K792" s="41" t="s">
        <v>306</v>
      </c>
      <c r="L792" s="73" t="s">
        <v>1237</v>
      </c>
      <c r="M792" s="81"/>
    </row>
    <row r="793" spans="1:13" ht="126" x14ac:dyDescent="0.25">
      <c r="A793" s="1">
        <v>22</v>
      </c>
      <c r="B793" s="36">
        <f t="shared" si="65"/>
        <v>38</v>
      </c>
      <c r="C793" s="37" t="s">
        <v>1238</v>
      </c>
      <c r="D793" s="38" t="s">
        <v>37</v>
      </c>
      <c r="E793" s="40">
        <v>630</v>
      </c>
      <c r="F793" s="40">
        <v>630</v>
      </c>
      <c r="G793" s="40">
        <v>630</v>
      </c>
      <c r="H793" s="39">
        <v>628.44899999999996</v>
      </c>
      <c r="I793" s="39">
        <v>628.44899999999996</v>
      </c>
      <c r="J793" s="39">
        <v>0</v>
      </c>
      <c r="K793" s="41" t="s">
        <v>306</v>
      </c>
      <c r="L793" s="73" t="s">
        <v>1239</v>
      </c>
      <c r="M793" s="81" t="s">
        <v>157</v>
      </c>
    </row>
    <row r="794" spans="1:13" ht="72" x14ac:dyDescent="0.25">
      <c r="A794" s="1">
        <v>22</v>
      </c>
      <c r="B794" s="36">
        <f t="shared" si="65"/>
        <v>39</v>
      </c>
      <c r="C794" s="37" t="s">
        <v>1240</v>
      </c>
      <c r="D794" s="38" t="s">
        <v>1241</v>
      </c>
      <c r="E794" s="40">
        <v>2492.1219999999998</v>
      </c>
      <c r="F794" s="40">
        <v>2492.1219999999998</v>
      </c>
      <c r="G794" s="40">
        <v>2492.1219999999998</v>
      </c>
      <c r="H794" s="39">
        <v>2491.9209999999998</v>
      </c>
      <c r="I794" s="39">
        <v>2491.9209999999998</v>
      </c>
      <c r="J794" s="39">
        <v>0</v>
      </c>
      <c r="K794" s="41" t="s">
        <v>115</v>
      </c>
      <c r="L794" s="97" t="s">
        <v>1242</v>
      </c>
      <c r="M794" s="43"/>
    </row>
    <row r="795" spans="1:13" ht="72" x14ac:dyDescent="0.25">
      <c r="A795" s="1">
        <v>22</v>
      </c>
      <c r="B795" s="44">
        <f t="shared" si="65"/>
        <v>40</v>
      </c>
      <c r="C795" s="37" t="s">
        <v>1243</v>
      </c>
      <c r="D795" s="38" t="s">
        <v>49</v>
      </c>
      <c r="E795" s="40">
        <v>2807.1</v>
      </c>
      <c r="F795" s="40">
        <v>2807.1</v>
      </c>
      <c r="G795" s="40">
        <v>2807.1</v>
      </c>
      <c r="H795" s="39">
        <v>2807.1</v>
      </c>
      <c r="I795" s="39">
        <v>2807.1</v>
      </c>
      <c r="J795" s="39">
        <v>0</v>
      </c>
      <c r="K795" s="41" t="s">
        <v>38</v>
      </c>
      <c r="L795" s="73" t="s">
        <v>1244</v>
      </c>
      <c r="M795" s="81"/>
    </row>
    <row r="796" spans="1:13" ht="72.75" thickBot="1" x14ac:dyDescent="0.3">
      <c r="A796" s="1">
        <v>22</v>
      </c>
      <c r="B796" s="44">
        <f t="shared" si="65"/>
        <v>41</v>
      </c>
      <c r="C796" s="37" t="s">
        <v>1245</v>
      </c>
      <c r="D796" s="38" t="s">
        <v>37</v>
      </c>
      <c r="E796" s="40">
        <v>2203.194</v>
      </c>
      <c r="F796" s="40">
        <v>2203.194</v>
      </c>
      <c r="G796" s="40">
        <v>2203.194</v>
      </c>
      <c r="H796" s="39">
        <v>2203.194</v>
      </c>
      <c r="I796" s="39">
        <v>2203.194</v>
      </c>
      <c r="J796" s="39">
        <v>0</v>
      </c>
      <c r="K796" s="41" t="s">
        <v>86</v>
      </c>
      <c r="L796" s="97" t="s">
        <v>536</v>
      </c>
      <c r="M796" s="43"/>
    </row>
    <row r="797" spans="1:13" ht="18" customHeight="1" x14ac:dyDescent="0.25">
      <c r="A797" s="1">
        <v>23</v>
      </c>
      <c r="B797" s="112" t="s">
        <v>1246</v>
      </c>
      <c r="C797" s="113"/>
      <c r="D797" s="113"/>
      <c r="E797" s="113"/>
      <c r="F797" s="113"/>
      <c r="G797" s="113"/>
      <c r="H797" s="113"/>
      <c r="I797" s="113"/>
      <c r="J797" s="113"/>
      <c r="K797" s="113"/>
      <c r="L797" s="113"/>
      <c r="M797" s="114"/>
    </row>
    <row r="798" spans="1:13" ht="18" x14ac:dyDescent="0.25">
      <c r="A798" s="1">
        <v>23</v>
      </c>
      <c r="B798" s="21"/>
      <c r="C798" s="22" t="s">
        <v>25</v>
      </c>
      <c r="D798" s="23"/>
      <c r="E798" s="34">
        <f t="shared" ref="E798:J798" si="66">SUM(E799,E801:E821)</f>
        <v>69814.66800000002</v>
      </c>
      <c r="F798" s="34">
        <f t="shared" si="66"/>
        <v>69814.66800000002</v>
      </c>
      <c r="G798" s="34">
        <f t="shared" si="66"/>
        <v>69814.66800000002</v>
      </c>
      <c r="H798" s="34">
        <f t="shared" si="66"/>
        <v>67231.987920000014</v>
      </c>
      <c r="I798" s="34">
        <f t="shared" si="66"/>
        <v>67231.987920000014</v>
      </c>
      <c r="J798" s="34">
        <f t="shared" si="66"/>
        <v>0</v>
      </c>
      <c r="K798" s="23"/>
      <c r="L798" s="23"/>
      <c r="M798" s="26"/>
    </row>
    <row r="799" spans="1:13" ht="18" x14ac:dyDescent="0.25">
      <c r="A799" s="1">
        <v>23</v>
      </c>
      <c r="B799" s="21"/>
      <c r="C799" s="22" t="s">
        <v>22</v>
      </c>
      <c r="D799" s="23"/>
      <c r="E799" s="34">
        <v>0</v>
      </c>
      <c r="F799" s="34">
        <v>0</v>
      </c>
      <c r="G799" s="34">
        <v>0</v>
      </c>
      <c r="H799" s="34"/>
      <c r="I799" s="34"/>
      <c r="J799" s="34"/>
      <c r="K799" s="23"/>
      <c r="L799" s="23"/>
      <c r="M799" s="26"/>
    </row>
    <row r="800" spans="1:13" ht="36" x14ac:dyDescent="0.25">
      <c r="A800" s="1">
        <v>23</v>
      </c>
      <c r="B800" s="21"/>
      <c r="C800" s="22" t="s">
        <v>23</v>
      </c>
      <c r="D800" s="23"/>
      <c r="E800" s="34">
        <f t="shared" ref="E800:J800" si="67">SUM(E801:E821)</f>
        <v>69814.66800000002</v>
      </c>
      <c r="F800" s="34">
        <f t="shared" si="67"/>
        <v>69814.66800000002</v>
      </c>
      <c r="G800" s="34">
        <f t="shared" si="67"/>
        <v>69814.66800000002</v>
      </c>
      <c r="H800" s="34">
        <f t="shared" si="67"/>
        <v>67231.987920000014</v>
      </c>
      <c r="I800" s="34">
        <f t="shared" si="67"/>
        <v>67231.987920000014</v>
      </c>
      <c r="J800" s="34">
        <f t="shared" si="67"/>
        <v>0</v>
      </c>
      <c r="K800" s="23"/>
      <c r="L800" s="23"/>
      <c r="M800" s="26"/>
    </row>
    <row r="801" spans="1:13" ht="54" x14ac:dyDescent="0.25">
      <c r="A801" s="1">
        <v>23</v>
      </c>
      <c r="B801" s="36">
        <v>1</v>
      </c>
      <c r="C801" s="37" t="s">
        <v>1247</v>
      </c>
      <c r="D801" s="38" t="s">
        <v>73</v>
      </c>
      <c r="E801" s="40">
        <v>3784.2</v>
      </c>
      <c r="F801" s="40">
        <v>3784.2</v>
      </c>
      <c r="G801" s="40">
        <v>3784.2</v>
      </c>
      <c r="H801" s="40">
        <v>3784.2</v>
      </c>
      <c r="I801" s="40">
        <v>3784.2</v>
      </c>
      <c r="J801" s="40">
        <v>0</v>
      </c>
      <c r="K801" s="64" t="s">
        <v>181</v>
      </c>
      <c r="L801" s="76"/>
      <c r="M801" s="43"/>
    </row>
    <row r="802" spans="1:13" ht="85.5" x14ac:dyDescent="0.25">
      <c r="A802" s="1">
        <v>23</v>
      </c>
      <c r="B802" s="36">
        <f>B801+1</f>
        <v>2</v>
      </c>
      <c r="C802" s="37" t="s">
        <v>1248</v>
      </c>
      <c r="D802" s="38">
        <v>2016</v>
      </c>
      <c r="E802" s="40">
        <v>1421.7170000000001</v>
      </c>
      <c r="F802" s="40">
        <v>1421.7170000000001</v>
      </c>
      <c r="G802" s="40">
        <v>1421.7170000000001</v>
      </c>
      <c r="H802" s="40">
        <v>1368.4780000000001</v>
      </c>
      <c r="I802" s="40">
        <v>1368.4780000000001</v>
      </c>
      <c r="J802" s="40">
        <v>0</v>
      </c>
      <c r="K802" s="64" t="s">
        <v>306</v>
      </c>
      <c r="L802" s="76" t="s">
        <v>1249</v>
      </c>
      <c r="M802" s="43" t="s">
        <v>1250</v>
      </c>
    </row>
    <row r="803" spans="1:13" ht="142.5" x14ac:dyDescent="0.25">
      <c r="A803" s="1">
        <v>23</v>
      </c>
      <c r="B803" s="36">
        <f t="shared" ref="B803:B821" si="68">B802+1</f>
        <v>3</v>
      </c>
      <c r="C803" s="37" t="s">
        <v>1251</v>
      </c>
      <c r="D803" s="38" t="s">
        <v>49</v>
      </c>
      <c r="E803" s="40">
        <v>1021.961</v>
      </c>
      <c r="F803" s="40">
        <v>1021.961</v>
      </c>
      <c r="G803" s="40">
        <v>1021.961</v>
      </c>
      <c r="H803" s="40">
        <v>837.50199999999995</v>
      </c>
      <c r="I803" s="40">
        <v>837.50199999999995</v>
      </c>
      <c r="J803" s="40">
        <v>0</v>
      </c>
      <c r="K803" s="64" t="s">
        <v>306</v>
      </c>
      <c r="L803" s="76" t="s">
        <v>1252</v>
      </c>
      <c r="M803" s="43" t="s">
        <v>1253</v>
      </c>
    </row>
    <row r="804" spans="1:13" ht="90" x14ac:dyDescent="0.25">
      <c r="A804" s="1">
        <v>23</v>
      </c>
      <c r="B804" s="36">
        <f t="shared" si="68"/>
        <v>4</v>
      </c>
      <c r="C804" s="37" t="s">
        <v>1254</v>
      </c>
      <c r="D804" s="38" t="s">
        <v>49</v>
      </c>
      <c r="E804" s="40">
        <v>835.71699999999998</v>
      </c>
      <c r="F804" s="40">
        <v>835.71699999999998</v>
      </c>
      <c r="G804" s="40">
        <v>835.71699999999998</v>
      </c>
      <c r="H804" s="40">
        <v>764.74599999999998</v>
      </c>
      <c r="I804" s="40">
        <v>764.74599999999998</v>
      </c>
      <c r="J804" s="40">
        <v>0</v>
      </c>
      <c r="K804" s="64" t="s">
        <v>306</v>
      </c>
      <c r="L804" s="76" t="s">
        <v>1255</v>
      </c>
      <c r="M804" s="43" t="s">
        <v>1256</v>
      </c>
    </row>
    <row r="805" spans="1:13" ht="142.5" x14ac:dyDescent="0.25">
      <c r="A805" s="1">
        <v>23</v>
      </c>
      <c r="B805" s="36">
        <f t="shared" si="68"/>
        <v>5</v>
      </c>
      <c r="C805" s="37" t="s">
        <v>1257</v>
      </c>
      <c r="D805" s="38" t="s">
        <v>49</v>
      </c>
      <c r="E805" s="40">
        <v>2001</v>
      </c>
      <c r="F805" s="40">
        <v>2001</v>
      </c>
      <c r="G805" s="40">
        <v>2001</v>
      </c>
      <c r="H805" s="40">
        <v>1568.7054700000001</v>
      </c>
      <c r="I805" s="40">
        <v>1568.7054700000001</v>
      </c>
      <c r="J805" s="40">
        <v>0</v>
      </c>
      <c r="K805" s="64" t="s">
        <v>38</v>
      </c>
      <c r="L805" s="76" t="s">
        <v>1258</v>
      </c>
      <c r="M805" s="43" t="s">
        <v>1259</v>
      </c>
    </row>
    <row r="806" spans="1:13" ht="54" x14ac:dyDescent="0.25">
      <c r="A806" s="1">
        <v>23</v>
      </c>
      <c r="B806" s="36">
        <f t="shared" si="68"/>
        <v>6</v>
      </c>
      <c r="C806" s="37" t="s">
        <v>1260</v>
      </c>
      <c r="D806" s="38" t="s">
        <v>49</v>
      </c>
      <c r="E806" s="40">
        <v>1648.0619999999999</v>
      </c>
      <c r="F806" s="40">
        <v>1648.0619999999999</v>
      </c>
      <c r="G806" s="40">
        <v>1648.0619999999999</v>
      </c>
      <c r="H806" s="40">
        <v>1395.432</v>
      </c>
      <c r="I806" s="40">
        <v>1395.432</v>
      </c>
      <c r="J806" s="40">
        <v>0</v>
      </c>
      <c r="K806" s="64" t="s">
        <v>306</v>
      </c>
      <c r="L806" s="42" t="s">
        <v>1261</v>
      </c>
      <c r="M806" s="43" t="s">
        <v>1262</v>
      </c>
    </row>
    <row r="807" spans="1:13" ht="54" x14ac:dyDescent="0.25">
      <c r="A807" s="1">
        <v>23</v>
      </c>
      <c r="B807" s="36">
        <f t="shared" si="68"/>
        <v>7</v>
      </c>
      <c r="C807" s="37" t="s">
        <v>1263</v>
      </c>
      <c r="D807" s="38" t="s">
        <v>73</v>
      </c>
      <c r="E807" s="40">
        <v>305.45100000000002</v>
      </c>
      <c r="F807" s="40">
        <v>305.45100000000002</v>
      </c>
      <c r="G807" s="40">
        <v>305.45100000000002</v>
      </c>
      <c r="H807" s="40">
        <v>278.60899999999998</v>
      </c>
      <c r="I807" s="40">
        <v>278.60899999999998</v>
      </c>
      <c r="J807" s="40">
        <v>0</v>
      </c>
      <c r="K807" s="64" t="s">
        <v>181</v>
      </c>
      <c r="L807" s="76"/>
      <c r="M807" s="43"/>
    </row>
    <row r="808" spans="1:13" ht="114" x14ac:dyDescent="0.25">
      <c r="A808" s="1">
        <v>23</v>
      </c>
      <c r="B808" s="36">
        <f t="shared" si="68"/>
        <v>8</v>
      </c>
      <c r="C808" s="37" t="s">
        <v>1264</v>
      </c>
      <c r="D808" s="38" t="s">
        <v>49</v>
      </c>
      <c r="E808" s="40">
        <v>914.07399999999996</v>
      </c>
      <c r="F808" s="40">
        <v>914.07399999999996</v>
      </c>
      <c r="G808" s="40">
        <v>914.07399999999996</v>
      </c>
      <c r="H808" s="40">
        <v>870.75147000000004</v>
      </c>
      <c r="I808" s="40">
        <v>870.75147000000004</v>
      </c>
      <c r="J808" s="40">
        <v>0</v>
      </c>
      <c r="K808" s="64" t="s">
        <v>306</v>
      </c>
      <c r="L808" s="76" t="s">
        <v>1265</v>
      </c>
      <c r="M808" s="43" t="s">
        <v>1266</v>
      </c>
    </row>
    <row r="809" spans="1:13" ht="54" x14ac:dyDescent="0.25">
      <c r="A809" s="1">
        <v>23</v>
      </c>
      <c r="B809" s="36">
        <f t="shared" si="68"/>
        <v>9</v>
      </c>
      <c r="C809" s="37" t="s">
        <v>1267</v>
      </c>
      <c r="D809" s="38" t="s">
        <v>33</v>
      </c>
      <c r="E809" s="40">
        <v>5568.326</v>
      </c>
      <c r="F809" s="40">
        <v>5568.326</v>
      </c>
      <c r="G809" s="40">
        <v>5568.326</v>
      </c>
      <c r="H809" s="40">
        <v>4655.8310000000001</v>
      </c>
      <c r="I809" s="40">
        <v>4655.8310000000001</v>
      </c>
      <c r="J809" s="40">
        <v>0</v>
      </c>
      <c r="K809" s="64" t="s">
        <v>181</v>
      </c>
      <c r="L809" s="76"/>
      <c r="M809" s="43"/>
    </row>
    <row r="810" spans="1:13" ht="72" x14ac:dyDescent="0.25">
      <c r="A810" s="1">
        <v>23</v>
      </c>
      <c r="B810" s="36">
        <f t="shared" si="68"/>
        <v>10</v>
      </c>
      <c r="C810" s="37" t="s">
        <v>1268</v>
      </c>
      <c r="D810" s="38" t="s">
        <v>49</v>
      </c>
      <c r="E810" s="40">
        <v>3150</v>
      </c>
      <c r="F810" s="40">
        <v>3150</v>
      </c>
      <c r="G810" s="40">
        <v>3150</v>
      </c>
      <c r="H810" s="40">
        <v>2723.98</v>
      </c>
      <c r="I810" s="40">
        <v>2723.98</v>
      </c>
      <c r="J810" s="40">
        <v>0</v>
      </c>
      <c r="K810" s="64" t="s">
        <v>181</v>
      </c>
      <c r="L810" s="76"/>
      <c r="M810" s="43"/>
    </row>
    <row r="811" spans="1:13" ht="90" x14ac:dyDescent="0.25">
      <c r="A811" s="1">
        <v>23</v>
      </c>
      <c r="B811" s="44">
        <f t="shared" si="68"/>
        <v>11</v>
      </c>
      <c r="C811" s="37" t="s">
        <v>1269</v>
      </c>
      <c r="D811" s="38" t="s">
        <v>49</v>
      </c>
      <c r="E811" s="40">
        <f>3379.907+509.194</f>
        <v>3889.1010000000001</v>
      </c>
      <c r="F811" s="40">
        <v>3889.1010000000001</v>
      </c>
      <c r="G811" s="40">
        <v>3889.1010000000001</v>
      </c>
      <c r="H811" s="40">
        <v>3799.48848</v>
      </c>
      <c r="I811" s="40">
        <v>3799.48848</v>
      </c>
      <c r="J811" s="40">
        <v>0</v>
      </c>
      <c r="K811" s="64" t="s">
        <v>181</v>
      </c>
      <c r="L811" s="76"/>
      <c r="M811" s="43"/>
    </row>
    <row r="812" spans="1:13" ht="114" x14ac:dyDescent="0.25">
      <c r="A812" s="1">
        <v>23</v>
      </c>
      <c r="B812" s="36">
        <f t="shared" si="68"/>
        <v>12</v>
      </c>
      <c r="C812" s="37" t="s">
        <v>1270</v>
      </c>
      <c r="D812" s="38" t="s">
        <v>49</v>
      </c>
      <c r="E812" s="40">
        <v>454.68400000000003</v>
      </c>
      <c r="F812" s="40">
        <v>454.68400000000003</v>
      </c>
      <c r="G812" s="40">
        <v>454.68400000000003</v>
      </c>
      <c r="H812" s="40">
        <v>443.31240000000003</v>
      </c>
      <c r="I812" s="40">
        <v>443.31240000000003</v>
      </c>
      <c r="J812" s="40">
        <v>0</v>
      </c>
      <c r="K812" s="64" t="s">
        <v>38</v>
      </c>
      <c r="L812" s="76" t="s">
        <v>1271</v>
      </c>
      <c r="M812" s="43" t="s">
        <v>1272</v>
      </c>
    </row>
    <row r="813" spans="1:13" ht="108" x14ac:dyDescent="0.25">
      <c r="A813" s="1">
        <v>23</v>
      </c>
      <c r="B813" s="36">
        <f t="shared" si="68"/>
        <v>13</v>
      </c>
      <c r="C813" s="37" t="s">
        <v>1273</v>
      </c>
      <c r="D813" s="38">
        <v>2016</v>
      </c>
      <c r="E813" s="40">
        <v>276.23700000000002</v>
      </c>
      <c r="F813" s="40">
        <v>276.23700000000002</v>
      </c>
      <c r="G813" s="40">
        <v>276.23700000000002</v>
      </c>
      <c r="H813" s="40">
        <v>276.23700000000002</v>
      </c>
      <c r="I813" s="40">
        <v>276.23700000000002</v>
      </c>
      <c r="J813" s="40">
        <v>0</v>
      </c>
      <c r="K813" s="64" t="s">
        <v>306</v>
      </c>
      <c r="L813" s="42" t="s">
        <v>1274</v>
      </c>
      <c r="M813" s="43" t="s">
        <v>157</v>
      </c>
    </row>
    <row r="814" spans="1:13" ht="142.5" x14ac:dyDescent="0.25">
      <c r="A814" s="1">
        <v>23</v>
      </c>
      <c r="B814" s="36">
        <f t="shared" si="68"/>
        <v>14</v>
      </c>
      <c r="C814" s="37" t="s">
        <v>1275</v>
      </c>
      <c r="D814" s="38" t="s">
        <v>49</v>
      </c>
      <c r="E814" s="40">
        <v>2768.7460000000001</v>
      </c>
      <c r="F814" s="40">
        <v>2768.7460000000001</v>
      </c>
      <c r="G814" s="40">
        <v>2768.7460000000001</v>
      </c>
      <c r="H814" s="40">
        <v>2757.259</v>
      </c>
      <c r="I814" s="40">
        <v>2757.259</v>
      </c>
      <c r="J814" s="40">
        <v>0</v>
      </c>
      <c r="K814" s="64" t="s">
        <v>38</v>
      </c>
      <c r="L814" s="76" t="s">
        <v>1276</v>
      </c>
      <c r="M814" s="43" t="s">
        <v>1277</v>
      </c>
    </row>
    <row r="815" spans="1:13" ht="90" x14ac:dyDescent="0.25">
      <c r="A815" s="1">
        <v>23</v>
      </c>
      <c r="B815" s="36">
        <f t="shared" si="68"/>
        <v>15</v>
      </c>
      <c r="C815" s="37" t="s">
        <v>1278</v>
      </c>
      <c r="D815" s="38">
        <v>2016</v>
      </c>
      <c r="E815" s="39">
        <v>1955.1</v>
      </c>
      <c r="F815" s="40">
        <v>1955.1</v>
      </c>
      <c r="G815" s="40">
        <v>1955.1</v>
      </c>
      <c r="H815" s="40">
        <v>1903</v>
      </c>
      <c r="I815" s="40">
        <v>1903</v>
      </c>
      <c r="J815" s="40">
        <v>0</v>
      </c>
      <c r="K815" s="64" t="s">
        <v>181</v>
      </c>
      <c r="L815" s="42" t="s">
        <v>1279</v>
      </c>
      <c r="M815" s="43"/>
    </row>
    <row r="816" spans="1:13" ht="327.75" x14ac:dyDescent="0.25">
      <c r="A816" s="1">
        <v>23</v>
      </c>
      <c r="B816" s="36">
        <f t="shared" si="68"/>
        <v>16</v>
      </c>
      <c r="C816" s="37" t="s">
        <v>1280</v>
      </c>
      <c r="D816" s="38">
        <v>2016</v>
      </c>
      <c r="E816" s="40">
        <v>13875</v>
      </c>
      <c r="F816" s="40">
        <v>13875</v>
      </c>
      <c r="G816" s="40">
        <v>13875</v>
      </c>
      <c r="H816" s="40">
        <v>13875</v>
      </c>
      <c r="I816" s="40">
        <v>13875</v>
      </c>
      <c r="J816" s="40">
        <v>0</v>
      </c>
      <c r="K816" s="64" t="s">
        <v>38</v>
      </c>
      <c r="L816" s="76" t="s">
        <v>1281</v>
      </c>
      <c r="M816" s="43" t="s">
        <v>157</v>
      </c>
    </row>
    <row r="817" spans="1:13" ht="327.75" x14ac:dyDescent="0.25">
      <c r="A817" s="1">
        <v>23</v>
      </c>
      <c r="B817" s="36">
        <f t="shared" si="68"/>
        <v>17</v>
      </c>
      <c r="C817" s="37" t="s">
        <v>1282</v>
      </c>
      <c r="D817" s="38">
        <v>2016</v>
      </c>
      <c r="E817" s="40">
        <v>10625</v>
      </c>
      <c r="F817" s="40">
        <v>10625</v>
      </c>
      <c r="G817" s="40">
        <v>10625</v>
      </c>
      <c r="H817" s="40">
        <v>10619.924999999999</v>
      </c>
      <c r="I817" s="40">
        <v>10619.924999999999</v>
      </c>
      <c r="J817" s="40">
        <v>0</v>
      </c>
      <c r="K817" s="64" t="s">
        <v>38</v>
      </c>
      <c r="L817" s="76" t="s">
        <v>1281</v>
      </c>
      <c r="M817" s="43" t="s">
        <v>157</v>
      </c>
    </row>
    <row r="818" spans="1:13" ht="114" x14ac:dyDescent="0.25">
      <c r="A818" s="1">
        <v>23</v>
      </c>
      <c r="B818" s="36">
        <f t="shared" si="68"/>
        <v>18</v>
      </c>
      <c r="C818" s="37" t="s">
        <v>1283</v>
      </c>
      <c r="D818" s="38">
        <v>2016</v>
      </c>
      <c r="E818" s="40">
        <f>1120.142+365.75</f>
        <v>1485.8920000000001</v>
      </c>
      <c r="F818" s="40">
        <v>1485.8920000000001</v>
      </c>
      <c r="G818" s="40">
        <v>1485.8920000000001</v>
      </c>
      <c r="H818" s="40">
        <v>1485.8920000000001</v>
      </c>
      <c r="I818" s="40">
        <v>1485.8920000000001</v>
      </c>
      <c r="J818" s="40">
        <v>0</v>
      </c>
      <c r="K818" s="64" t="s">
        <v>38</v>
      </c>
      <c r="L818" s="76" t="s">
        <v>1284</v>
      </c>
      <c r="M818" s="43" t="s">
        <v>157</v>
      </c>
    </row>
    <row r="819" spans="1:13" ht="126" x14ac:dyDescent="0.25">
      <c r="A819" s="1">
        <v>23</v>
      </c>
      <c r="B819" s="82">
        <f t="shared" si="68"/>
        <v>19</v>
      </c>
      <c r="C819" s="51" t="s">
        <v>1285</v>
      </c>
      <c r="D819" s="52" t="s">
        <v>41</v>
      </c>
      <c r="E819" s="84">
        <f>10107.933+1328.7</f>
        <v>11436.633000000002</v>
      </c>
      <c r="F819" s="84">
        <v>11436.633000000002</v>
      </c>
      <c r="G819" s="84">
        <v>11436.633000000002</v>
      </c>
      <c r="H819" s="84">
        <v>11425.872100000001</v>
      </c>
      <c r="I819" s="84">
        <v>11425.872100000001</v>
      </c>
      <c r="J819" s="84">
        <v>0</v>
      </c>
      <c r="K819" s="89" t="s">
        <v>115</v>
      </c>
      <c r="L819" s="98"/>
      <c r="M819" s="88"/>
    </row>
    <row r="820" spans="1:13" ht="90" x14ac:dyDescent="0.25">
      <c r="A820" s="1">
        <v>23</v>
      </c>
      <c r="B820" s="50">
        <f t="shared" si="68"/>
        <v>20</v>
      </c>
      <c r="C820" s="51" t="s">
        <v>1286</v>
      </c>
      <c r="D820" s="52" t="s">
        <v>37</v>
      </c>
      <c r="E820" s="84">
        <v>605.63699999999994</v>
      </c>
      <c r="F820" s="84">
        <v>605.63699999999994</v>
      </c>
      <c r="G820" s="84">
        <v>605.63699999999994</v>
      </c>
      <c r="H820" s="84">
        <v>605.63699999999994</v>
      </c>
      <c r="I820" s="84">
        <v>605.63699999999994</v>
      </c>
      <c r="J820" s="84">
        <v>0</v>
      </c>
      <c r="K820" s="89" t="s">
        <v>38</v>
      </c>
      <c r="L820" s="65" t="s">
        <v>1287</v>
      </c>
      <c r="M820" s="88" t="s">
        <v>1288</v>
      </c>
    </row>
    <row r="821" spans="1:13" ht="54.75" thickBot="1" x14ac:dyDescent="0.3">
      <c r="A821" s="1">
        <v>23</v>
      </c>
      <c r="B821" s="56">
        <f t="shared" si="68"/>
        <v>21</v>
      </c>
      <c r="C821" s="57" t="s">
        <v>1289</v>
      </c>
      <c r="D821" s="67" t="s">
        <v>37</v>
      </c>
      <c r="E821" s="68">
        <v>1792.13</v>
      </c>
      <c r="F821" s="68">
        <v>1792.13</v>
      </c>
      <c r="G821" s="68">
        <v>1792.13</v>
      </c>
      <c r="H821" s="68">
        <v>1792.13</v>
      </c>
      <c r="I821" s="68">
        <v>1792.13</v>
      </c>
      <c r="J821" s="68">
        <v>0</v>
      </c>
      <c r="K821" s="70" t="s">
        <v>181</v>
      </c>
      <c r="L821" s="91"/>
      <c r="M821" s="72"/>
    </row>
    <row r="822" spans="1:13" ht="18" customHeight="1" x14ac:dyDescent="0.25">
      <c r="A822" s="1">
        <v>24</v>
      </c>
      <c r="B822" s="112" t="s">
        <v>1290</v>
      </c>
      <c r="C822" s="113"/>
      <c r="D822" s="113"/>
      <c r="E822" s="113"/>
      <c r="F822" s="113"/>
      <c r="G822" s="113"/>
      <c r="H822" s="113"/>
      <c r="I822" s="113"/>
      <c r="J822" s="113"/>
      <c r="K822" s="113"/>
      <c r="L822" s="113"/>
      <c r="M822" s="114"/>
    </row>
    <row r="823" spans="1:13" ht="18" x14ac:dyDescent="0.25">
      <c r="A823" s="1">
        <v>24</v>
      </c>
      <c r="B823" s="21"/>
      <c r="C823" s="22" t="s">
        <v>25</v>
      </c>
      <c r="D823" s="23"/>
      <c r="E823" s="34">
        <f t="shared" ref="E823:J823" si="69">SUM(E824,E826:E840)</f>
        <v>79865.421000000002</v>
      </c>
      <c r="F823" s="34">
        <f t="shared" si="69"/>
        <v>79865.421000000002</v>
      </c>
      <c r="G823" s="34">
        <f t="shared" si="69"/>
        <v>79865.421000000002</v>
      </c>
      <c r="H823" s="34">
        <f t="shared" si="69"/>
        <v>77362.980450000003</v>
      </c>
      <c r="I823" s="34">
        <f t="shared" si="69"/>
        <v>77362.979850000003</v>
      </c>
      <c r="J823" s="34">
        <f t="shared" si="69"/>
        <v>0</v>
      </c>
      <c r="K823" s="25"/>
      <c r="L823" s="23"/>
      <c r="M823" s="26"/>
    </row>
    <row r="824" spans="1:13" ht="18" x14ac:dyDescent="0.25">
      <c r="A824" s="1">
        <v>24</v>
      </c>
      <c r="B824" s="21"/>
      <c r="C824" s="22" t="s">
        <v>22</v>
      </c>
      <c r="D824" s="23"/>
      <c r="E824" s="34">
        <v>0</v>
      </c>
      <c r="F824" s="34">
        <v>0</v>
      </c>
      <c r="G824" s="34">
        <v>0</v>
      </c>
      <c r="H824" s="34"/>
      <c r="I824" s="34"/>
      <c r="J824" s="34"/>
      <c r="K824" s="25"/>
      <c r="L824" s="23"/>
      <c r="M824" s="26"/>
    </row>
    <row r="825" spans="1:13" ht="36" x14ac:dyDescent="0.25">
      <c r="A825" s="1">
        <v>24</v>
      </c>
      <c r="B825" s="21"/>
      <c r="C825" s="22" t="s">
        <v>23</v>
      </c>
      <c r="D825" s="23"/>
      <c r="E825" s="34">
        <f t="shared" ref="E825:J825" si="70">SUM(E826:E840)</f>
        <v>79865.421000000002</v>
      </c>
      <c r="F825" s="34">
        <f>SUM(F826:F840)</f>
        <v>79865.421000000002</v>
      </c>
      <c r="G825" s="34">
        <f t="shared" si="70"/>
        <v>79865.421000000002</v>
      </c>
      <c r="H825" s="34">
        <f t="shared" si="70"/>
        <v>77362.980450000003</v>
      </c>
      <c r="I825" s="34">
        <f t="shared" si="70"/>
        <v>77362.979850000003</v>
      </c>
      <c r="J825" s="34">
        <f t="shared" si="70"/>
        <v>0</v>
      </c>
      <c r="K825" s="25"/>
      <c r="L825" s="23"/>
      <c r="M825" s="26"/>
    </row>
    <row r="826" spans="1:13" ht="72" x14ac:dyDescent="0.25">
      <c r="A826" s="1">
        <v>24</v>
      </c>
      <c r="B826" s="44">
        <v>1</v>
      </c>
      <c r="C826" s="37" t="s">
        <v>1291</v>
      </c>
      <c r="D826" s="38" t="s">
        <v>697</v>
      </c>
      <c r="E826" s="40">
        <f>3634.299+5277.055+2636</f>
        <v>11547.353999999999</v>
      </c>
      <c r="F826" s="40">
        <v>11547.353999999999</v>
      </c>
      <c r="G826" s="40">
        <f>3634.299+5277.055+2636</f>
        <v>11547.353999999999</v>
      </c>
      <c r="H826" s="40">
        <f>11520.6464+0.0006</f>
        <v>11520.646999999999</v>
      </c>
      <c r="I826" s="40">
        <v>11520.6464</v>
      </c>
      <c r="J826" s="40">
        <v>0</v>
      </c>
      <c r="K826" s="64" t="s">
        <v>38</v>
      </c>
      <c r="L826" s="42" t="s">
        <v>124</v>
      </c>
      <c r="M826" s="43"/>
    </row>
    <row r="827" spans="1:13" ht="90" x14ac:dyDescent="0.25">
      <c r="A827" s="1">
        <v>24</v>
      </c>
      <c r="B827" s="44">
        <f>B826+1</f>
        <v>2</v>
      </c>
      <c r="C827" s="37" t="s">
        <v>1292</v>
      </c>
      <c r="D827" s="38" t="s">
        <v>697</v>
      </c>
      <c r="E827" s="40">
        <f>2880+7070.35</f>
        <v>9950.35</v>
      </c>
      <c r="F827" s="40">
        <v>9950.35</v>
      </c>
      <c r="G827" s="40">
        <f>2880+7070.35</f>
        <v>9950.35</v>
      </c>
      <c r="H827" s="40">
        <v>9930.06</v>
      </c>
      <c r="I827" s="40">
        <v>9930.06</v>
      </c>
      <c r="J827" s="40">
        <v>0</v>
      </c>
      <c r="K827" s="64" t="s">
        <v>38</v>
      </c>
      <c r="L827" s="42" t="s">
        <v>134</v>
      </c>
      <c r="M827" s="43"/>
    </row>
    <row r="828" spans="1:13" ht="72" x14ac:dyDescent="0.25">
      <c r="A828" s="1">
        <v>24</v>
      </c>
      <c r="B828" s="36">
        <f t="shared" ref="B828:B840" si="71">B827+1</f>
        <v>3</v>
      </c>
      <c r="C828" s="37" t="s">
        <v>1293</v>
      </c>
      <c r="D828" s="38" t="s">
        <v>1294</v>
      </c>
      <c r="E828" s="40">
        <v>400</v>
      </c>
      <c r="F828" s="40">
        <v>400</v>
      </c>
      <c r="G828" s="40">
        <v>400</v>
      </c>
      <c r="H828" s="40">
        <v>400</v>
      </c>
      <c r="I828" s="39">
        <v>400</v>
      </c>
      <c r="J828" s="40">
        <v>0</v>
      </c>
      <c r="K828" s="64" t="s">
        <v>80</v>
      </c>
      <c r="L828" s="42" t="s">
        <v>1295</v>
      </c>
      <c r="M828" s="43" t="s">
        <v>1296</v>
      </c>
    </row>
    <row r="829" spans="1:13" ht="90" x14ac:dyDescent="0.25">
      <c r="A829" s="1">
        <v>24</v>
      </c>
      <c r="B829" s="36">
        <f t="shared" si="71"/>
        <v>4</v>
      </c>
      <c r="C829" s="37" t="s">
        <v>1297</v>
      </c>
      <c r="D829" s="38" t="s">
        <v>49</v>
      </c>
      <c r="E829" s="40">
        <v>1100</v>
      </c>
      <c r="F829" s="40">
        <v>1100</v>
      </c>
      <c r="G829" s="40">
        <v>1100</v>
      </c>
      <c r="H829" s="40">
        <v>1100</v>
      </c>
      <c r="I829" s="39">
        <v>1100</v>
      </c>
      <c r="J829" s="40">
        <v>0</v>
      </c>
      <c r="K829" s="64" t="s">
        <v>80</v>
      </c>
      <c r="L829" s="42" t="s">
        <v>1298</v>
      </c>
      <c r="M829" s="43" t="s">
        <v>1299</v>
      </c>
    </row>
    <row r="830" spans="1:13" ht="72" x14ac:dyDescent="0.25">
      <c r="A830" s="1">
        <v>24</v>
      </c>
      <c r="B830" s="36">
        <f t="shared" si="71"/>
        <v>5</v>
      </c>
      <c r="C830" s="37" t="s">
        <v>1300</v>
      </c>
      <c r="D830" s="38" t="s">
        <v>37</v>
      </c>
      <c r="E830" s="40">
        <v>1188.8399999999999</v>
      </c>
      <c r="F830" s="40">
        <v>1188.8399999999999</v>
      </c>
      <c r="G830" s="40">
        <v>1188.8399999999999</v>
      </c>
      <c r="H830" s="40">
        <v>1188.8399999999999</v>
      </c>
      <c r="I830" s="40">
        <v>1188.8399999999999</v>
      </c>
      <c r="J830" s="40">
        <v>0</v>
      </c>
      <c r="K830" s="64" t="s">
        <v>38</v>
      </c>
      <c r="L830" s="42" t="s">
        <v>512</v>
      </c>
      <c r="M830" s="43"/>
    </row>
    <row r="831" spans="1:13" ht="54" x14ac:dyDescent="0.25">
      <c r="A831" s="1">
        <v>24</v>
      </c>
      <c r="B831" s="44">
        <f t="shared" si="71"/>
        <v>6</v>
      </c>
      <c r="C831" s="37" t="s">
        <v>1301</v>
      </c>
      <c r="D831" s="38" t="s">
        <v>37</v>
      </c>
      <c r="E831" s="40">
        <f>10211.198-3000</f>
        <v>7211.1980000000003</v>
      </c>
      <c r="F831" s="40">
        <v>7211.1980000000003</v>
      </c>
      <c r="G831" s="40">
        <f>10211.198-3000</f>
        <v>7211.1980000000003</v>
      </c>
      <c r="H831" s="40">
        <v>7211.1980000000003</v>
      </c>
      <c r="I831" s="40">
        <v>7211.1980000000003</v>
      </c>
      <c r="J831" s="40">
        <v>0</v>
      </c>
      <c r="K831" s="64" t="s">
        <v>38</v>
      </c>
      <c r="L831" s="42" t="s">
        <v>90</v>
      </c>
      <c r="M831" s="43"/>
    </row>
    <row r="832" spans="1:13" ht="72" x14ac:dyDescent="0.25">
      <c r="A832" s="1">
        <v>24</v>
      </c>
      <c r="B832" s="36">
        <f t="shared" si="71"/>
        <v>7</v>
      </c>
      <c r="C832" s="37" t="s">
        <v>1302</v>
      </c>
      <c r="D832" s="38" t="s">
        <v>604</v>
      </c>
      <c r="E832" s="40">
        <v>8240.732</v>
      </c>
      <c r="F832" s="40">
        <v>8240.732</v>
      </c>
      <c r="G832" s="40">
        <v>8240.732</v>
      </c>
      <c r="H832" s="40">
        <v>7801.78845</v>
      </c>
      <c r="I832" s="40">
        <v>7801.78845</v>
      </c>
      <c r="J832" s="40">
        <v>0</v>
      </c>
      <c r="K832" s="64" t="s">
        <v>753</v>
      </c>
      <c r="L832" s="42"/>
      <c r="M832" s="43"/>
    </row>
    <row r="833" spans="1:13" ht="72" x14ac:dyDescent="0.25">
      <c r="A833" s="1">
        <v>24</v>
      </c>
      <c r="B833" s="44">
        <f t="shared" si="71"/>
        <v>8</v>
      </c>
      <c r="C833" s="37" t="s">
        <v>1303</v>
      </c>
      <c r="D833" s="38" t="s">
        <v>604</v>
      </c>
      <c r="E833" s="40">
        <f>11147.405-9347.405</f>
        <v>1800</v>
      </c>
      <c r="F833" s="40">
        <v>1800</v>
      </c>
      <c r="G833" s="40">
        <f>11147.405-9347.405</f>
        <v>1800</v>
      </c>
      <c r="H833" s="40">
        <v>1800</v>
      </c>
      <c r="I833" s="40">
        <v>1800</v>
      </c>
      <c r="J833" s="40">
        <v>0</v>
      </c>
      <c r="K833" s="64" t="s">
        <v>100</v>
      </c>
      <c r="L833" s="42"/>
      <c r="M833" s="43"/>
    </row>
    <row r="834" spans="1:13" ht="72" x14ac:dyDescent="0.25">
      <c r="A834" s="1">
        <v>24</v>
      </c>
      <c r="B834" s="36">
        <f t="shared" si="71"/>
        <v>9</v>
      </c>
      <c r="C834" s="37" t="s">
        <v>1304</v>
      </c>
      <c r="D834" s="38">
        <v>2016</v>
      </c>
      <c r="E834" s="40">
        <v>875.61800000000005</v>
      </c>
      <c r="F834" s="40">
        <v>875.61800000000005</v>
      </c>
      <c r="G834" s="40">
        <v>875.61800000000005</v>
      </c>
      <c r="H834" s="40">
        <v>875.61800000000005</v>
      </c>
      <c r="I834" s="40">
        <v>875.61800000000005</v>
      </c>
      <c r="J834" s="40">
        <v>0</v>
      </c>
      <c r="K834" s="64" t="s">
        <v>753</v>
      </c>
      <c r="L834" s="42"/>
      <c r="M834" s="43"/>
    </row>
    <row r="835" spans="1:13" ht="54" x14ac:dyDescent="0.25">
      <c r="A835" s="1">
        <v>24</v>
      </c>
      <c r="B835" s="44">
        <f t="shared" si="71"/>
        <v>10</v>
      </c>
      <c r="C835" s="37" t="s">
        <v>1305</v>
      </c>
      <c r="D835" s="38" t="s">
        <v>47</v>
      </c>
      <c r="E835" s="40">
        <f>6302.327-4286</f>
        <v>2016.3270000000002</v>
      </c>
      <c r="F835" s="40">
        <v>2016.3270000000002</v>
      </c>
      <c r="G835" s="40">
        <f>6302.327-4286</f>
        <v>2016.3270000000002</v>
      </c>
      <c r="H835" s="40">
        <v>0</v>
      </c>
      <c r="I835" s="40">
        <v>0</v>
      </c>
      <c r="J835" s="40">
        <v>0</v>
      </c>
      <c r="K835" s="64" t="s">
        <v>100</v>
      </c>
      <c r="L835" s="42"/>
      <c r="M835" s="43"/>
    </row>
    <row r="836" spans="1:13" ht="54" x14ac:dyDescent="0.25">
      <c r="A836" s="1">
        <v>24</v>
      </c>
      <c r="B836" s="36">
        <f t="shared" si="71"/>
        <v>11</v>
      </c>
      <c r="C836" s="37" t="s">
        <v>1306</v>
      </c>
      <c r="D836" s="38" t="s">
        <v>330</v>
      </c>
      <c r="E836" s="40">
        <v>8621.9030000000002</v>
      </c>
      <c r="F836" s="40">
        <v>8621.9030000000002</v>
      </c>
      <c r="G836" s="40">
        <v>8621.9030000000002</v>
      </c>
      <c r="H836" s="40">
        <v>8621.9030000000002</v>
      </c>
      <c r="I836" s="40">
        <v>8621.9030000000002</v>
      </c>
      <c r="J836" s="40">
        <v>0</v>
      </c>
      <c r="K836" s="64" t="s">
        <v>1307</v>
      </c>
      <c r="L836" s="42"/>
      <c r="M836" s="43"/>
    </row>
    <row r="837" spans="1:13" ht="54" x14ac:dyDescent="0.25">
      <c r="A837" s="1">
        <v>24</v>
      </c>
      <c r="B837" s="36">
        <f t="shared" si="71"/>
        <v>12</v>
      </c>
      <c r="C837" s="37" t="s">
        <v>1308</v>
      </c>
      <c r="D837" s="38" t="s">
        <v>33</v>
      </c>
      <c r="E837" s="40">
        <v>8100</v>
      </c>
      <c r="F837" s="40">
        <v>8100</v>
      </c>
      <c r="G837" s="40">
        <v>8100</v>
      </c>
      <c r="H837" s="40">
        <v>8100</v>
      </c>
      <c r="I837" s="40">
        <v>8100</v>
      </c>
      <c r="J837" s="40">
        <v>0</v>
      </c>
      <c r="K837" s="64" t="s">
        <v>1228</v>
      </c>
      <c r="L837" s="42"/>
      <c r="M837" s="43"/>
    </row>
    <row r="838" spans="1:13" ht="54" x14ac:dyDescent="0.25">
      <c r="A838" s="1">
        <v>24</v>
      </c>
      <c r="B838" s="36">
        <f t="shared" si="71"/>
        <v>13</v>
      </c>
      <c r="C838" s="37" t="s">
        <v>1309</v>
      </c>
      <c r="D838" s="38">
        <v>2016</v>
      </c>
      <c r="E838" s="40">
        <v>3561.6869999999999</v>
      </c>
      <c r="F838" s="40">
        <v>3561.6869999999999</v>
      </c>
      <c r="G838" s="40">
        <v>3561.6869999999999</v>
      </c>
      <c r="H838" s="40">
        <v>3561.6869999999999</v>
      </c>
      <c r="I838" s="40">
        <v>3561.6869999999999</v>
      </c>
      <c r="J838" s="40">
        <v>0</v>
      </c>
      <c r="K838" s="64" t="s">
        <v>753</v>
      </c>
      <c r="L838" s="42"/>
      <c r="M838" s="43"/>
    </row>
    <row r="839" spans="1:13" ht="54" x14ac:dyDescent="0.25">
      <c r="A839" s="1">
        <v>24</v>
      </c>
      <c r="B839" s="36">
        <f t="shared" si="71"/>
        <v>14</v>
      </c>
      <c r="C839" s="37" t="s">
        <v>1310</v>
      </c>
      <c r="D839" s="38">
        <v>2016</v>
      </c>
      <c r="E839" s="40">
        <v>6401.4120000000003</v>
      </c>
      <c r="F839" s="40">
        <v>6401.4120000000003</v>
      </c>
      <c r="G839" s="40">
        <v>6401.4120000000003</v>
      </c>
      <c r="H839" s="40">
        <v>6401.4120000000003</v>
      </c>
      <c r="I839" s="40">
        <v>6401.4120000000003</v>
      </c>
      <c r="J839" s="40">
        <v>0</v>
      </c>
      <c r="K839" s="64" t="s">
        <v>100</v>
      </c>
      <c r="L839" s="42"/>
      <c r="M839" s="43"/>
    </row>
    <row r="840" spans="1:13" ht="54.75" thickBot="1" x14ac:dyDescent="0.3">
      <c r="A840" s="1">
        <v>24</v>
      </c>
      <c r="B840" s="82">
        <f t="shared" si="71"/>
        <v>15</v>
      </c>
      <c r="C840" s="51" t="s">
        <v>1311</v>
      </c>
      <c r="D840" s="52" t="s">
        <v>669</v>
      </c>
      <c r="E840" s="84">
        <f>7200+1650</f>
        <v>8850</v>
      </c>
      <c r="F840" s="84">
        <v>8850</v>
      </c>
      <c r="G840" s="84">
        <f>7200+1650</f>
        <v>8850</v>
      </c>
      <c r="H840" s="84">
        <v>8849.8269999999993</v>
      </c>
      <c r="I840" s="84">
        <v>8849.8269999999993</v>
      </c>
      <c r="J840" s="84">
        <v>0</v>
      </c>
      <c r="K840" s="89" t="s">
        <v>1307</v>
      </c>
      <c r="L840" s="65"/>
      <c r="M840" s="88"/>
    </row>
    <row r="841" spans="1:13" ht="18" customHeight="1" x14ac:dyDescent="0.25">
      <c r="A841" s="1">
        <v>25</v>
      </c>
      <c r="B841" s="112" t="s">
        <v>1312</v>
      </c>
      <c r="C841" s="113"/>
      <c r="D841" s="113"/>
      <c r="E841" s="113"/>
      <c r="F841" s="113"/>
      <c r="G841" s="113"/>
      <c r="H841" s="113"/>
      <c r="I841" s="113"/>
      <c r="J841" s="113"/>
      <c r="K841" s="113"/>
      <c r="L841" s="113"/>
      <c r="M841" s="114"/>
    </row>
    <row r="842" spans="1:13" ht="18" x14ac:dyDescent="0.25">
      <c r="A842" s="1">
        <v>25</v>
      </c>
      <c r="B842" s="21"/>
      <c r="C842" s="22" t="s">
        <v>25</v>
      </c>
      <c r="D842" s="23"/>
      <c r="E842" s="34">
        <f>SUM(E843,E845:E919)</f>
        <v>91891.034000000014</v>
      </c>
      <c r="F842" s="34">
        <f t="shared" ref="F842:J842" si="72">SUM(F843,F845:F919)</f>
        <v>91891.034000000014</v>
      </c>
      <c r="G842" s="34">
        <f t="shared" si="72"/>
        <v>91891.034000000014</v>
      </c>
      <c r="H842" s="34">
        <f t="shared" si="72"/>
        <v>81352.213249999986</v>
      </c>
      <c r="I842" s="34">
        <f t="shared" si="72"/>
        <v>81352.213249999986</v>
      </c>
      <c r="J842" s="34">
        <f t="shared" si="72"/>
        <v>0</v>
      </c>
      <c r="K842" s="25"/>
      <c r="L842" s="23"/>
      <c r="M842" s="26"/>
    </row>
    <row r="843" spans="1:13" ht="18" x14ac:dyDescent="0.25">
      <c r="A843" s="1">
        <v>25</v>
      </c>
      <c r="B843" s="21"/>
      <c r="C843" s="22" t="s">
        <v>22</v>
      </c>
      <c r="D843" s="23"/>
      <c r="E843" s="34">
        <v>0</v>
      </c>
      <c r="F843" s="34">
        <v>0</v>
      </c>
      <c r="G843" s="34">
        <v>0</v>
      </c>
      <c r="H843" s="34"/>
      <c r="I843" s="34"/>
      <c r="J843" s="34"/>
      <c r="K843" s="25"/>
      <c r="L843" s="23"/>
      <c r="M843" s="26"/>
    </row>
    <row r="844" spans="1:13" ht="36" x14ac:dyDescent="0.25">
      <c r="A844" s="1">
        <v>25</v>
      </c>
      <c r="B844" s="21"/>
      <c r="C844" s="22" t="s">
        <v>23</v>
      </c>
      <c r="D844" s="23"/>
      <c r="E844" s="34">
        <f t="shared" ref="E844:J844" si="73">SUM(E845:E919)</f>
        <v>91891.034000000014</v>
      </c>
      <c r="F844" s="34">
        <f t="shared" si="73"/>
        <v>91891.034000000014</v>
      </c>
      <c r="G844" s="34">
        <f t="shared" si="73"/>
        <v>91891.034000000014</v>
      </c>
      <c r="H844" s="34">
        <f t="shared" si="73"/>
        <v>81352.213249999986</v>
      </c>
      <c r="I844" s="34">
        <f t="shared" si="73"/>
        <v>81352.213249999986</v>
      </c>
      <c r="J844" s="34">
        <f t="shared" si="73"/>
        <v>0</v>
      </c>
      <c r="K844" s="25"/>
      <c r="L844" s="23"/>
      <c r="M844" s="26"/>
    </row>
    <row r="845" spans="1:13" ht="72" x14ac:dyDescent="0.25">
      <c r="A845" s="1">
        <v>25</v>
      </c>
      <c r="B845" s="44">
        <v>1</v>
      </c>
      <c r="C845" s="37" t="s">
        <v>1313</v>
      </c>
      <c r="D845" s="38" t="s">
        <v>95</v>
      </c>
      <c r="E845" s="39">
        <f>3842.849-1038.837</f>
        <v>2804.0120000000002</v>
      </c>
      <c r="F845" s="39">
        <v>2804.0120000000002</v>
      </c>
      <c r="G845" s="39">
        <f>3842.849-1038.837</f>
        <v>2804.0120000000002</v>
      </c>
      <c r="H845" s="39">
        <f>2804.011+0.00025</f>
        <v>2804.01125</v>
      </c>
      <c r="I845" s="39">
        <f>2804.011+0.00025</f>
        <v>2804.01125</v>
      </c>
      <c r="J845" s="39">
        <v>0</v>
      </c>
      <c r="K845" s="41" t="s">
        <v>38</v>
      </c>
      <c r="L845" s="73" t="s">
        <v>518</v>
      </c>
      <c r="M845" s="81"/>
    </row>
    <row r="846" spans="1:13" ht="90" x14ac:dyDescent="0.25">
      <c r="A846" s="1">
        <v>25</v>
      </c>
      <c r="B846" s="44">
        <f>B845+1</f>
        <v>2</v>
      </c>
      <c r="C846" s="37" t="s">
        <v>1314</v>
      </c>
      <c r="D846" s="38">
        <v>2016</v>
      </c>
      <c r="E846" s="39">
        <f>588.114-21.566</f>
        <v>566.548</v>
      </c>
      <c r="F846" s="39">
        <v>566.548</v>
      </c>
      <c r="G846" s="39">
        <f>588.114-21.566</f>
        <v>566.548</v>
      </c>
      <c r="H846" s="39">
        <v>566.548</v>
      </c>
      <c r="I846" s="39">
        <v>566.548</v>
      </c>
      <c r="J846" s="39">
        <v>0</v>
      </c>
      <c r="K846" s="41" t="s">
        <v>306</v>
      </c>
      <c r="L846" s="73" t="s">
        <v>296</v>
      </c>
      <c r="M846" s="81" t="s">
        <v>1315</v>
      </c>
    </row>
    <row r="847" spans="1:13" ht="90" x14ac:dyDescent="0.25">
      <c r="A847" s="1">
        <v>25</v>
      </c>
      <c r="B847" s="44">
        <f t="shared" ref="B847:B910" si="74">B846+1</f>
        <v>3</v>
      </c>
      <c r="C847" s="37" t="s">
        <v>1316</v>
      </c>
      <c r="D847" s="38">
        <v>2016</v>
      </c>
      <c r="E847" s="39">
        <f>3514.092-19.1-207.59</f>
        <v>3287.402</v>
      </c>
      <c r="F847" s="39">
        <v>3287.402</v>
      </c>
      <c r="G847" s="39">
        <f>3514.092-19.1-207.59</f>
        <v>3287.402</v>
      </c>
      <c r="H847" s="39">
        <v>3251.047</v>
      </c>
      <c r="I847" s="39">
        <v>3251.047</v>
      </c>
      <c r="J847" s="39">
        <v>0</v>
      </c>
      <c r="K847" s="41" t="s">
        <v>38</v>
      </c>
      <c r="L847" s="73" t="s">
        <v>53</v>
      </c>
      <c r="M847" s="81" t="s">
        <v>1317</v>
      </c>
    </row>
    <row r="848" spans="1:13" ht="90" x14ac:dyDescent="0.25">
      <c r="A848" s="1">
        <v>25</v>
      </c>
      <c r="B848" s="36">
        <f t="shared" si="74"/>
        <v>4</v>
      </c>
      <c r="C848" s="37" t="s">
        <v>1318</v>
      </c>
      <c r="D848" s="38" t="s">
        <v>33</v>
      </c>
      <c r="E848" s="39">
        <v>5000</v>
      </c>
      <c r="F848" s="39">
        <v>5000</v>
      </c>
      <c r="G848" s="39">
        <v>5000</v>
      </c>
      <c r="H848" s="39">
        <v>5000</v>
      </c>
      <c r="I848" s="39">
        <v>5000</v>
      </c>
      <c r="J848" s="39">
        <v>0</v>
      </c>
      <c r="K848" s="41" t="s">
        <v>115</v>
      </c>
      <c r="L848" s="42"/>
      <c r="M848" s="43"/>
    </row>
    <row r="849" spans="1:13" ht="108" x14ac:dyDescent="0.25">
      <c r="A849" s="1">
        <v>25</v>
      </c>
      <c r="B849" s="44">
        <f t="shared" si="74"/>
        <v>5</v>
      </c>
      <c r="C849" s="37" t="s">
        <v>1319</v>
      </c>
      <c r="D849" s="38">
        <v>2016</v>
      </c>
      <c r="E849" s="39">
        <f>1774.125-525.888+36.088</f>
        <v>1284.325</v>
      </c>
      <c r="F849" s="39">
        <v>1284.325</v>
      </c>
      <c r="G849" s="39">
        <f>1774.125-525.888+36.088</f>
        <v>1284.325</v>
      </c>
      <c r="H849" s="39">
        <v>1282.261</v>
      </c>
      <c r="I849" s="39">
        <v>1282.261</v>
      </c>
      <c r="J849" s="39">
        <v>0</v>
      </c>
      <c r="K849" s="41" t="s">
        <v>38</v>
      </c>
      <c r="L849" s="73" t="s">
        <v>1320</v>
      </c>
      <c r="M849" s="81"/>
    </row>
    <row r="850" spans="1:13" ht="90" x14ac:dyDescent="0.25">
      <c r="A850" s="1">
        <v>25</v>
      </c>
      <c r="B850" s="44">
        <f t="shared" si="74"/>
        <v>6</v>
      </c>
      <c r="C850" s="37" t="s">
        <v>1321</v>
      </c>
      <c r="D850" s="38">
        <v>2016</v>
      </c>
      <c r="E850" s="39">
        <f>2788.417-679.661+140.361</f>
        <v>2249.1169999999997</v>
      </c>
      <c r="F850" s="39">
        <v>2249.1169999999997</v>
      </c>
      <c r="G850" s="39">
        <f>2788.417-679.661+140.361</f>
        <v>2249.1169999999997</v>
      </c>
      <c r="H850" s="39">
        <v>1984.1759999999999</v>
      </c>
      <c r="I850" s="39">
        <v>1984.1759999999999</v>
      </c>
      <c r="J850" s="39">
        <v>0</v>
      </c>
      <c r="K850" s="41" t="s">
        <v>38</v>
      </c>
      <c r="L850" s="73" t="s">
        <v>1322</v>
      </c>
      <c r="M850" s="81"/>
    </row>
    <row r="851" spans="1:13" ht="90" x14ac:dyDescent="0.25">
      <c r="A851" s="1">
        <v>25</v>
      </c>
      <c r="B851" s="44">
        <f t="shared" si="74"/>
        <v>7</v>
      </c>
      <c r="C851" s="37" t="s">
        <v>1323</v>
      </c>
      <c r="D851" s="38" t="s">
        <v>37</v>
      </c>
      <c r="E851" s="39">
        <f>3478.893-612.492</f>
        <v>2866.4009999999998</v>
      </c>
      <c r="F851" s="39">
        <v>2866.4009999999998</v>
      </c>
      <c r="G851" s="39">
        <f>3478.893-612.492</f>
        <v>2866.4009999999998</v>
      </c>
      <c r="H851" s="39">
        <v>2858.4749999999999</v>
      </c>
      <c r="I851" s="39">
        <v>2858.4749999999999</v>
      </c>
      <c r="J851" s="39">
        <v>0</v>
      </c>
      <c r="K851" s="41" t="s">
        <v>38</v>
      </c>
      <c r="L851" s="73" t="s">
        <v>198</v>
      </c>
      <c r="M851" s="81"/>
    </row>
    <row r="852" spans="1:13" ht="90" x14ac:dyDescent="0.25">
      <c r="A852" s="1">
        <v>25</v>
      </c>
      <c r="B852" s="36">
        <f t="shared" si="74"/>
        <v>8</v>
      </c>
      <c r="C852" s="37" t="s">
        <v>1324</v>
      </c>
      <c r="D852" s="38">
        <v>2016</v>
      </c>
      <c r="E852" s="39">
        <v>235.24199999999999</v>
      </c>
      <c r="F852" s="39">
        <v>235.24199999999999</v>
      </c>
      <c r="G852" s="39">
        <v>235.24199999999999</v>
      </c>
      <c r="H852" s="39">
        <v>234.61799999999999</v>
      </c>
      <c r="I852" s="39">
        <v>234.61799999999999</v>
      </c>
      <c r="J852" s="39">
        <v>0</v>
      </c>
      <c r="K852" s="41" t="s">
        <v>306</v>
      </c>
      <c r="L852" s="73" t="s">
        <v>1325</v>
      </c>
      <c r="M852" s="81" t="s">
        <v>1326</v>
      </c>
    </row>
    <row r="853" spans="1:13" ht="72" x14ac:dyDescent="0.25">
      <c r="A853" s="1">
        <v>25</v>
      </c>
      <c r="B853" s="36">
        <f t="shared" si="74"/>
        <v>9</v>
      </c>
      <c r="C853" s="37" t="s">
        <v>1327</v>
      </c>
      <c r="D853" s="38">
        <v>2016</v>
      </c>
      <c r="E853" s="39">
        <v>913.95500000000004</v>
      </c>
      <c r="F853" s="39">
        <v>913.95500000000004</v>
      </c>
      <c r="G853" s="39">
        <v>913.95500000000004</v>
      </c>
      <c r="H853" s="39">
        <v>912.20100000000002</v>
      </c>
      <c r="I853" s="39">
        <v>912.20100000000002</v>
      </c>
      <c r="J853" s="39">
        <v>0</v>
      </c>
      <c r="K853" s="41" t="s">
        <v>306</v>
      </c>
      <c r="L853" s="73" t="s">
        <v>1325</v>
      </c>
      <c r="M853" s="81" t="s">
        <v>1328</v>
      </c>
    </row>
    <row r="854" spans="1:13" ht="72" x14ac:dyDescent="0.25">
      <c r="A854" s="1">
        <v>25</v>
      </c>
      <c r="B854" s="44">
        <f t="shared" si="74"/>
        <v>10</v>
      </c>
      <c r="C854" s="37" t="s">
        <v>1329</v>
      </c>
      <c r="D854" s="38" t="s">
        <v>330</v>
      </c>
      <c r="E854" s="39">
        <f>3044.995+465.005+360</f>
        <v>3870</v>
      </c>
      <c r="F854" s="39">
        <v>3870</v>
      </c>
      <c r="G854" s="39">
        <f>3044.995+465.005+360</f>
        <v>3870</v>
      </c>
      <c r="H854" s="39">
        <v>3272.6289999999999</v>
      </c>
      <c r="I854" s="39">
        <v>3272.6289999999999</v>
      </c>
      <c r="J854" s="39">
        <v>0</v>
      </c>
      <c r="K854" s="41" t="s">
        <v>1330</v>
      </c>
      <c r="L854" s="42"/>
      <c r="M854" s="43"/>
    </row>
    <row r="855" spans="1:13" ht="126" x14ac:dyDescent="0.25">
      <c r="A855" s="1">
        <v>25</v>
      </c>
      <c r="B855" s="36">
        <f t="shared" si="74"/>
        <v>11</v>
      </c>
      <c r="C855" s="37" t="s">
        <v>1331</v>
      </c>
      <c r="D855" s="38">
        <v>2016</v>
      </c>
      <c r="E855" s="39">
        <v>603.45899999999995</v>
      </c>
      <c r="F855" s="39">
        <v>603.45899999999995</v>
      </c>
      <c r="G855" s="39">
        <v>603.45899999999995</v>
      </c>
      <c r="H855" s="39">
        <v>603.45899999999995</v>
      </c>
      <c r="I855" s="39">
        <v>603.45899999999995</v>
      </c>
      <c r="J855" s="39">
        <v>0</v>
      </c>
      <c r="K855" s="41" t="s">
        <v>38</v>
      </c>
      <c r="L855" s="73" t="s">
        <v>53</v>
      </c>
      <c r="M855" s="81" t="s">
        <v>1332</v>
      </c>
    </row>
    <row r="856" spans="1:13" ht="90" x14ac:dyDescent="0.25">
      <c r="A856" s="1">
        <v>25</v>
      </c>
      <c r="B856" s="36">
        <f t="shared" si="74"/>
        <v>12</v>
      </c>
      <c r="C856" s="37" t="s">
        <v>1333</v>
      </c>
      <c r="D856" s="38">
        <v>2016</v>
      </c>
      <c r="E856" s="39">
        <v>755.36300000000006</v>
      </c>
      <c r="F856" s="39">
        <v>755.36300000000006</v>
      </c>
      <c r="G856" s="39">
        <v>755.36300000000006</v>
      </c>
      <c r="H856" s="39">
        <v>755.36300000000006</v>
      </c>
      <c r="I856" s="39">
        <v>755.36300000000006</v>
      </c>
      <c r="J856" s="39">
        <v>0</v>
      </c>
      <c r="K856" s="41" t="s">
        <v>306</v>
      </c>
      <c r="L856" s="73" t="s">
        <v>296</v>
      </c>
      <c r="M856" s="81" t="s">
        <v>1334</v>
      </c>
    </row>
    <row r="857" spans="1:13" ht="90" x14ac:dyDescent="0.25">
      <c r="A857" s="1">
        <v>25</v>
      </c>
      <c r="B857" s="36">
        <f t="shared" si="74"/>
        <v>13</v>
      </c>
      <c r="C857" s="37" t="s">
        <v>1335</v>
      </c>
      <c r="D857" s="38">
        <v>2016</v>
      </c>
      <c r="E857" s="39">
        <v>456.99299999999999</v>
      </c>
      <c r="F857" s="39">
        <v>456.99299999999999</v>
      </c>
      <c r="G857" s="39">
        <v>456.99299999999999</v>
      </c>
      <c r="H857" s="39">
        <v>456.99299999999999</v>
      </c>
      <c r="I857" s="39">
        <v>456.99299999999999</v>
      </c>
      <c r="J857" s="39">
        <v>0</v>
      </c>
      <c r="K857" s="41" t="s">
        <v>38</v>
      </c>
      <c r="L857" s="73" t="s">
        <v>53</v>
      </c>
      <c r="M857" s="81" t="s">
        <v>1336</v>
      </c>
    </row>
    <row r="858" spans="1:13" ht="90" x14ac:dyDescent="0.25">
      <c r="A858" s="1">
        <v>25</v>
      </c>
      <c r="B858" s="44">
        <f t="shared" si="74"/>
        <v>14</v>
      </c>
      <c r="C858" s="37" t="s">
        <v>1337</v>
      </c>
      <c r="D858" s="38" t="s">
        <v>37</v>
      </c>
      <c r="E858" s="39">
        <f>458.133-31.107</f>
        <v>427.02599999999995</v>
      </c>
      <c r="F858" s="39">
        <v>427.02599999999995</v>
      </c>
      <c r="G858" s="39">
        <f>458.133-31.107</f>
        <v>427.02599999999995</v>
      </c>
      <c r="H858" s="39">
        <v>427.02499999999998</v>
      </c>
      <c r="I858" s="39">
        <v>427.02499999999998</v>
      </c>
      <c r="J858" s="39">
        <v>0</v>
      </c>
      <c r="K858" s="41" t="s">
        <v>306</v>
      </c>
      <c r="L858" s="73" t="s">
        <v>296</v>
      </c>
      <c r="M858" s="81" t="s">
        <v>1338</v>
      </c>
    </row>
    <row r="859" spans="1:13" ht="72" x14ac:dyDescent="0.25">
      <c r="A859" s="1">
        <v>25</v>
      </c>
      <c r="B859" s="44">
        <f t="shared" si="74"/>
        <v>15</v>
      </c>
      <c r="C859" s="37" t="s">
        <v>1339</v>
      </c>
      <c r="D859" s="38" t="s">
        <v>49</v>
      </c>
      <c r="E859" s="39">
        <f>437.148-73.432</f>
        <v>363.71600000000001</v>
      </c>
      <c r="F859" s="39">
        <v>363.71600000000001</v>
      </c>
      <c r="G859" s="39">
        <f>437.148-73.432</f>
        <v>363.71600000000001</v>
      </c>
      <c r="H859" s="39">
        <v>363.71600000000001</v>
      </c>
      <c r="I859" s="39">
        <v>363.71600000000001</v>
      </c>
      <c r="J859" s="39">
        <v>0</v>
      </c>
      <c r="K859" s="41" t="s">
        <v>38</v>
      </c>
      <c r="L859" s="73" t="s">
        <v>53</v>
      </c>
      <c r="M859" s="81" t="s">
        <v>1340</v>
      </c>
    </row>
    <row r="860" spans="1:13" ht="72" x14ac:dyDescent="0.25">
      <c r="A860" s="1">
        <v>25</v>
      </c>
      <c r="B860" s="44">
        <f t="shared" si="74"/>
        <v>16</v>
      </c>
      <c r="C860" s="37" t="s">
        <v>1341</v>
      </c>
      <c r="D860" s="38" t="s">
        <v>37</v>
      </c>
      <c r="E860" s="39">
        <f>1269.739-74.723</f>
        <v>1195.0160000000001</v>
      </c>
      <c r="F860" s="39">
        <v>1195.0160000000001</v>
      </c>
      <c r="G860" s="39">
        <f>1269.739-74.723</f>
        <v>1195.0160000000001</v>
      </c>
      <c r="H860" s="39">
        <v>1190.806</v>
      </c>
      <c r="I860" s="39">
        <v>1190.806</v>
      </c>
      <c r="J860" s="39">
        <v>0</v>
      </c>
      <c r="K860" s="41" t="s">
        <v>38</v>
      </c>
      <c r="L860" s="73" t="s">
        <v>198</v>
      </c>
      <c r="M860" s="81"/>
    </row>
    <row r="861" spans="1:13" ht="54" x14ac:dyDescent="0.25">
      <c r="A861" s="1">
        <v>25</v>
      </c>
      <c r="B861" s="44">
        <f t="shared" si="74"/>
        <v>17</v>
      </c>
      <c r="C861" s="37" t="s">
        <v>1342</v>
      </c>
      <c r="D861" s="38" t="s">
        <v>37</v>
      </c>
      <c r="E861" s="39">
        <f>199.472-20.867</f>
        <v>178.60500000000002</v>
      </c>
      <c r="F861" s="39">
        <v>178.60500000000002</v>
      </c>
      <c r="G861" s="39">
        <f>199.472-20.867</f>
        <v>178.60500000000002</v>
      </c>
      <c r="H861" s="39">
        <v>178.60400000000001</v>
      </c>
      <c r="I861" s="39">
        <v>178.60400000000001</v>
      </c>
      <c r="J861" s="39">
        <v>0</v>
      </c>
      <c r="K861" s="41" t="s">
        <v>38</v>
      </c>
      <c r="L861" s="73" t="s">
        <v>955</v>
      </c>
      <c r="M861" s="81"/>
    </row>
    <row r="862" spans="1:13" ht="90" x14ac:dyDescent="0.25">
      <c r="A862" s="1">
        <v>25</v>
      </c>
      <c r="B862" s="44">
        <f t="shared" si="74"/>
        <v>18</v>
      </c>
      <c r="C862" s="37" t="s">
        <v>1343</v>
      </c>
      <c r="D862" s="38" t="s">
        <v>37</v>
      </c>
      <c r="E862" s="39">
        <f>649.287-53.359</f>
        <v>595.928</v>
      </c>
      <c r="F862" s="39">
        <v>595.928</v>
      </c>
      <c r="G862" s="39">
        <f>649.287-53.359</f>
        <v>595.928</v>
      </c>
      <c r="H862" s="39">
        <v>595.20100000000002</v>
      </c>
      <c r="I862" s="39">
        <v>595.20100000000002</v>
      </c>
      <c r="J862" s="39">
        <v>0</v>
      </c>
      <c r="K862" s="41" t="s">
        <v>38</v>
      </c>
      <c r="L862" s="73" t="s">
        <v>184</v>
      </c>
      <c r="M862" s="81"/>
    </row>
    <row r="863" spans="1:13" ht="72" x14ac:dyDescent="0.25">
      <c r="A863" s="1">
        <v>25</v>
      </c>
      <c r="B863" s="44">
        <f t="shared" si="74"/>
        <v>19</v>
      </c>
      <c r="C863" s="37" t="s">
        <v>1344</v>
      </c>
      <c r="D863" s="38" t="s">
        <v>37</v>
      </c>
      <c r="E863" s="39">
        <f>581.467-25.929</f>
        <v>555.53800000000001</v>
      </c>
      <c r="F863" s="39">
        <v>555.53800000000001</v>
      </c>
      <c r="G863" s="39">
        <f>581.467-25.929</f>
        <v>555.53800000000001</v>
      </c>
      <c r="H863" s="39">
        <v>555.53800000000001</v>
      </c>
      <c r="I863" s="39">
        <v>555.53800000000001</v>
      </c>
      <c r="J863" s="39">
        <v>0</v>
      </c>
      <c r="K863" s="41" t="s">
        <v>38</v>
      </c>
      <c r="L863" s="73" t="s">
        <v>184</v>
      </c>
      <c r="M863" s="81"/>
    </row>
    <row r="864" spans="1:13" ht="90" x14ac:dyDescent="0.25">
      <c r="A864" s="1">
        <v>25</v>
      </c>
      <c r="B864" s="36">
        <f t="shared" si="74"/>
        <v>20</v>
      </c>
      <c r="C864" s="37" t="s">
        <v>1345</v>
      </c>
      <c r="D864" s="38" t="s">
        <v>37</v>
      </c>
      <c r="E864" s="39">
        <v>873.80799999999999</v>
      </c>
      <c r="F864" s="39">
        <v>873.80799999999999</v>
      </c>
      <c r="G864" s="39">
        <v>873.80799999999999</v>
      </c>
      <c r="H864" s="39">
        <v>872.69200000000001</v>
      </c>
      <c r="I864" s="39">
        <v>872.69200000000001</v>
      </c>
      <c r="J864" s="39">
        <v>0</v>
      </c>
      <c r="K864" s="41" t="s">
        <v>38</v>
      </c>
      <c r="L864" s="73" t="s">
        <v>53</v>
      </c>
      <c r="M864" s="81" t="s">
        <v>1346</v>
      </c>
    </row>
    <row r="865" spans="1:13" ht="72" x14ac:dyDescent="0.25">
      <c r="A865" s="1">
        <v>25</v>
      </c>
      <c r="B865" s="44">
        <f t="shared" si="74"/>
        <v>21</v>
      </c>
      <c r="C865" s="37" t="s">
        <v>1347</v>
      </c>
      <c r="D865" s="38" t="s">
        <v>37</v>
      </c>
      <c r="E865" s="39">
        <f>535.606-16.801</f>
        <v>518.80499999999995</v>
      </c>
      <c r="F865" s="39">
        <v>518.80499999999995</v>
      </c>
      <c r="G865" s="39">
        <f>535.606-16.801</f>
        <v>518.80499999999995</v>
      </c>
      <c r="H865" s="39">
        <v>518.80499999999995</v>
      </c>
      <c r="I865" s="39">
        <v>518.80499999999995</v>
      </c>
      <c r="J865" s="39">
        <v>0</v>
      </c>
      <c r="K865" s="41" t="s">
        <v>38</v>
      </c>
      <c r="L865" s="73" t="s">
        <v>198</v>
      </c>
      <c r="M865" s="81"/>
    </row>
    <row r="866" spans="1:13" ht="72" x14ac:dyDescent="0.25">
      <c r="A866" s="1">
        <v>25</v>
      </c>
      <c r="B866" s="36">
        <f t="shared" si="74"/>
        <v>22</v>
      </c>
      <c r="C866" s="37" t="s">
        <v>1348</v>
      </c>
      <c r="D866" s="38" t="s">
        <v>37</v>
      </c>
      <c r="E866" s="39">
        <v>711.721</v>
      </c>
      <c r="F866" s="39">
        <v>711.721</v>
      </c>
      <c r="G866" s="39">
        <v>711.721</v>
      </c>
      <c r="H866" s="39">
        <v>708.63199999999995</v>
      </c>
      <c r="I866" s="39">
        <v>708.63199999999995</v>
      </c>
      <c r="J866" s="39">
        <v>0</v>
      </c>
      <c r="K866" s="41" t="s">
        <v>38</v>
      </c>
      <c r="L866" s="73" t="s">
        <v>53</v>
      </c>
      <c r="M866" s="81" t="s">
        <v>1349</v>
      </c>
    </row>
    <row r="867" spans="1:13" ht="54" x14ac:dyDescent="0.25">
      <c r="A867" s="1">
        <v>25</v>
      </c>
      <c r="B867" s="44">
        <f t="shared" si="74"/>
        <v>23</v>
      </c>
      <c r="C867" s="37" t="s">
        <v>1350</v>
      </c>
      <c r="D867" s="38" t="s">
        <v>37</v>
      </c>
      <c r="E867" s="39">
        <f>468.119-23.569</f>
        <v>444.55</v>
      </c>
      <c r="F867" s="39">
        <v>444.55</v>
      </c>
      <c r="G867" s="39">
        <f>468.119-23.569</f>
        <v>444.55</v>
      </c>
      <c r="H867" s="39">
        <v>444.55</v>
      </c>
      <c r="I867" s="39">
        <v>444.55</v>
      </c>
      <c r="J867" s="39">
        <v>0</v>
      </c>
      <c r="K867" s="41" t="s">
        <v>38</v>
      </c>
      <c r="L867" s="73" t="s">
        <v>955</v>
      </c>
      <c r="M867" s="81"/>
    </row>
    <row r="868" spans="1:13" ht="108" x14ac:dyDescent="0.25">
      <c r="A868" s="1">
        <v>25</v>
      </c>
      <c r="B868" s="44">
        <f t="shared" si="74"/>
        <v>24</v>
      </c>
      <c r="C868" s="37" t="s">
        <v>1351</v>
      </c>
      <c r="D868" s="38" t="s">
        <v>37</v>
      </c>
      <c r="E868" s="39">
        <f>900+296.803</f>
        <v>1196.8029999999999</v>
      </c>
      <c r="F868" s="39">
        <v>1196.8029999999999</v>
      </c>
      <c r="G868" s="39">
        <f>900+296.803</f>
        <v>1196.8029999999999</v>
      </c>
      <c r="H868" s="39">
        <v>1189.367</v>
      </c>
      <c r="I868" s="39">
        <v>1189.367</v>
      </c>
      <c r="J868" s="39">
        <v>0</v>
      </c>
      <c r="K868" s="41" t="s">
        <v>38</v>
      </c>
      <c r="L868" s="73" t="s">
        <v>1352</v>
      </c>
      <c r="M868" s="81"/>
    </row>
    <row r="869" spans="1:13" ht="54" x14ac:dyDescent="0.25">
      <c r="A869" s="1">
        <v>25</v>
      </c>
      <c r="B869" s="44">
        <f t="shared" si="74"/>
        <v>25</v>
      </c>
      <c r="C869" s="37" t="s">
        <v>1353</v>
      </c>
      <c r="D869" s="38" t="s">
        <v>37</v>
      </c>
      <c r="E869" s="39">
        <f>879.067-68.465</f>
        <v>810.60199999999998</v>
      </c>
      <c r="F869" s="39">
        <v>810.60199999999998</v>
      </c>
      <c r="G869" s="39">
        <f>879.067-68.465</f>
        <v>810.60199999999998</v>
      </c>
      <c r="H869" s="39">
        <v>810.46600000000001</v>
      </c>
      <c r="I869" s="39">
        <v>810.46600000000001</v>
      </c>
      <c r="J869" s="39">
        <v>0</v>
      </c>
      <c r="K869" s="41" t="s">
        <v>38</v>
      </c>
      <c r="L869" s="73" t="s">
        <v>518</v>
      </c>
      <c r="M869" s="81"/>
    </row>
    <row r="870" spans="1:13" ht="90" x14ac:dyDescent="0.25">
      <c r="A870" s="1">
        <v>25</v>
      </c>
      <c r="B870" s="36">
        <f t="shared" si="74"/>
        <v>26</v>
      </c>
      <c r="C870" s="37" t="s">
        <v>1354</v>
      </c>
      <c r="D870" s="38">
        <v>2016</v>
      </c>
      <c r="E870" s="39">
        <v>387.17599999999999</v>
      </c>
      <c r="F870" s="39">
        <v>387.17599999999999</v>
      </c>
      <c r="G870" s="39">
        <v>387.17599999999999</v>
      </c>
      <c r="H870" s="39">
        <v>373.67599999999999</v>
      </c>
      <c r="I870" s="39">
        <v>373.67599999999999</v>
      </c>
      <c r="J870" s="39">
        <v>0</v>
      </c>
      <c r="K870" s="41" t="s">
        <v>38</v>
      </c>
      <c r="L870" s="73" t="s">
        <v>53</v>
      </c>
      <c r="M870" s="81" t="s">
        <v>1355</v>
      </c>
    </row>
    <row r="871" spans="1:13" ht="72" x14ac:dyDescent="0.25">
      <c r="A871" s="1">
        <v>25</v>
      </c>
      <c r="B871" s="36">
        <f t="shared" si="74"/>
        <v>27</v>
      </c>
      <c r="C871" s="37" t="s">
        <v>1356</v>
      </c>
      <c r="D871" s="38">
        <v>2016</v>
      </c>
      <c r="E871" s="39">
        <v>529.49900000000002</v>
      </c>
      <c r="F871" s="39">
        <v>529.49900000000002</v>
      </c>
      <c r="G871" s="39">
        <v>529.49900000000002</v>
      </c>
      <c r="H871" s="39">
        <v>529.49900000000002</v>
      </c>
      <c r="I871" s="39">
        <v>529.49900000000002</v>
      </c>
      <c r="J871" s="39">
        <v>0</v>
      </c>
      <c r="K871" s="41" t="s">
        <v>306</v>
      </c>
      <c r="L871" s="73" t="s">
        <v>296</v>
      </c>
      <c r="M871" s="81" t="s">
        <v>1357</v>
      </c>
    </row>
    <row r="872" spans="1:13" ht="90" x14ac:dyDescent="0.25">
      <c r="A872" s="1">
        <v>25</v>
      </c>
      <c r="B872" s="36">
        <f t="shared" si="74"/>
        <v>28</v>
      </c>
      <c r="C872" s="37" t="s">
        <v>1358</v>
      </c>
      <c r="D872" s="38">
        <v>2016</v>
      </c>
      <c r="E872" s="39">
        <v>1348.777</v>
      </c>
      <c r="F872" s="39">
        <v>1348.777</v>
      </c>
      <c r="G872" s="39">
        <v>1348.777</v>
      </c>
      <c r="H872" s="39">
        <v>1348.777</v>
      </c>
      <c r="I872" s="39">
        <v>1348.777</v>
      </c>
      <c r="J872" s="39">
        <v>0</v>
      </c>
      <c r="K872" s="41" t="s">
        <v>38</v>
      </c>
      <c r="L872" s="73" t="s">
        <v>53</v>
      </c>
      <c r="M872" s="81" t="s">
        <v>1359</v>
      </c>
    </row>
    <row r="873" spans="1:13" ht="54" x14ac:dyDescent="0.25">
      <c r="A873" s="1">
        <v>25</v>
      </c>
      <c r="B873" s="36">
        <f t="shared" si="74"/>
        <v>29</v>
      </c>
      <c r="C873" s="37" t="s">
        <v>1360</v>
      </c>
      <c r="D873" s="38">
        <v>2016</v>
      </c>
      <c r="E873" s="39">
        <v>221</v>
      </c>
      <c r="F873" s="39">
        <v>221</v>
      </c>
      <c r="G873" s="39">
        <v>221</v>
      </c>
      <c r="H873" s="39">
        <v>221</v>
      </c>
      <c r="I873" s="39">
        <v>221</v>
      </c>
      <c r="J873" s="39">
        <v>0</v>
      </c>
      <c r="K873" s="41" t="s">
        <v>38</v>
      </c>
      <c r="L873" s="73" t="s">
        <v>53</v>
      </c>
      <c r="M873" s="81" t="s">
        <v>1361</v>
      </c>
    </row>
    <row r="874" spans="1:13" ht="72" x14ac:dyDescent="0.25">
      <c r="A874" s="1">
        <v>25</v>
      </c>
      <c r="B874" s="36">
        <f t="shared" si="74"/>
        <v>30</v>
      </c>
      <c r="C874" s="37" t="s">
        <v>1362</v>
      </c>
      <c r="D874" s="38">
        <v>2016</v>
      </c>
      <c r="E874" s="39">
        <v>647.33900000000006</v>
      </c>
      <c r="F874" s="39">
        <v>647.33900000000006</v>
      </c>
      <c r="G874" s="39">
        <v>647.33900000000006</v>
      </c>
      <c r="H874" s="39">
        <v>647.33900000000006</v>
      </c>
      <c r="I874" s="39">
        <v>647.33900000000006</v>
      </c>
      <c r="J874" s="39">
        <v>0</v>
      </c>
      <c r="K874" s="41" t="s">
        <v>38</v>
      </c>
      <c r="L874" s="73" t="s">
        <v>53</v>
      </c>
      <c r="M874" s="81" t="s">
        <v>1363</v>
      </c>
    </row>
    <row r="875" spans="1:13" ht="72" x14ac:dyDescent="0.25">
      <c r="A875" s="1">
        <v>25</v>
      </c>
      <c r="B875" s="44">
        <f t="shared" si="74"/>
        <v>31</v>
      </c>
      <c r="C875" s="37" t="s">
        <v>1364</v>
      </c>
      <c r="D875" s="38" t="s">
        <v>37</v>
      </c>
      <c r="E875" s="39">
        <f>2868.041-947.3</f>
        <v>1920.7410000000002</v>
      </c>
      <c r="F875" s="39">
        <v>1920.7410000000002</v>
      </c>
      <c r="G875" s="39">
        <f>2868.041-947.3</f>
        <v>1920.7410000000002</v>
      </c>
      <c r="H875" s="39">
        <v>1730.49</v>
      </c>
      <c r="I875" s="39">
        <v>1730.49</v>
      </c>
      <c r="J875" s="39">
        <v>0</v>
      </c>
      <c r="K875" s="41" t="s">
        <v>38</v>
      </c>
      <c r="L875" s="73" t="s">
        <v>518</v>
      </c>
      <c r="M875" s="81"/>
    </row>
    <row r="876" spans="1:13" ht="114" x14ac:dyDescent="0.25">
      <c r="A876" s="1">
        <v>25</v>
      </c>
      <c r="B876" s="44">
        <f t="shared" si="74"/>
        <v>32</v>
      </c>
      <c r="C876" s="37" t="s">
        <v>1365</v>
      </c>
      <c r="D876" s="38" t="s">
        <v>37</v>
      </c>
      <c r="E876" s="39">
        <f>526.527+102.6</f>
        <v>629.12700000000007</v>
      </c>
      <c r="F876" s="39">
        <v>629.12700000000007</v>
      </c>
      <c r="G876" s="39">
        <f>526.527+102.6</f>
        <v>629.12700000000007</v>
      </c>
      <c r="H876" s="39">
        <v>600.89499999999998</v>
      </c>
      <c r="I876" s="39">
        <v>600.89499999999998</v>
      </c>
      <c r="J876" s="39">
        <v>0</v>
      </c>
      <c r="K876" s="41" t="s">
        <v>38</v>
      </c>
      <c r="L876" s="94" t="s">
        <v>1366</v>
      </c>
      <c r="M876" s="81"/>
    </row>
    <row r="877" spans="1:13" ht="126" x14ac:dyDescent="0.25">
      <c r="A877" s="1">
        <v>25</v>
      </c>
      <c r="B877" s="44">
        <f t="shared" si="74"/>
        <v>33</v>
      </c>
      <c r="C877" s="37" t="s">
        <v>1367</v>
      </c>
      <c r="D877" s="38" t="s">
        <v>33</v>
      </c>
      <c r="E877" s="39">
        <f>580.801+536.586</f>
        <v>1117.3870000000002</v>
      </c>
      <c r="F877" s="39">
        <v>1117.3870000000002</v>
      </c>
      <c r="G877" s="39">
        <f>580.801+536.586</f>
        <v>1117.3870000000002</v>
      </c>
      <c r="H877" s="39">
        <v>913.11400000000003</v>
      </c>
      <c r="I877" s="39">
        <v>913.11400000000003</v>
      </c>
      <c r="J877" s="39">
        <v>0</v>
      </c>
      <c r="K877" s="41" t="s">
        <v>115</v>
      </c>
      <c r="L877" s="42"/>
      <c r="M877" s="43"/>
    </row>
    <row r="878" spans="1:13" ht="90" x14ac:dyDescent="0.25">
      <c r="A878" s="1">
        <v>25</v>
      </c>
      <c r="B878" s="44">
        <f t="shared" si="74"/>
        <v>34</v>
      </c>
      <c r="C878" s="37" t="s">
        <v>1368</v>
      </c>
      <c r="D878" s="38">
        <v>2016</v>
      </c>
      <c r="E878" s="39">
        <f>1306.214-76.255</f>
        <v>1229.9589999999998</v>
      </c>
      <c r="F878" s="39">
        <v>1229.9589999999998</v>
      </c>
      <c r="G878" s="39">
        <f>1306.214-76.255</f>
        <v>1229.9589999999998</v>
      </c>
      <c r="H878" s="39">
        <v>1223.982</v>
      </c>
      <c r="I878" s="39">
        <v>1223.982</v>
      </c>
      <c r="J878" s="39">
        <v>0</v>
      </c>
      <c r="K878" s="41" t="s">
        <v>38</v>
      </c>
      <c r="L878" s="73" t="s">
        <v>1369</v>
      </c>
      <c r="M878" s="81"/>
    </row>
    <row r="879" spans="1:13" ht="72" x14ac:dyDescent="0.25">
      <c r="A879" s="1">
        <v>25</v>
      </c>
      <c r="B879" s="44">
        <f t="shared" si="74"/>
        <v>35</v>
      </c>
      <c r="C879" s="37" t="s">
        <v>1370</v>
      </c>
      <c r="D879" s="38">
        <v>2016</v>
      </c>
      <c r="E879" s="39">
        <f>1275.426-19.7</f>
        <v>1255.7259999999999</v>
      </c>
      <c r="F879" s="39">
        <v>1255.7259999999999</v>
      </c>
      <c r="G879" s="39">
        <f>1275.426-19.7</f>
        <v>1255.7259999999999</v>
      </c>
      <c r="H879" s="39">
        <v>1253.1410000000001</v>
      </c>
      <c r="I879" s="39">
        <v>1253.1410000000001</v>
      </c>
      <c r="J879" s="39">
        <v>0</v>
      </c>
      <c r="K879" s="41" t="s">
        <v>38</v>
      </c>
      <c r="L879" s="73" t="s">
        <v>1371</v>
      </c>
      <c r="M879" s="81"/>
    </row>
    <row r="880" spans="1:13" ht="72" x14ac:dyDescent="0.25">
      <c r="A880" s="1">
        <v>25</v>
      </c>
      <c r="B880" s="44">
        <f t="shared" si="74"/>
        <v>36</v>
      </c>
      <c r="C880" s="37" t="s">
        <v>1372</v>
      </c>
      <c r="D880" s="38" t="s">
        <v>33</v>
      </c>
      <c r="E880" s="39">
        <f>917.325+387.675</f>
        <v>1305</v>
      </c>
      <c r="F880" s="39">
        <v>1305</v>
      </c>
      <c r="G880" s="39">
        <f>917.325+387.675</f>
        <v>1305</v>
      </c>
      <c r="H880" s="39">
        <v>1305</v>
      </c>
      <c r="I880" s="39">
        <v>1305</v>
      </c>
      <c r="J880" s="39">
        <v>0</v>
      </c>
      <c r="K880" s="41" t="s">
        <v>115</v>
      </c>
      <c r="L880" s="42"/>
      <c r="M880" s="43"/>
    </row>
    <row r="881" spans="1:13" ht="54" x14ac:dyDescent="0.25">
      <c r="A881" s="1">
        <v>25</v>
      </c>
      <c r="B881" s="44">
        <f t="shared" si="74"/>
        <v>37</v>
      </c>
      <c r="C881" s="37" t="s">
        <v>1373</v>
      </c>
      <c r="D881" s="38" t="s">
        <v>33</v>
      </c>
      <c r="E881" s="39">
        <f>1820.634-118.81</f>
        <v>1701.8240000000001</v>
      </c>
      <c r="F881" s="39">
        <v>1701.8240000000001</v>
      </c>
      <c r="G881" s="39">
        <f>1820.634-118.81</f>
        <v>1701.8240000000001</v>
      </c>
      <c r="H881" s="39">
        <v>1228.1880000000001</v>
      </c>
      <c r="I881" s="39">
        <v>1228.1880000000001</v>
      </c>
      <c r="J881" s="39">
        <v>0</v>
      </c>
      <c r="K881" s="41" t="s">
        <v>115</v>
      </c>
      <c r="L881" s="42"/>
      <c r="M881" s="43"/>
    </row>
    <row r="882" spans="1:13" ht="72" x14ac:dyDescent="0.25">
      <c r="A882" s="1">
        <v>25</v>
      </c>
      <c r="B882" s="44">
        <f t="shared" si="74"/>
        <v>38</v>
      </c>
      <c r="C882" s="37" t="s">
        <v>1374</v>
      </c>
      <c r="D882" s="38">
        <v>2016</v>
      </c>
      <c r="E882" s="39">
        <f>679.763-21.44</f>
        <v>658.32299999999998</v>
      </c>
      <c r="F882" s="39">
        <v>658.32299999999998</v>
      </c>
      <c r="G882" s="39">
        <f>679.763-21.44</f>
        <v>658.32299999999998</v>
      </c>
      <c r="H882" s="39">
        <v>658.32299999999998</v>
      </c>
      <c r="I882" s="39">
        <v>658.32299999999998</v>
      </c>
      <c r="J882" s="39">
        <v>0</v>
      </c>
      <c r="K882" s="41" t="s">
        <v>38</v>
      </c>
      <c r="L882" s="73" t="s">
        <v>53</v>
      </c>
      <c r="M882" s="81" t="s">
        <v>1375</v>
      </c>
    </row>
    <row r="883" spans="1:13" ht="90" x14ac:dyDescent="0.25">
      <c r="A883" s="1">
        <v>25</v>
      </c>
      <c r="B883" s="36">
        <f t="shared" si="74"/>
        <v>39</v>
      </c>
      <c r="C883" s="37" t="s">
        <v>1376</v>
      </c>
      <c r="D883" s="38">
        <v>2016</v>
      </c>
      <c r="E883" s="39">
        <v>898.39599999999996</v>
      </c>
      <c r="F883" s="39">
        <v>898.39599999999996</v>
      </c>
      <c r="G883" s="39">
        <v>898.39599999999996</v>
      </c>
      <c r="H883" s="39">
        <v>870.08799999999997</v>
      </c>
      <c r="I883" s="39">
        <v>870.08799999999997</v>
      </c>
      <c r="J883" s="39">
        <v>0</v>
      </c>
      <c r="K883" s="41" t="s">
        <v>38</v>
      </c>
      <c r="L883" s="73" t="s">
        <v>53</v>
      </c>
      <c r="M883" s="81" t="s">
        <v>1377</v>
      </c>
    </row>
    <row r="884" spans="1:13" ht="90" x14ac:dyDescent="0.25">
      <c r="A884" s="1">
        <v>25</v>
      </c>
      <c r="B884" s="36">
        <f t="shared" si="74"/>
        <v>40</v>
      </c>
      <c r="C884" s="37" t="s">
        <v>1378</v>
      </c>
      <c r="D884" s="38">
        <v>2016</v>
      </c>
      <c r="E884" s="39">
        <v>383.77499999999998</v>
      </c>
      <c r="F884" s="39">
        <v>383.77499999999998</v>
      </c>
      <c r="G884" s="39">
        <v>383.77499999999998</v>
      </c>
      <c r="H884" s="39">
        <v>276.87200000000001</v>
      </c>
      <c r="I884" s="39">
        <v>276.87200000000001</v>
      </c>
      <c r="J884" s="39">
        <v>0</v>
      </c>
      <c r="K884" s="41" t="s">
        <v>115</v>
      </c>
      <c r="L884" s="42"/>
      <c r="M884" s="43"/>
    </row>
    <row r="885" spans="1:13" ht="72" x14ac:dyDescent="0.25">
      <c r="A885" s="1">
        <v>25</v>
      </c>
      <c r="B885" s="44">
        <f t="shared" si="74"/>
        <v>41</v>
      </c>
      <c r="C885" s="37" t="s">
        <v>1379</v>
      </c>
      <c r="D885" s="38" t="s">
        <v>35</v>
      </c>
      <c r="E885" s="39">
        <f>1338.479+450</f>
        <v>1788.479</v>
      </c>
      <c r="F885" s="39">
        <v>1788.479</v>
      </c>
      <c r="G885" s="39">
        <f>1338.479+450</f>
        <v>1788.479</v>
      </c>
      <c r="H885" s="39">
        <v>1788.479</v>
      </c>
      <c r="I885" s="39">
        <v>1788.479</v>
      </c>
      <c r="J885" s="39">
        <v>0</v>
      </c>
      <c r="K885" s="41" t="s">
        <v>115</v>
      </c>
      <c r="L885" s="42"/>
      <c r="M885" s="43"/>
    </row>
    <row r="886" spans="1:13" ht="108" x14ac:dyDescent="0.25">
      <c r="A886" s="1">
        <v>25</v>
      </c>
      <c r="B886" s="36">
        <f t="shared" si="74"/>
        <v>42</v>
      </c>
      <c r="C886" s="37" t="s">
        <v>1380</v>
      </c>
      <c r="D886" s="38" t="s">
        <v>41</v>
      </c>
      <c r="E886" s="39">
        <v>1436.94</v>
      </c>
      <c r="F886" s="39">
        <v>1436.94</v>
      </c>
      <c r="G886" s="39">
        <v>1436.94</v>
      </c>
      <c r="H886" s="39">
        <v>1436.8610000000001</v>
      </c>
      <c r="I886" s="39">
        <v>1436.8610000000001</v>
      </c>
      <c r="J886" s="39">
        <v>0</v>
      </c>
      <c r="K886" s="41" t="s">
        <v>115</v>
      </c>
      <c r="L886" s="42"/>
      <c r="M886" s="43"/>
    </row>
    <row r="887" spans="1:13" ht="72" x14ac:dyDescent="0.25">
      <c r="A887" s="1">
        <v>25</v>
      </c>
      <c r="B887" s="44">
        <f t="shared" si="74"/>
        <v>43</v>
      </c>
      <c r="C887" s="37" t="s">
        <v>1381</v>
      </c>
      <c r="D887" s="38" t="s">
        <v>33</v>
      </c>
      <c r="E887" s="39">
        <f>1000+146.7</f>
        <v>1146.7</v>
      </c>
      <c r="F887" s="39">
        <v>1146.7</v>
      </c>
      <c r="G887" s="39">
        <f>1000+146.7</f>
        <v>1146.7</v>
      </c>
      <c r="H887" s="39">
        <v>1142.354</v>
      </c>
      <c r="I887" s="39">
        <v>1142.354</v>
      </c>
      <c r="J887" s="39">
        <v>0</v>
      </c>
      <c r="K887" s="41" t="s">
        <v>115</v>
      </c>
      <c r="L887" s="42"/>
      <c r="M887" s="43"/>
    </row>
    <row r="888" spans="1:13" ht="54" x14ac:dyDescent="0.25">
      <c r="A888" s="1">
        <v>25</v>
      </c>
      <c r="B888" s="36">
        <f t="shared" si="74"/>
        <v>44</v>
      </c>
      <c r="C888" s="37" t="s">
        <v>1382</v>
      </c>
      <c r="D888" s="38" t="s">
        <v>37</v>
      </c>
      <c r="E888" s="39">
        <v>941.76</v>
      </c>
      <c r="F888" s="39">
        <v>941.76</v>
      </c>
      <c r="G888" s="39">
        <v>941.76</v>
      </c>
      <c r="H888" s="39">
        <v>941.76</v>
      </c>
      <c r="I888" s="39">
        <v>941.76</v>
      </c>
      <c r="J888" s="39">
        <v>0</v>
      </c>
      <c r="K888" s="41" t="s">
        <v>38</v>
      </c>
      <c r="L888" s="73" t="s">
        <v>53</v>
      </c>
      <c r="M888" s="81" t="s">
        <v>1383</v>
      </c>
    </row>
    <row r="889" spans="1:13" ht="72" x14ac:dyDescent="0.25">
      <c r="A889" s="1">
        <v>25</v>
      </c>
      <c r="B889" s="44">
        <f t="shared" si="74"/>
        <v>45</v>
      </c>
      <c r="C889" s="37" t="s">
        <v>1384</v>
      </c>
      <c r="D889" s="38" t="s">
        <v>37</v>
      </c>
      <c r="E889" s="39">
        <f>219.672-5.48</f>
        <v>214.19200000000001</v>
      </c>
      <c r="F889" s="39">
        <v>214.19200000000001</v>
      </c>
      <c r="G889" s="39">
        <f>219.672-5.48</f>
        <v>214.19200000000001</v>
      </c>
      <c r="H889" s="39">
        <v>214.19200000000001</v>
      </c>
      <c r="I889" s="39">
        <v>214.19200000000001</v>
      </c>
      <c r="J889" s="39">
        <v>0</v>
      </c>
      <c r="K889" s="41" t="s">
        <v>38</v>
      </c>
      <c r="L889" s="73" t="s">
        <v>1385</v>
      </c>
      <c r="M889" s="81"/>
    </row>
    <row r="890" spans="1:13" ht="72" x14ac:dyDescent="0.25">
      <c r="A890" s="1">
        <v>25</v>
      </c>
      <c r="B890" s="44">
        <f t="shared" si="74"/>
        <v>46</v>
      </c>
      <c r="C890" s="37" t="s">
        <v>1386</v>
      </c>
      <c r="D890" s="38" t="s">
        <v>37</v>
      </c>
      <c r="E890" s="39">
        <f>1052.863-7.498</f>
        <v>1045.365</v>
      </c>
      <c r="F890" s="39">
        <v>1045.365</v>
      </c>
      <c r="G890" s="39">
        <f>1052.863-7.498</f>
        <v>1045.365</v>
      </c>
      <c r="H890" s="39">
        <v>1015.915</v>
      </c>
      <c r="I890" s="39">
        <v>1015.915</v>
      </c>
      <c r="J890" s="39">
        <v>0</v>
      </c>
      <c r="K890" s="41" t="s">
        <v>38</v>
      </c>
      <c r="L890" s="73" t="s">
        <v>184</v>
      </c>
      <c r="M890" s="81"/>
    </row>
    <row r="891" spans="1:13" ht="54" x14ac:dyDescent="0.25">
      <c r="A891" s="1">
        <v>25</v>
      </c>
      <c r="B891" s="44">
        <f t="shared" si="74"/>
        <v>47</v>
      </c>
      <c r="C891" s="37" t="s">
        <v>1387</v>
      </c>
      <c r="D891" s="38" t="s">
        <v>37</v>
      </c>
      <c r="E891" s="39">
        <f>385.352-26.871</f>
        <v>358.48099999999999</v>
      </c>
      <c r="F891" s="39">
        <v>358.48099999999999</v>
      </c>
      <c r="G891" s="39">
        <f>385.352-26.871</f>
        <v>358.48099999999999</v>
      </c>
      <c r="H891" s="39">
        <v>358.48099999999999</v>
      </c>
      <c r="I891" s="39">
        <v>358.48099999999999</v>
      </c>
      <c r="J891" s="39">
        <v>0</v>
      </c>
      <c r="K891" s="41" t="s">
        <v>38</v>
      </c>
      <c r="L891" s="73" t="s">
        <v>198</v>
      </c>
      <c r="M891" s="81"/>
    </row>
    <row r="892" spans="1:13" ht="72" x14ac:dyDescent="0.25">
      <c r="A892" s="1">
        <v>25</v>
      </c>
      <c r="B892" s="44">
        <f t="shared" si="74"/>
        <v>48</v>
      </c>
      <c r="C892" s="37" t="s">
        <v>1388</v>
      </c>
      <c r="D892" s="38" t="s">
        <v>33</v>
      </c>
      <c r="E892" s="39">
        <f>1247.75+102.189+468.9</f>
        <v>1818.8389999999999</v>
      </c>
      <c r="F892" s="39">
        <v>1818.8389999999999</v>
      </c>
      <c r="G892" s="39">
        <f>1247.75+102.189+468.9</f>
        <v>1818.8389999999999</v>
      </c>
      <c r="H892" s="39">
        <v>1816.498</v>
      </c>
      <c r="I892" s="39">
        <v>1816.498</v>
      </c>
      <c r="J892" s="39">
        <v>0</v>
      </c>
      <c r="K892" s="41" t="s">
        <v>115</v>
      </c>
      <c r="L892" s="73"/>
      <c r="M892" s="43"/>
    </row>
    <row r="893" spans="1:13" ht="54" x14ac:dyDescent="0.25">
      <c r="A893" s="1">
        <v>25</v>
      </c>
      <c r="B893" s="44">
        <f t="shared" si="74"/>
        <v>49</v>
      </c>
      <c r="C893" s="37" t="s">
        <v>1389</v>
      </c>
      <c r="D893" s="38" t="s">
        <v>33</v>
      </c>
      <c r="E893" s="39">
        <f>630+613.696</f>
        <v>1243.6959999999999</v>
      </c>
      <c r="F893" s="39">
        <v>1243.6959999999999</v>
      </c>
      <c r="G893" s="39">
        <f>630+613.696</f>
        <v>1243.6959999999999</v>
      </c>
      <c r="H893" s="39">
        <v>741.87199999999996</v>
      </c>
      <c r="I893" s="39">
        <v>741.87199999999996</v>
      </c>
      <c r="J893" s="39">
        <v>0</v>
      </c>
      <c r="K893" s="41" t="s">
        <v>115</v>
      </c>
      <c r="L893" s="42"/>
      <c r="M893" s="43"/>
    </row>
    <row r="894" spans="1:13" ht="90" x14ac:dyDescent="0.25">
      <c r="A894" s="1">
        <v>25</v>
      </c>
      <c r="B894" s="36">
        <f t="shared" si="74"/>
        <v>50</v>
      </c>
      <c r="C894" s="37" t="s">
        <v>1390</v>
      </c>
      <c r="D894" s="38">
        <v>2016</v>
      </c>
      <c r="E894" s="39">
        <v>141.29400000000001</v>
      </c>
      <c r="F894" s="39">
        <v>141.29400000000001</v>
      </c>
      <c r="G894" s="39">
        <v>141.29400000000001</v>
      </c>
      <c r="H894" s="39">
        <v>130.94300000000001</v>
      </c>
      <c r="I894" s="39">
        <v>130.94300000000001</v>
      </c>
      <c r="J894" s="39">
        <v>0</v>
      </c>
      <c r="K894" s="41" t="s">
        <v>38</v>
      </c>
      <c r="L894" s="73" t="s">
        <v>53</v>
      </c>
      <c r="M894" s="81" t="s">
        <v>1391</v>
      </c>
    </row>
    <row r="895" spans="1:13" ht="54" x14ac:dyDescent="0.25">
      <c r="A895" s="1">
        <v>25</v>
      </c>
      <c r="B895" s="36">
        <f t="shared" si="74"/>
        <v>51</v>
      </c>
      <c r="C895" s="37" t="s">
        <v>1392</v>
      </c>
      <c r="D895" s="38">
        <v>2016</v>
      </c>
      <c r="E895" s="39">
        <v>159.511</v>
      </c>
      <c r="F895" s="39">
        <v>159.511</v>
      </c>
      <c r="G895" s="39">
        <v>159.511</v>
      </c>
      <c r="H895" s="39">
        <v>142.03399999999999</v>
      </c>
      <c r="I895" s="39">
        <v>142.03399999999999</v>
      </c>
      <c r="J895" s="39">
        <v>0</v>
      </c>
      <c r="K895" s="41" t="s">
        <v>38</v>
      </c>
      <c r="L895" s="73" t="s">
        <v>53</v>
      </c>
      <c r="M895" s="81" t="s">
        <v>1393</v>
      </c>
    </row>
    <row r="896" spans="1:13" ht="54" x14ac:dyDescent="0.25">
      <c r="A896" s="1">
        <v>25</v>
      </c>
      <c r="B896" s="44">
        <f t="shared" si="74"/>
        <v>52</v>
      </c>
      <c r="C896" s="37" t="s">
        <v>1394</v>
      </c>
      <c r="D896" s="38" t="s">
        <v>611</v>
      </c>
      <c r="E896" s="39">
        <f>5000-2049.118</f>
        <v>2950.8820000000001</v>
      </c>
      <c r="F896" s="39">
        <v>2950.8820000000001</v>
      </c>
      <c r="G896" s="39">
        <f>5000-2049.118</f>
        <v>2950.8820000000001</v>
      </c>
      <c r="H896" s="39">
        <v>2056.8620000000001</v>
      </c>
      <c r="I896" s="39">
        <v>2056.8620000000001</v>
      </c>
      <c r="J896" s="39">
        <v>0</v>
      </c>
      <c r="K896" s="41" t="s">
        <v>115</v>
      </c>
      <c r="L896" s="42"/>
      <c r="M896" s="43"/>
    </row>
    <row r="897" spans="1:234" ht="72" x14ac:dyDescent="0.25">
      <c r="A897" s="1">
        <v>25</v>
      </c>
      <c r="B897" s="44">
        <f t="shared" si="74"/>
        <v>53</v>
      </c>
      <c r="C897" s="37" t="s">
        <v>1395</v>
      </c>
      <c r="D897" s="38">
        <v>2016</v>
      </c>
      <c r="E897" s="39">
        <f>873.548-14.724</f>
        <v>858.82399999999996</v>
      </c>
      <c r="F897" s="39">
        <v>858.82399999999996</v>
      </c>
      <c r="G897" s="39">
        <f>873.548-14.724</f>
        <v>858.82399999999996</v>
      </c>
      <c r="H897" s="39">
        <v>858.82299999999998</v>
      </c>
      <c r="I897" s="39">
        <v>858.82299999999998</v>
      </c>
      <c r="J897" s="39">
        <v>0</v>
      </c>
      <c r="K897" s="41" t="s">
        <v>38</v>
      </c>
      <c r="L897" s="73" t="s">
        <v>1396</v>
      </c>
      <c r="M897" s="81"/>
    </row>
    <row r="898" spans="1:234" ht="72" x14ac:dyDescent="0.25">
      <c r="A898" s="1">
        <v>25</v>
      </c>
      <c r="B898" s="44">
        <f t="shared" si="74"/>
        <v>54</v>
      </c>
      <c r="C898" s="37" t="s">
        <v>1397</v>
      </c>
      <c r="D898" s="38">
        <v>2016</v>
      </c>
      <c r="E898" s="39">
        <f>1871.253-690.503</f>
        <v>1180.75</v>
      </c>
      <c r="F898" s="39">
        <v>1180.75</v>
      </c>
      <c r="G898" s="39">
        <f>1871.253-690.503</f>
        <v>1180.75</v>
      </c>
      <c r="H898" s="39">
        <v>1180.75</v>
      </c>
      <c r="I898" s="39">
        <v>1180.75</v>
      </c>
      <c r="J898" s="39">
        <v>0</v>
      </c>
      <c r="K898" s="41" t="s">
        <v>38</v>
      </c>
      <c r="L898" s="73" t="s">
        <v>510</v>
      </c>
      <c r="M898" s="81"/>
    </row>
    <row r="899" spans="1:234" ht="72" x14ac:dyDescent="0.25">
      <c r="A899" s="1">
        <v>25</v>
      </c>
      <c r="B899" s="44">
        <f t="shared" si="74"/>
        <v>55</v>
      </c>
      <c r="C899" s="37" t="s">
        <v>1398</v>
      </c>
      <c r="D899" s="38">
        <v>2016</v>
      </c>
      <c r="E899" s="39">
        <f>356.404-37.361</f>
        <v>319.04300000000001</v>
      </c>
      <c r="F899" s="39">
        <v>319.04300000000001</v>
      </c>
      <c r="G899" s="39">
        <f>356.404-37.361</f>
        <v>319.04300000000001</v>
      </c>
      <c r="H899" s="39">
        <v>319.02199999999999</v>
      </c>
      <c r="I899" s="39">
        <v>319.02199999999999</v>
      </c>
      <c r="J899" s="39">
        <v>0</v>
      </c>
      <c r="K899" s="41" t="s">
        <v>38</v>
      </c>
      <c r="L899" s="73" t="s">
        <v>53</v>
      </c>
      <c r="M899" s="81" t="s">
        <v>1399</v>
      </c>
    </row>
    <row r="900" spans="1:234" ht="72" x14ac:dyDescent="0.25">
      <c r="A900" s="1">
        <v>25</v>
      </c>
      <c r="B900" s="44">
        <f t="shared" si="74"/>
        <v>56</v>
      </c>
      <c r="C900" s="37" t="s">
        <v>1400</v>
      </c>
      <c r="D900" s="38">
        <v>2016</v>
      </c>
      <c r="E900" s="39">
        <f>681.629-40.286</f>
        <v>641.34300000000007</v>
      </c>
      <c r="F900" s="39">
        <v>641.34300000000007</v>
      </c>
      <c r="G900" s="39">
        <f>681.629-40.286</f>
        <v>641.34300000000007</v>
      </c>
      <c r="H900" s="39">
        <v>641.34299999999996</v>
      </c>
      <c r="I900" s="39">
        <v>641.34299999999996</v>
      </c>
      <c r="J900" s="39">
        <v>0</v>
      </c>
      <c r="K900" s="41" t="s">
        <v>38</v>
      </c>
      <c r="L900" s="73" t="s">
        <v>53</v>
      </c>
      <c r="M900" s="81" t="s">
        <v>1401</v>
      </c>
    </row>
    <row r="901" spans="1:234" ht="72" x14ac:dyDescent="0.25">
      <c r="A901" s="1">
        <v>25</v>
      </c>
      <c r="B901" s="44">
        <f t="shared" si="74"/>
        <v>57</v>
      </c>
      <c r="C901" s="37" t="s">
        <v>1402</v>
      </c>
      <c r="D901" s="38">
        <v>2016</v>
      </c>
      <c r="E901" s="39">
        <f>125.059-14.474</f>
        <v>110.58499999999999</v>
      </c>
      <c r="F901" s="39">
        <v>110.58499999999999</v>
      </c>
      <c r="G901" s="39">
        <f>125.059-14.474</f>
        <v>110.58499999999999</v>
      </c>
      <c r="H901" s="39">
        <v>110.58499999999999</v>
      </c>
      <c r="I901" s="39">
        <v>110.58499999999999</v>
      </c>
      <c r="J901" s="39">
        <v>0</v>
      </c>
      <c r="K901" s="41" t="s">
        <v>38</v>
      </c>
      <c r="L901" s="73" t="s">
        <v>53</v>
      </c>
      <c r="M901" s="81" t="s">
        <v>1403</v>
      </c>
    </row>
    <row r="902" spans="1:234" ht="114" x14ac:dyDescent="0.25">
      <c r="A902" s="1">
        <v>25</v>
      </c>
      <c r="B902" s="36">
        <f t="shared" si="74"/>
        <v>58</v>
      </c>
      <c r="C902" s="37" t="s">
        <v>1404</v>
      </c>
      <c r="D902" s="38" t="s">
        <v>37</v>
      </c>
      <c r="E902" s="39">
        <v>1331.9780000000001</v>
      </c>
      <c r="F902" s="39">
        <v>1331.9780000000001</v>
      </c>
      <c r="G902" s="39">
        <v>1331.9780000000001</v>
      </c>
      <c r="H902" s="39">
        <v>1267.866</v>
      </c>
      <c r="I902" s="39">
        <v>1267.866</v>
      </c>
      <c r="J902" s="39">
        <v>0</v>
      </c>
      <c r="K902" s="41" t="s">
        <v>38</v>
      </c>
      <c r="L902" s="94" t="s">
        <v>1405</v>
      </c>
      <c r="M902" s="81"/>
    </row>
    <row r="903" spans="1:234" ht="108" x14ac:dyDescent="0.25">
      <c r="A903" s="1">
        <v>25</v>
      </c>
      <c r="B903" s="36">
        <f t="shared" si="74"/>
        <v>59</v>
      </c>
      <c r="C903" s="37" t="s">
        <v>1406</v>
      </c>
      <c r="D903" s="38" t="s">
        <v>41</v>
      </c>
      <c r="E903" s="39">
        <v>360</v>
      </c>
      <c r="F903" s="39">
        <v>360</v>
      </c>
      <c r="G903" s="39">
        <v>360</v>
      </c>
      <c r="H903" s="39">
        <v>360</v>
      </c>
      <c r="I903" s="39">
        <v>360</v>
      </c>
      <c r="J903" s="39">
        <v>0</v>
      </c>
      <c r="K903" s="41" t="s">
        <v>115</v>
      </c>
      <c r="L903" s="42" t="s">
        <v>1407</v>
      </c>
      <c r="M903" s="43"/>
    </row>
    <row r="904" spans="1:234" ht="54" x14ac:dyDescent="0.25">
      <c r="A904" s="1">
        <v>25</v>
      </c>
      <c r="B904" s="44">
        <f t="shared" si="74"/>
        <v>60</v>
      </c>
      <c r="C904" s="37" t="s">
        <v>1408</v>
      </c>
      <c r="D904" s="38" t="s">
        <v>110</v>
      </c>
      <c r="E904" s="39">
        <f>3063.142-660.79</f>
        <v>2402.3519999999999</v>
      </c>
      <c r="F904" s="39">
        <v>2402.3519999999999</v>
      </c>
      <c r="G904" s="39">
        <f>3063.142-660.79</f>
        <v>2402.3519999999999</v>
      </c>
      <c r="H904" s="39">
        <v>2402.3519999999999</v>
      </c>
      <c r="I904" s="39">
        <v>2402.3519999999999</v>
      </c>
      <c r="J904" s="39">
        <v>0</v>
      </c>
      <c r="K904" s="41" t="s">
        <v>38</v>
      </c>
      <c r="L904" s="73" t="s">
        <v>510</v>
      </c>
      <c r="M904" s="81"/>
    </row>
    <row r="905" spans="1:234" ht="72" x14ac:dyDescent="0.25">
      <c r="A905" s="1">
        <v>25</v>
      </c>
      <c r="B905" s="36">
        <f t="shared" si="74"/>
        <v>61</v>
      </c>
      <c r="C905" s="37" t="s">
        <v>1409</v>
      </c>
      <c r="D905" s="38" t="s">
        <v>33</v>
      </c>
      <c r="E905" s="39">
        <v>605.83000000000004</v>
      </c>
      <c r="F905" s="39">
        <v>605.83000000000004</v>
      </c>
      <c r="G905" s="39">
        <v>605.83000000000004</v>
      </c>
      <c r="H905" s="39">
        <v>548.12300000000005</v>
      </c>
      <c r="I905" s="39">
        <v>548.12300000000005</v>
      </c>
      <c r="J905" s="39">
        <v>0</v>
      </c>
      <c r="K905" s="41" t="s">
        <v>115</v>
      </c>
      <c r="L905" s="42"/>
      <c r="M905" s="43"/>
    </row>
    <row r="906" spans="1:234" ht="72" x14ac:dyDescent="0.25">
      <c r="A906" s="1">
        <v>25</v>
      </c>
      <c r="B906" s="44">
        <f t="shared" si="74"/>
        <v>62</v>
      </c>
      <c r="C906" s="37" t="s">
        <v>1410</v>
      </c>
      <c r="D906" s="38" t="s">
        <v>423</v>
      </c>
      <c r="E906" s="39">
        <f>3596.749+712.514</f>
        <v>4309.2629999999999</v>
      </c>
      <c r="F906" s="39">
        <v>4309.2629999999999</v>
      </c>
      <c r="G906" s="39">
        <f>3596.749+712.514</f>
        <v>4309.2629999999999</v>
      </c>
      <c r="H906" s="39">
        <v>3582.288</v>
      </c>
      <c r="I906" s="39">
        <v>3582.288</v>
      </c>
      <c r="J906" s="39">
        <v>0</v>
      </c>
      <c r="K906" s="41" t="s">
        <v>115</v>
      </c>
      <c r="L906" s="42"/>
      <c r="M906" s="43"/>
    </row>
    <row r="907" spans="1:234" ht="72" x14ac:dyDescent="0.25">
      <c r="A907" s="1">
        <v>25</v>
      </c>
      <c r="B907" s="36">
        <f t="shared" si="74"/>
        <v>63</v>
      </c>
      <c r="C907" s="37" t="s">
        <v>1411</v>
      </c>
      <c r="D907" s="38" t="s">
        <v>41</v>
      </c>
      <c r="E907" s="39">
        <v>793.94899999999996</v>
      </c>
      <c r="F907" s="39">
        <v>793.94899999999996</v>
      </c>
      <c r="G907" s="39">
        <v>793.94899999999996</v>
      </c>
      <c r="H907" s="39">
        <v>793.94899999999996</v>
      </c>
      <c r="I907" s="39">
        <v>793.94899999999996</v>
      </c>
      <c r="J907" s="39">
        <v>0</v>
      </c>
      <c r="K907" s="41" t="s">
        <v>115</v>
      </c>
      <c r="L907" s="42"/>
      <c r="M907" s="43"/>
    </row>
    <row r="908" spans="1:234" ht="54" x14ac:dyDescent="0.25">
      <c r="A908" s="1">
        <v>25</v>
      </c>
      <c r="B908" s="44">
        <f t="shared" si="74"/>
        <v>64</v>
      </c>
      <c r="C908" s="37" t="s">
        <v>1412</v>
      </c>
      <c r="D908" s="38" t="s">
        <v>33</v>
      </c>
      <c r="E908" s="39">
        <f>8053-4653</f>
        <v>3400</v>
      </c>
      <c r="F908" s="39">
        <v>3400</v>
      </c>
      <c r="G908" s="39">
        <f>8053-4653</f>
        <v>3400</v>
      </c>
      <c r="H908" s="39">
        <v>1680.6030000000001</v>
      </c>
      <c r="I908" s="39">
        <v>1680.6030000000001</v>
      </c>
      <c r="J908" s="39">
        <v>0</v>
      </c>
      <c r="K908" s="41" t="s">
        <v>115</v>
      </c>
      <c r="L908" s="42"/>
      <c r="M908" s="43"/>
    </row>
    <row r="909" spans="1:234" ht="54" x14ac:dyDescent="0.25">
      <c r="A909" s="1">
        <v>25</v>
      </c>
      <c r="B909" s="36">
        <f t="shared" si="74"/>
        <v>65</v>
      </c>
      <c r="C909" s="37" t="s">
        <v>1413</v>
      </c>
      <c r="D909" s="38" t="s">
        <v>611</v>
      </c>
      <c r="E909" s="39">
        <v>5000</v>
      </c>
      <c r="F909" s="39">
        <v>5000</v>
      </c>
      <c r="G909" s="39">
        <v>5000</v>
      </c>
      <c r="H909" s="39">
        <v>5000</v>
      </c>
      <c r="I909" s="39">
        <v>5000</v>
      </c>
      <c r="J909" s="39">
        <v>0</v>
      </c>
      <c r="K909" s="41" t="s">
        <v>115</v>
      </c>
      <c r="L909" s="42"/>
      <c r="M909" s="43"/>
    </row>
    <row r="910" spans="1:234" ht="72" x14ac:dyDescent="0.25">
      <c r="A910" s="1">
        <v>25</v>
      </c>
      <c r="B910" s="44">
        <f t="shared" si="74"/>
        <v>66</v>
      </c>
      <c r="C910" s="37" t="s">
        <v>1414</v>
      </c>
      <c r="D910" s="38" t="s">
        <v>33</v>
      </c>
      <c r="E910" s="39">
        <f>705.55+346.032</f>
        <v>1051.5819999999999</v>
      </c>
      <c r="F910" s="39">
        <v>1051.5819999999999</v>
      </c>
      <c r="G910" s="39">
        <f>705.55+346.032</f>
        <v>1051.5819999999999</v>
      </c>
      <c r="H910" s="39">
        <v>802.404</v>
      </c>
      <c r="I910" s="39">
        <v>802.404</v>
      </c>
      <c r="J910" s="39">
        <v>0</v>
      </c>
      <c r="K910" s="41" t="s">
        <v>115</v>
      </c>
      <c r="L910" s="42"/>
      <c r="M910" s="43"/>
      <c r="N910" s="102"/>
      <c r="O910" s="101"/>
      <c r="P910" s="102"/>
      <c r="Q910" s="102"/>
      <c r="R910" s="102"/>
      <c r="S910" s="102"/>
      <c r="T910" s="102"/>
      <c r="U910" s="102"/>
      <c r="V910" s="103"/>
      <c r="W910" s="104"/>
      <c r="X910" s="104"/>
      <c r="Y910" s="105"/>
      <c r="Z910" s="106"/>
      <c r="AA910" s="107"/>
      <c r="AB910" s="108"/>
      <c r="AC910" s="109"/>
      <c r="AE910" s="105"/>
      <c r="AF910" s="110"/>
      <c r="AG910" s="99"/>
      <c r="AH910" s="100"/>
      <c r="AI910" s="101"/>
      <c r="AJ910" s="102"/>
      <c r="AK910" s="102"/>
      <c r="AL910" s="102"/>
      <c r="AM910" s="102"/>
      <c r="AN910" s="102"/>
      <c r="AO910" s="101"/>
      <c r="AP910" s="102"/>
      <c r="AQ910" s="102"/>
      <c r="AR910" s="102"/>
      <c r="AS910" s="102"/>
      <c r="AT910" s="102"/>
      <c r="AU910" s="102"/>
      <c r="AV910" s="103"/>
      <c r="AW910" s="104"/>
      <c r="AX910" s="104"/>
      <c r="AY910" s="105"/>
      <c r="AZ910" s="106"/>
      <c r="BA910" s="107"/>
      <c r="BB910" s="108"/>
      <c r="BC910" s="109"/>
      <c r="BE910" s="105"/>
      <c r="BF910" s="110"/>
      <c r="BG910" s="99"/>
      <c r="BH910" s="100"/>
      <c r="BI910" s="101"/>
      <c r="BJ910" s="102"/>
      <c r="BK910" s="102"/>
      <c r="BL910" s="102"/>
      <c r="BM910" s="102"/>
      <c r="BN910" s="102"/>
      <c r="BO910" s="101"/>
      <c r="BP910" s="102"/>
      <c r="BQ910" s="102"/>
      <c r="BR910" s="102"/>
      <c r="BS910" s="102"/>
      <c r="BT910" s="102"/>
      <c r="BU910" s="102"/>
      <c r="BV910" s="103"/>
      <c r="BW910" s="104"/>
      <c r="BX910" s="104"/>
      <c r="BY910" s="105"/>
      <c r="BZ910" s="106"/>
      <c r="CA910" s="107"/>
      <c r="CB910" s="108"/>
      <c r="CC910" s="109"/>
      <c r="CE910" s="105"/>
      <c r="CF910" s="110"/>
      <c r="CG910" s="99"/>
      <c r="CH910" s="100"/>
      <c r="CI910" s="101"/>
      <c r="CJ910" s="102"/>
      <c r="CK910" s="102"/>
      <c r="CL910" s="102"/>
      <c r="CM910" s="102"/>
      <c r="CN910" s="102"/>
      <c r="CO910" s="101"/>
      <c r="CP910" s="102"/>
      <c r="CQ910" s="102"/>
      <c r="CR910" s="102"/>
      <c r="CS910" s="102"/>
      <c r="CT910" s="102"/>
      <c r="CU910" s="102"/>
      <c r="CV910" s="103"/>
      <c r="CW910" s="104"/>
      <c r="CX910" s="104"/>
      <c r="CY910" s="105"/>
      <c r="CZ910" s="106"/>
      <c r="DA910" s="107"/>
      <c r="DB910" s="108"/>
      <c r="DC910" s="109"/>
      <c r="DE910" s="105"/>
      <c r="DF910" s="110"/>
      <c r="DG910" s="99"/>
      <c r="DH910" s="100"/>
      <c r="DI910" s="101"/>
      <c r="DJ910" s="102"/>
      <c r="DK910" s="102"/>
      <c r="DL910" s="102"/>
      <c r="DM910" s="102"/>
      <c r="DN910" s="102"/>
      <c r="DO910" s="101"/>
      <c r="DP910" s="102"/>
      <c r="DQ910" s="102"/>
      <c r="DR910" s="102"/>
      <c r="DS910" s="102"/>
      <c r="DT910" s="102"/>
      <c r="DU910" s="102"/>
      <c r="DV910" s="103"/>
      <c r="DW910" s="104"/>
      <c r="DX910" s="104"/>
      <c r="DY910" s="105"/>
      <c r="DZ910" s="106"/>
      <c r="EA910" s="107"/>
      <c r="EB910" s="108"/>
      <c r="EC910" s="109"/>
      <c r="EE910" s="105"/>
      <c r="EF910" s="110"/>
      <c r="EG910" s="99"/>
      <c r="EH910" s="100"/>
      <c r="EI910" s="101"/>
      <c r="EJ910" s="102"/>
      <c r="EK910" s="102"/>
      <c r="EL910" s="102"/>
      <c r="EM910" s="102"/>
      <c r="EN910" s="102"/>
      <c r="EO910" s="101"/>
      <c r="EP910" s="102"/>
      <c r="EQ910" s="102"/>
      <c r="ER910" s="102"/>
      <c r="ES910" s="102"/>
      <c r="ET910" s="102"/>
      <c r="EU910" s="102"/>
      <c r="EV910" s="103"/>
      <c r="EW910" s="104"/>
      <c r="EX910" s="104"/>
      <c r="EY910" s="105"/>
      <c r="EZ910" s="106"/>
      <c r="FA910" s="107"/>
      <c r="FB910" s="108"/>
      <c r="FC910" s="109"/>
      <c r="FE910" s="105"/>
      <c r="FF910" s="110"/>
      <c r="FG910" s="99"/>
      <c r="FH910" s="100"/>
      <c r="FI910" s="101"/>
      <c r="FJ910" s="102"/>
      <c r="FK910" s="102"/>
      <c r="FL910" s="102"/>
      <c r="FM910" s="102"/>
      <c r="FN910" s="102"/>
      <c r="FO910" s="101"/>
      <c r="FP910" s="102"/>
      <c r="FQ910" s="102"/>
      <c r="FR910" s="102"/>
      <c r="FS910" s="102"/>
      <c r="FT910" s="102"/>
      <c r="FU910" s="102"/>
      <c r="FV910" s="103"/>
      <c r="FW910" s="104"/>
      <c r="FX910" s="104"/>
      <c r="FY910" s="105"/>
      <c r="FZ910" s="106"/>
      <c r="GA910" s="107"/>
      <c r="GB910" s="108"/>
      <c r="GC910" s="109"/>
      <c r="GE910" s="105"/>
      <c r="GF910" s="110"/>
      <c r="GG910" s="99"/>
      <c r="GH910" s="100"/>
      <c r="GI910" s="101"/>
      <c r="GJ910" s="102"/>
      <c r="GK910" s="102"/>
      <c r="GL910" s="102"/>
      <c r="GM910" s="102"/>
      <c r="GN910" s="102"/>
      <c r="GO910" s="101"/>
      <c r="GP910" s="102"/>
      <c r="GQ910" s="102"/>
      <c r="GR910" s="102"/>
      <c r="GS910" s="102"/>
      <c r="GT910" s="102"/>
      <c r="GU910" s="102"/>
      <c r="GV910" s="103"/>
      <c r="GW910" s="104"/>
      <c r="GX910" s="104"/>
      <c r="GY910" s="105"/>
      <c r="GZ910" s="106"/>
      <c r="HA910" s="107"/>
      <c r="HB910" s="108"/>
      <c r="HC910" s="109"/>
      <c r="HE910" s="105"/>
      <c r="HF910" s="110"/>
      <c r="HG910" s="99"/>
      <c r="HH910" s="100"/>
      <c r="HI910" s="101"/>
      <c r="HJ910" s="102"/>
      <c r="HK910" s="102"/>
      <c r="HL910" s="102"/>
      <c r="HM910" s="102"/>
      <c r="HN910" s="102"/>
      <c r="HO910" s="101"/>
      <c r="HP910" s="102"/>
      <c r="HQ910" s="102"/>
      <c r="HR910" s="102"/>
      <c r="HS910" s="102"/>
      <c r="HT910" s="102"/>
      <c r="HU910" s="102"/>
      <c r="HV910" s="103"/>
      <c r="HW910" s="104"/>
      <c r="HX910" s="104"/>
      <c r="HY910" s="105"/>
      <c r="HZ910" s="106"/>
    </row>
    <row r="911" spans="1:234" ht="90" x14ac:dyDescent="0.25">
      <c r="A911" s="1">
        <v>25</v>
      </c>
      <c r="B911" s="44">
        <f t="shared" ref="B911:B919" si="75">B910+1</f>
        <v>67</v>
      </c>
      <c r="C911" s="37" t="s">
        <v>1415</v>
      </c>
      <c r="D911" s="38" t="s">
        <v>37</v>
      </c>
      <c r="E911" s="39">
        <v>1138.768</v>
      </c>
      <c r="F911" s="39">
        <v>1138.768</v>
      </c>
      <c r="G911" s="39">
        <v>1138.768</v>
      </c>
      <c r="H911" s="39">
        <v>512.44399999999996</v>
      </c>
      <c r="I911" s="39">
        <v>512.44399999999996</v>
      </c>
      <c r="J911" s="39">
        <v>0</v>
      </c>
      <c r="K911" s="41" t="s">
        <v>115</v>
      </c>
      <c r="L911" s="42"/>
      <c r="M911" s="43"/>
      <c r="N911" s="102"/>
      <c r="O911" s="101"/>
      <c r="P911" s="102"/>
      <c r="Q911" s="102"/>
      <c r="R911" s="102"/>
      <c r="S911" s="102"/>
      <c r="T911" s="102"/>
      <c r="U911" s="102"/>
      <c r="V911" s="103"/>
      <c r="W911" s="104"/>
      <c r="X911" s="104"/>
      <c r="Y911" s="105"/>
      <c r="Z911" s="106"/>
      <c r="AA911" s="107"/>
      <c r="AB911" s="108"/>
      <c r="AC911" s="109"/>
      <c r="AE911" s="105"/>
      <c r="AF911" s="110"/>
      <c r="AG911" s="99"/>
      <c r="AH911" s="100"/>
      <c r="AI911" s="101"/>
      <c r="AJ911" s="102"/>
      <c r="AK911" s="102"/>
      <c r="AL911" s="102"/>
      <c r="AM911" s="102"/>
      <c r="AN911" s="102"/>
      <c r="AO911" s="101"/>
      <c r="AP911" s="102"/>
      <c r="AQ911" s="102"/>
      <c r="AR911" s="102"/>
      <c r="AS911" s="102"/>
      <c r="AT911" s="102"/>
      <c r="AU911" s="102"/>
      <c r="AV911" s="103"/>
      <c r="AW911" s="104"/>
      <c r="AX911" s="104"/>
      <c r="AY911" s="105"/>
      <c r="AZ911" s="106"/>
      <c r="BA911" s="107"/>
      <c r="BB911" s="108"/>
      <c r="BC911" s="109"/>
      <c r="BE911" s="105"/>
      <c r="BF911" s="110"/>
      <c r="BG911" s="99"/>
      <c r="BH911" s="100"/>
      <c r="BI911" s="101"/>
      <c r="BJ911" s="102"/>
      <c r="BK911" s="102"/>
      <c r="BL911" s="102"/>
      <c r="BM911" s="102"/>
      <c r="BN911" s="102"/>
      <c r="BO911" s="101"/>
      <c r="BP911" s="102"/>
      <c r="BQ911" s="102"/>
      <c r="BR911" s="102"/>
      <c r="BS911" s="102"/>
      <c r="BT911" s="102"/>
      <c r="BU911" s="102"/>
      <c r="BV911" s="103"/>
      <c r="BW911" s="104"/>
      <c r="BX911" s="104"/>
      <c r="BY911" s="105"/>
      <c r="BZ911" s="106"/>
      <c r="CA911" s="107"/>
      <c r="CB911" s="108"/>
      <c r="CC911" s="109"/>
      <c r="CE911" s="105"/>
      <c r="CF911" s="110"/>
      <c r="CG911" s="99"/>
      <c r="CH911" s="100"/>
      <c r="CI911" s="101"/>
      <c r="CJ911" s="102"/>
      <c r="CK911" s="102"/>
      <c r="CL911" s="102"/>
      <c r="CM911" s="102"/>
      <c r="CN911" s="102"/>
      <c r="CO911" s="101"/>
      <c r="CP911" s="102"/>
      <c r="CQ911" s="102"/>
      <c r="CR911" s="102"/>
      <c r="CS911" s="102"/>
      <c r="CT911" s="102"/>
      <c r="CU911" s="102"/>
      <c r="CV911" s="103"/>
      <c r="CW911" s="104"/>
      <c r="CX911" s="104"/>
      <c r="CY911" s="105"/>
      <c r="CZ911" s="106"/>
      <c r="DA911" s="107"/>
      <c r="DB911" s="108"/>
      <c r="DC911" s="109"/>
      <c r="DE911" s="105"/>
      <c r="DF911" s="110"/>
      <c r="DG911" s="99"/>
      <c r="DH911" s="100"/>
      <c r="DI911" s="101"/>
      <c r="DJ911" s="102"/>
      <c r="DK911" s="102"/>
      <c r="DL911" s="102"/>
      <c r="DM911" s="102"/>
      <c r="DN911" s="102"/>
      <c r="DO911" s="101"/>
      <c r="DP911" s="102"/>
      <c r="DQ911" s="102"/>
      <c r="DR911" s="102"/>
      <c r="DS911" s="102"/>
      <c r="DT911" s="102"/>
      <c r="DU911" s="102"/>
      <c r="DV911" s="103"/>
      <c r="DW911" s="104"/>
      <c r="DX911" s="104"/>
      <c r="DY911" s="105"/>
      <c r="DZ911" s="106"/>
      <c r="EA911" s="107"/>
      <c r="EB911" s="108"/>
      <c r="EC911" s="109"/>
      <c r="EE911" s="105"/>
      <c r="EF911" s="110"/>
      <c r="EG911" s="99"/>
      <c r="EH911" s="100"/>
      <c r="EI911" s="101"/>
      <c r="EJ911" s="102"/>
      <c r="EK911" s="102"/>
      <c r="EL911" s="102"/>
      <c r="EM911" s="102"/>
      <c r="EN911" s="102"/>
      <c r="EO911" s="101"/>
      <c r="EP911" s="102"/>
      <c r="EQ911" s="102"/>
      <c r="ER911" s="102"/>
      <c r="ES911" s="102"/>
      <c r="ET911" s="102"/>
      <c r="EU911" s="102"/>
      <c r="EV911" s="103"/>
      <c r="EW911" s="104"/>
      <c r="EX911" s="104"/>
      <c r="EY911" s="105"/>
      <c r="EZ911" s="106"/>
      <c r="FA911" s="107"/>
      <c r="FB911" s="108"/>
      <c r="FC911" s="109"/>
      <c r="FE911" s="105"/>
      <c r="FF911" s="110"/>
      <c r="FG911" s="99"/>
      <c r="FH911" s="100"/>
      <c r="FI911" s="101"/>
      <c r="FJ911" s="102"/>
      <c r="FK911" s="102"/>
      <c r="FL911" s="102"/>
      <c r="FM911" s="102"/>
      <c r="FN911" s="102"/>
      <c r="FO911" s="101"/>
      <c r="FP911" s="102"/>
      <c r="FQ911" s="102"/>
      <c r="FR911" s="102"/>
      <c r="FS911" s="102"/>
      <c r="FT911" s="102"/>
      <c r="FU911" s="102"/>
      <c r="FV911" s="103"/>
      <c r="FW911" s="104"/>
      <c r="FX911" s="104"/>
      <c r="FY911" s="105"/>
      <c r="FZ911" s="106"/>
      <c r="GA911" s="107"/>
      <c r="GB911" s="108"/>
      <c r="GC911" s="109"/>
      <c r="GE911" s="105"/>
      <c r="GF911" s="110"/>
      <c r="GG911" s="99"/>
      <c r="GH911" s="100"/>
      <c r="GI911" s="101"/>
      <c r="GJ911" s="102"/>
      <c r="GK911" s="102"/>
      <c r="GL911" s="102"/>
      <c r="GM911" s="102"/>
      <c r="GN911" s="102"/>
      <c r="GO911" s="101"/>
      <c r="GP911" s="102"/>
      <c r="GQ911" s="102"/>
      <c r="GR911" s="102"/>
      <c r="GS911" s="102"/>
      <c r="GT911" s="102"/>
      <c r="GU911" s="102"/>
      <c r="GV911" s="103"/>
      <c r="GW911" s="104"/>
      <c r="GX911" s="104"/>
      <c r="GY911" s="105"/>
      <c r="GZ911" s="106"/>
      <c r="HA911" s="107"/>
      <c r="HB911" s="108"/>
      <c r="HC911" s="109"/>
      <c r="HE911" s="105"/>
      <c r="HF911" s="110"/>
      <c r="HG911" s="99"/>
      <c r="HH911" s="100"/>
      <c r="HI911" s="101"/>
      <c r="HJ911" s="102"/>
      <c r="HK911" s="102"/>
      <c r="HL911" s="102"/>
      <c r="HM911" s="102"/>
      <c r="HN911" s="102"/>
      <c r="HO911" s="101"/>
      <c r="HP911" s="102"/>
      <c r="HQ911" s="102"/>
      <c r="HR911" s="102"/>
      <c r="HS911" s="102"/>
      <c r="HT911" s="102"/>
      <c r="HU911" s="102"/>
      <c r="HV911" s="103"/>
      <c r="HW911" s="104"/>
      <c r="HX911" s="104"/>
      <c r="HY911" s="105"/>
      <c r="HZ911" s="106"/>
    </row>
    <row r="912" spans="1:234" ht="60" x14ac:dyDescent="0.25">
      <c r="A912" s="1">
        <v>25</v>
      </c>
      <c r="B912" s="44">
        <f t="shared" si="75"/>
        <v>68</v>
      </c>
      <c r="C912" s="37" t="s">
        <v>1416</v>
      </c>
      <c r="D912" s="38" t="s">
        <v>37</v>
      </c>
      <c r="E912" s="39">
        <v>1082.174</v>
      </c>
      <c r="F912" s="39">
        <v>1082.174</v>
      </c>
      <c r="G912" s="39">
        <v>1082.174</v>
      </c>
      <c r="H912" s="39">
        <v>867.25699999999995</v>
      </c>
      <c r="I912" s="39">
        <v>867.25699999999995</v>
      </c>
      <c r="J912" s="39">
        <v>0</v>
      </c>
      <c r="K912" s="41" t="s">
        <v>38</v>
      </c>
      <c r="L912" s="73" t="s">
        <v>1417</v>
      </c>
      <c r="M912" s="81"/>
      <c r="N912" s="102"/>
      <c r="O912" s="101"/>
      <c r="P912" s="102"/>
      <c r="Q912" s="102"/>
      <c r="R912" s="102"/>
      <c r="S912" s="102"/>
      <c r="T912" s="102"/>
      <c r="U912" s="102"/>
      <c r="V912" s="103"/>
      <c r="W912" s="104"/>
      <c r="X912" s="104"/>
      <c r="Y912" s="105"/>
      <c r="Z912" s="106"/>
      <c r="AA912" s="107"/>
      <c r="AB912" s="108"/>
      <c r="AC912" s="109"/>
      <c r="AE912" s="105"/>
      <c r="AF912" s="110"/>
      <c r="AG912" s="99"/>
      <c r="AH912" s="100"/>
      <c r="AI912" s="101"/>
      <c r="AJ912" s="102"/>
      <c r="AK912" s="102"/>
      <c r="AL912" s="102"/>
      <c r="AM912" s="102"/>
      <c r="AN912" s="102"/>
      <c r="AO912" s="101"/>
      <c r="AP912" s="102"/>
      <c r="AQ912" s="102"/>
      <c r="AR912" s="102"/>
      <c r="AS912" s="102"/>
      <c r="AT912" s="102"/>
      <c r="AU912" s="102"/>
      <c r="AV912" s="103"/>
      <c r="AW912" s="104"/>
      <c r="AX912" s="104"/>
      <c r="AY912" s="105"/>
      <c r="AZ912" s="106"/>
      <c r="BA912" s="107"/>
      <c r="BB912" s="108"/>
      <c r="BC912" s="109"/>
      <c r="BE912" s="105"/>
      <c r="BF912" s="110"/>
      <c r="BG912" s="99"/>
      <c r="BH912" s="100"/>
      <c r="BI912" s="101"/>
      <c r="BJ912" s="102"/>
      <c r="BK912" s="102"/>
      <c r="BL912" s="102"/>
      <c r="BM912" s="102"/>
      <c r="BN912" s="102"/>
      <c r="BO912" s="101"/>
      <c r="BP912" s="102"/>
      <c r="BQ912" s="102"/>
      <c r="BR912" s="102"/>
      <c r="BS912" s="102"/>
      <c r="BT912" s="102"/>
      <c r="BU912" s="102"/>
      <c r="BV912" s="103"/>
      <c r="BW912" s="104"/>
      <c r="BX912" s="104"/>
      <c r="BY912" s="105"/>
      <c r="BZ912" s="106"/>
      <c r="CA912" s="107"/>
      <c r="CB912" s="108"/>
      <c r="CC912" s="109"/>
      <c r="CE912" s="105"/>
      <c r="CF912" s="110"/>
      <c r="CG912" s="99"/>
      <c r="CH912" s="100"/>
      <c r="CI912" s="101"/>
      <c r="CJ912" s="102"/>
      <c r="CK912" s="102"/>
      <c r="CL912" s="102"/>
      <c r="CM912" s="102"/>
      <c r="CN912" s="102"/>
      <c r="CO912" s="101"/>
      <c r="CP912" s="102"/>
      <c r="CQ912" s="102"/>
      <c r="CR912" s="102"/>
      <c r="CS912" s="102"/>
      <c r="CT912" s="102"/>
      <c r="CU912" s="102"/>
      <c r="CV912" s="103"/>
      <c r="CW912" s="104"/>
      <c r="CX912" s="104"/>
      <c r="CY912" s="105"/>
      <c r="CZ912" s="106"/>
      <c r="DA912" s="107"/>
      <c r="DB912" s="108"/>
      <c r="DC912" s="109"/>
      <c r="DE912" s="105"/>
      <c r="DF912" s="110"/>
      <c r="DG912" s="99"/>
      <c r="DH912" s="100"/>
      <c r="DI912" s="101"/>
      <c r="DJ912" s="102"/>
      <c r="DK912" s="102"/>
      <c r="DL912" s="102"/>
      <c r="DM912" s="102"/>
      <c r="DN912" s="102"/>
      <c r="DO912" s="101"/>
      <c r="DP912" s="102"/>
      <c r="DQ912" s="102"/>
      <c r="DR912" s="102"/>
      <c r="DS912" s="102"/>
      <c r="DT912" s="102"/>
      <c r="DU912" s="102"/>
      <c r="DV912" s="103"/>
      <c r="DW912" s="104"/>
      <c r="DX912" s="104"/>
      <c r="DY912" s="105"/>
      <c r="DZ912" s="106"/>
      <c r="EA912" s="107"/>
      <c r="EB912" s="108"/>
      <c r="EC912" s="109"/>
      <c r="EE912" s="105"/>
      <c r="EF912" s="110"/>
      <c r="EG912" s="99"/>
      <c r="EH912" s="100"/>
      <c r="EI912" s="101"/>
      <c r="EJ912" s="102"/>
      <c r="EK912" s="102"/>
      <c r="EL912" s="102"/>
      <c r="EM912" s="102"/>
      <c r="EN912" s="102"/>
      <c r="EO912" s="101"/>
      <c r="EP912" s="102"/>
      <c r="EQ912" s="102"/>
      <c r="ER912" s="102"/>
      <c r="ES912" s="102"/>
      <c r="ET912" s="102"/>
      <c r="EU912" s="102"/>
      <c r="EV912" s="103"/>
      <c r="EW912" s="104"/>
      <c r="EX912" s="104"/>
      <c r="EY912" s="105"/>
      <c r="EZ912" s="106"/>
      <c r="FA912" s="107"/>
      <c r="FB912" s="108"/>
      <c r="FC912" s="109"/>
      <c r="FE912" s="105"/>
      <c r="FF912" s="110"/>
      <c r="FG912" s="99"/>
      <c r="FH912" s="100"/>
      <c r="FI912" s="101"/>
      <c r="FJ912" s="102"/>
      <c r="FK912" s="102"/>
      <c r="FL912" s="102"/>
      <c r="FM912" s="102"/>
      <c r="FN912" s="102"/>
      <c r="FO912" s="101"/>
      <c r="FP912" s="102"/>
      <c r="FQ912" s="102"/>
      <c r="FR912" s="102"/>
      <c r="FS912" s="102"/>
      <c r="FT912" s="102"/>
      <c r="FU912" s="102"/>
      <c r="FV912" s="103"/>
      <c r="FW912" s="104"/>
      <c r="FX912" s="104"/>
      <c r="FY912" s="105"/>
      <c r="FZ912" s="106"/>
      <c r="GA912" s="107"/>
      <c r="GB912" s="108"/>
      <c r="GC912" s="109"/>
      <c r="GE912" s="105"/>
      <c r="GF912" s="110"/>
      <c r="GG912" s="99"/>
      <c r="GH912" s="100"/>
      <c r="GI912" s="101"/>
      <c r="GJ912" s="102"/>
      <c r="GK912" s="102"/>
      <c r="GL912" s="102"/>
      <c r="GM912" s="102"/>
      <c r="GN912" s="102"/>
      <c r="GO912" s="101"/>
      <c r="GP912" s="102"/>
      <c r="GQ912" s="102"/>
      <c r="GR912" s="102"/>
      <c r="GS912" s="102"/>
      <c r="GT912" s="102"/>
      <c r="GU912" s="102"/>
      <c r="GV912" s="103"/>
      <c r="GW912" s="104"/>
      <c r="GX912" s="104"/>
      <c r="GY912" s="105"/>
      <c r="GZ912" s="106"/>
      <c r="HA912" s="107"/>
      <c r="HB912" s="108"/>
      <c r="HC912" s="109"/>
      <c r="HE912" s="105"/>
      <c r="HF912" s="110"/>
      <c r="HG912" s="99"/>
      <c r="HH912" s="100"/>
      <c r="HI912" s="101"/>
      <c r="HJ912" s="102"/>
      <c r="HK912" s="102"/>
      <c r="HL912" s="102"/>
      <c r="HM912" s="102"/>
      <c r="HN912" s="102"/>
      <c r="HO912" s="101"/>
      <c r="HP912" s="102"/>
      <c r="HQ912" s="102"/>
      <c r="HR912" s="102"/>
      <c r="HS912" s="102"/>
      <c r="HT912" s="102"/>
      <c r="HU912" s="102"/>
      <c r="HV912" s="103"/>
      <c r="HW912" s="104"/>
      <c r="HX912" s="104"/>
      <c r="HY912" s="105"/>
      <c r="HZ912" s="106"/>
    </row>
    <row r="913" spans="1:234" ht="90" x14ac:dyDescent="0.25">
      <c r="A913" s="1">
        <v>25</v>
      </c>
      <c r="B913" s="44">
        <f t="shared" si="75"/>
        <v>69</v>
      </c>
      <c r="C913" s="37" t="s">
        <v>1418</v>
      </c>
      <c r="D913" s="38" t="s">
        <v>37</v>
      </c>
      <c r="E913" s="39">
        <v>1914.115</v>
      </c>
      <c r="F913" s="39">
        <v>1914.115</v>
      </c>
      <c r="G913" s="39">
        <v>1914.115</v>
      </c>
      <c r="H913" s="39">
        <v>0</v>
      </c>
      <c r="I913" s="39">
        <v>0</v>
      </c>
      <c r="J913" s="39">
        <v>0</v>
      </c>
      <c r="K913" s="41" t="s">
        <v>115</v>
      </c>
      <c r="L913" s="42"/>
      <c r="M913" s="43"/>
      <c r="N913" s="102"/>
      <c r="O913" s="101"/>
      <c r="P913" s="102"/>
      <c r="Q913" s="102"/>
      <c r="R913" s="102"/>
      <c r="S913" s="102"/>
      <c r="T913" s="102"/>
      <c r="U913" s="102"/>
      <c r="V913" s="103"/>
      <c r="W913" s="104"/>
      <c r="X913" s="104"/>
      <c r="Y913" s="105"/>
      <c r="Z913" s="106"/>
      <c r="AA913" s="107"/>
      <c r="AB913" s="108"/>
      <c r="AC913" s="109"/>
      <c r="AE913" s="105"/>
      <c r="AF913" s="110"/>
      <c r="AG913" s="99"/>
      <c r="AH913" s="100"/>
      <c r="AI913" s="101"/>
      <c r="AJ913" s="102"/>
      <c r="AK913" s="102"/>
      <c r="AL913" s="102"/>
      <c r="AM913" s="102"/>
      <c r="AN913" s="102"/>
      <c r="AO913" s="101"/>
      <c r="AP913" s="102"/>
      <c r="AQ913" s="102"/>
      <c r="AR913" s="102"/>
      <c r="AS913" s="102"/>
      <c r="AT913" s="102"/>
      <c r="AU913" s="102"/>
      <c r="AV913" s="103"/>
      <c r="AW913" s="104"/>
      <c r="AX913" s="104"/>
      <c r="AY913" s="105"/>
      <c r="AZ913" s="106"/>
      <c r="BA913" s="107"/>
      <c r="BB913" s="108"/>
      <c r="BC913" s="109"/>
      <c r="BE913" s="105"/>
      <c r="BF913" s="110"/>
      <c r="BG913" s="99"/>
      <c r="BH913" s="100"/>
      <c r="BI913" s="101"/>
      <c r="BJ913" s="102"/>
      <c r="BK913" s="102"/>
      <c r="BL913" s="102"/>
      <c r="BM913" s="102"/>
      <c r="BN913" s="102"/>
      <c r="BO913" s="101"/>
      <c r="BP913" s="102"/>
      <c r="BQ913" s="102"/>
      <c r="BR913" s="102"/>
      <c r="BS913" s="102"/>
      <c r="BT913" s="102"/>
      <c r="BU913" s="102"/>
      <c r="BV913" s="103"/>
      <c r="BW913" s="104"/>
      <c r="BX913" s="104"/>
      <c r="BY913" s="105"/>
      <c r="BZ913" s="106"/>
      <c r="CA913" s="107"/>
      <c r="CB913" s="108"/>
      <c r="CC913" s="109"/>
      <c r="CE913" s="105"/>
      <c r="CF913" s="110"/>
      <c r="CG913" s="99"/>
      <c r="CH913" s="100"/>
      <c r="CI913" s="101"/>
      <c r="CJ913" s="102"/>
      <c r="CK913" s="102"/>
      <c r="CL913" s="102"/>
      <c r="CM913" s="102"/>
      <c r="CN913" s="102"/>
      <c r="CO913" s="101"/>
      <c r="CP913" s="102"/>
      <c r="CQ913" s="102"/>
      <c r="CR913" s="102"/>
      <c r="CS913" s="102"/>
      <c r="CT913" s="102"/>
      <c r="CU913" s="102"/>
      <c r="CV913" s="103"/>
      <c r="CW913" s="104"/>
      <c r="CX913" s="104"/>
      <c r="CY913" s="105"/>
      <c r="CZ913" s="106"/>
      <c r="DA913" s="107"/>
      <c r="DB913" s="108"/>
      <c r="DC913" s="109"/>
      <c r="DE913" s="105"/>
      <c r="DF913" s="110"/>
      <c r="DG913" s="99"/>
      <c r="DH913" s="100"/>
      <c r="DI913" s="101"/>
      <c r="DJ913" s="102"/>
      <c r="DK913" s="102"/>
      <c r="DL913" s="102"/>
      <c r="DM913" s="102"/>
      <c r="DN913" s="102"/>
      <c r="DO913" s="101"/>
      <c r="DP913" s="102"/>
      <c r="DQ913" s="102"/>
      <c r="DR913" s="102"/>
      <c r="DS913" s="102"/>
      <c r="DT913" s="102"/>
      <c r="DU913" s="102"/>
      <c r="DV913" s="103"/>
      <c r="DW913" s="104"/>
      <c r="DX913" s="104"/>
      <c r="DY913" s="105"/>
      <c r="DZ913" s="106"/>
      <c r="EA913" s="107"/>
      <c r="EB913" s="108"/>
      <c r="EC913" s="109"/>
      <c r="EE913" s="105"/>
      <c r="EF913" s="110"/>
      <c r="EG913" s="99"/>
      <c r="EH913" s="100"/>
      <c r="EI913" s="101"/>
      <c r="EJ913" s="102"/>
      <c r="EK913" s="102"/>
      <c r="EL913" s="102"/>
      <c r="EM913" s="102"/>
      <c r="EN913" s="102"/>
      <c r="EO913" s="101"/>
      <c r="EP913" s="102"/>
      <c r="EQ913" s="102"/>
      <c r="ER913" s="102"/>
      <c r="ES913" s="102"/>
      <c r="ET913" s="102"/>
      <c r="EU913" s="102"/>
      <c r="EV913" s="103"/>
      <c r="EW913" s="104"/>
      <c r="EX913" s="104"/>
      <c r="EY913" s="105"/>
      <c r="EZ913" s="106"/>
      <c r="FA913" s="107"/>
      <c r="FB913" s="108"/>
      <c r="FC913" s="109"/>
      <c r="FE913" s="105"/>
      <c r="FF913" s="110"/>
      <c r="FG913" s="99"/>
      <c r="FH913" s="100"/>
      <c r="FI913" s="101"/>
      <c r="FJ913" s="102"/>
      <c r="FK913" s="102"/>
      <c r="FL913" s="102"/>
      <c r="FM913" s="102"/>
      <c r="FN913" s="102"/>
      <c r="FO913" s="101"/>
      <c r="FP913" s="102"/>
      <c r="FQ913" s="102"/>
      <c r="FR913" s="102"/>
      <c r="FS913" s="102"/>
      <c r="FT913" s="102"/>
      <c r="FU913" s="102"/>
      <c r="FV913" s="103"/>
      <c r="FW913" s="104"/>
      <c r="FX913" s="104"/>
      <c r="FY913" s="105"/>
      <c r="FZ913" s="106"/>
      <c r="GA913" s="107"/>
      <c r="GB913" s="108"/>
      <c r="GC913" s="109"/>
      <c r="GE913" s="105"/>
      <c r="GF913" s="110"/>
      <c r="GG913" s="99"/>
      <c r="GH913" s="100"/>
      <c r="GI913" s="101"/>
      <c r="GJ913" s="102"/>
      <c r="GK913" s="102"/>
      <c r="GL913" s="102"/>
      <c r="GM913" s="102"/>
      <c r="GN913" s="102"/>
      <c r="GO913" s="101"/>
      <c r="GP913" s="102"/>
      <c r="GQ913" s="102"/>
      <c r="GR913" s="102"/>
      <c r="GS913" s="102"/>
      <c r="GT913" s="102"/>
      <c r="GU913" s="102"/>
      <c r="GV913" s="103"/>
      <c r="GW913" s="104"/>
      <c r="GX913" s="104"/>
      <c r="GY913" s="105"/>
      <c r="GZ913" s="106"/>
      <c r="HA913" s="107"/>
      <c r="HB913" s="108"/>
      <c r="HC913" s="109"/>
      <c r="HE913" s="105"/>
      <c r="HF913" s="110"/>
      <c r="HG913" s="99"/>
      <c r="HH913" s="100"/>
      <c r="HI913" s="101"/>
      <c r="HJ913" s="102"/>
      <c r="HK913" s="102"/>
      <c r="HL913" s="102"/>
      <c r="HM913" s="102"/>
      <c r="HN913" s="102"/>
      <c r="HO913" s="101"/>
      <c r="HP913" s="102"/>
      <c r="HQ913" s="102"/>
      <c r="HR913" s="102"/>
      <c r="HS913" s="102"/>
      <c r="HT913" s="102"/>
      <c r="HU913" s="102"/>
      <c r="HV913" s="103"/>
      <c r="HW913" s="104"/>
      <c r="HX913" s="104"/>
      <c r="HY913" s="105"/>
      <c r="HZ913" s="106"/>
    </row>
    <row r="914" spans="1:234" ht="72" x14ac:dyDescent="0.25">
      <c r="A914" s="1">
        <v>25</v>
      </c>
      <c r="B914" s="44">
        <f t="shared" si="75"/>
        <v>70</v>
      </c>
      <c r="C914" s="37" t="s">
        <v>1419</v>
      </c>
      <c r="D914" s="38" t="s">
        <v>37</v>
      </c>
      <c r="E914" s="39">
        <v>1311</v>
      </c>
      <c r="F914" s="39">
        <v>1311</v>
      </c>
      <c r="G914" s="39">
        <v>1311</v>
      </c>
      <c r="H914" s="39">
        <v>1264.8140000000001</v>
      </c>
      <c r="I914" s="39">
        <v>1264.8140000000001</v>
      </c>
      <c r="J914" s="39">
        <v>0</v>
      </c>
      <c r="K914" s="41" t="s">
        <v>38</v>
      </c>
      <c r="L914" s="73" t="s">
        <v>1420</v>
      </c>
      <c r="M914" s="81"/>
      <c r="N914" s="102"/>
      <c r="O914" s="101"/>
      <c r="P914" s="102"/>
      <c r="Q914" s="102"/>
      <c r="R914" s="102"/>
      <c r="S914" s="102"/>
      <c r="T914" s="102"/>
      <c r="U914" s="102"/>
      <c r="V914" s="103"/>
      <c r="W914" s="104"/>
      <c r="X914" s="104"/>
      <c r="Y914" s="105"/>
      <c r="Z914" s="106"/>
      <c r="AA914" s="107"/>
      <c r="AB914" s="108"/>
      <c r="AC914" s="109"/>
      <c r="AE914" s="105"/>
      <c r="AF914" s="110"/>
      <c r="AG914" s="99"/>
      <c r="AH914" s="100"/>
      <c r="AI914" s="101"/>
      <c r="AJ914" s="102"/>
      <c r="AK914" s="102"/>
      <c r="AL914" s="102"/>
      <c r="AM914" s="102"/>
      <c r="AN914" s="102"/>
      <c r="AO914" s="101"/>
      <c r="AP914" s="102"/>
      <c r="AQ914" s="102"/>
      <c r="AR914" s="102"/>
      <c r="AS914" s="102"/>
      <c r="AT914" s="102"/>
      <c r="AU914" s="102"/>
      <c r="AV914" s="103"/>
      <c r="AW914" s="104"/>
      <c r="AX914" s="104"/>
      <c r="AY914" s="105"/>
      <c r="AZ914" s="106"/>
      <c r="BA914" s="107"/>
      <c r="BB914" s="108"/>
      <c r="BC914" s="109"/>
      <c r="BE914" s="105"/>
      <c r="BF914" s="110"/>
      <c r="BG914" s="99"/>
      <c r="BH914" s="100"/>
      <c r="BI914" s="101"/>
      <c r="BJ914" s="102"/>
      <c r="BK914" s="102"/>
      <c r="BL914" s="102"/>
      <c r="BM914" s="102"/>
      <c r="BN914" s="102"/>
      <c r="BO914" s="101"/>
      <c r="BP914" s="102"/>
      <c r="BQ914" s="102"/>
      <c r="BR914" s="102"/>
      <c r="BS914" s="102"/>
      <c r="BT914" s="102"/>
      <c r="BU914" s="102"/>
      <c r="BV914" s="103"/>
      <c r="BW914" s="104"/>
      <c r="BX914" s="104"/>
      <c r="BY914" s="105"/>
      <c r="BZ914" s="106"/>
      <c r="CA914" s="107"/>
      <c r="CB914" s="108"/>
      <c r="CC914" s="109"/>
      <c r="CE914" s="105"/>
      <c r="CF914" s="110"/>
      <c r="CG914" s="99"/>
      <c r="CH914" s="100"/>
      <c r="CI914" s="101"/>
      <c r="CJ914" s="102"/>
      <c r="CK914" s="102"/>
      <c r="CL914" s="102"/>
      <c r="CM914" s="102"/>
      <c r="CN914" s="102"/>
      <c r="CO914" s="101"/>
      <c r="CP914" s="102"/>
      <c r="CQ914" s="102"/>
      <c r="CR914" s="102"/>
      <c r="CS914" s="102"/>
      <c r="CT914" s="102"/>
      <c r="CU914" s="102"/>
      <c r="CV914" s="103"/>
      <c r="CW914" s="104"/>
      <c r="CX914" s="104"/>
      <c r="CY914" s="105"/>
      <c r="CZ914" s="106"/>
      <c r="DA914" s="107"/>
      <c r="DB914" s="108"/>
      <c r="DC914" s="109"/>
      <c r="DE914" s="105"/>
      <c r="DF914" s="110"/>
      <c r="DG914" s="99"/>
      <c r="DH914" s="100"/>
      <c r="DI914" s="101"/>
      <c r="DJ914" s="102"/>
      <c r="DK914" s="102"/>
      <c r="DL914" s="102"/>
      <c r="DM914" s="102"/>
      <c r="DN914" s="102"/>
      <c r="DO914" s="101"/>
      <c r="DP914" s="102"/>
      <c r="DQ914" s="102"/>
      <c r="DR914" s="102"/>
      <c r="DS914" s="102"/>
      <c r="DT914" s="102"/>
      <c r="DU914" s="102"/>
      <c r="DV914" s="103"/>
      <c r="DW914" s="104"/>
      <c r="DX914" s="104"/>
      <c r="DY914" s="105"/>
      <c r="DZ914" s="106"/>
      <c r="EA914" s="107"/>
      <c r="EB914" s="108"/>
      <c r="EC914" s="109"/>
      <c r="EE914" s="105"/>
      <c r="EF914" s="110"/>
      <c r="EG914" s="99"/>
      <c r="EH914" s="100"/>
      <c r="EI914" s="101"/>
      <c r="EJ914" s="102"/>
      <c r="EK914" s="102"/>
      <c r="EL914" s="102"/>
      <c r="EM914" s="102"/>
      <c r="EN914" s="102"/>
      <c r="EO914" s="101"/>
      <c r="EP914" s="102"/>
      <c r="EQ914" s="102"/>
      <c r="ER914" s="102"/>
      <c r="ES914" s="102"/>
      <c r="ET914" s="102"/>
      <c r="EU914" s="102"/>
      <c r="EV914" s="103"/>
      <c r="EW914" s="104"/>
      <c r="EX914" s="104"/>
      <c r="EY914" s="105"/>
      <c r="EZ914" s="106"/>
      <c r="FA914" s="107"/>
      <c r="FB914" s="108"/>
      <c r="FC914" s="109"/>
      <c r="FE914" s="105"/>
      <c r="FF914" s="110"/>
      <c r="FG914" s="99"/>
      <c r="FH914" s="100"/>
      <c r="FI914" s="101"/>
      <c r="FJ914" s="102"/>
      <c r="FK914" s="102"/>
      <c r="FL914" s="102"/>
      <c r="FM914" s="102"/>
      <c r="FN914" s="102"/>
      <c r="FO914" s="101"/>
      <c r="FP914" s="102"/>
      <c r="FQ914" s="102"/>
      <c r="FR914" s="102"/>
      <c r="FS914" s="102"/>
      <c r="FT914" s="102"/>
      <c r="FU914" s="102"/>
      <c r="FV914" s="103"/>
      <c r="FW914" s="104"/>
      <c r="FX914" s="104"/>
      <c r="FY914" s="105"/>
      <c r="FZ914" s="106"/>
      <c r="GA914" s="107"/>
      <c r="GB914" s="108"/>
      <c r="GC914" s="109"/>
      <c r="GE914" s="105"/>
      <c r="GF914" s="110"/>
      <c r="GG914" s="99"/>
      <c r="GH914" s="100"/>
      <c r="GI914" s="101"/>
      <c r="GJ914" s="102"/>
      <c r="GK914" s="102"/>
      <c r="GL914" s="102"/>
      <c r="GM914" s="102"/>
      <c r="GN914" s="102"/>
      <c r="GO914" s="101"/>
      <c r="GP914" s="102"/>
      <c r="GQ914" s="102"/>
      <c r="GR914" s="102"/>
      <c r="GS914" s="102"/>
      <c r="GT914" s="102"/>
      <c r="GU914" s="102"/>
      <c r="GV914" s="103"/>
      <c r="GW914" s="104"/>
      <c r="GX914" s="104"/>
      <c r="GY914" s="105"/>
      <c r="GZ914" s="106"/>
      <c r="HA914" s="107"/>
      <c r="HB914" s="108"/>
      <c r="HC914" s="109"/>
      <c r="HE914" s="105"/>
      <c r="HF914" s="110"/>
      <c r="HG914" s="99"/>
      <c r="HH914" s="100"/>
      <c r="HI914" s="101"/>
      <c r="HJ914" s="102"/>
      <c r="HK914" s="102"/>
      <c r="HL914" s="102"/>
      <c r="HM914" s="102"/>
      <c r="HN914" s="102"/>
      <c r="HO914" s="101"/>
      <c r="HP914" s="102"/>
      <c r="HQ914" s="102"/>
      <c r="HR914" s="102"/>
      <c r="HS914" s="102"/>
      <c r="HT914" s="102"/>
      <c r="HU914" s="102"/>
      <c r="HV914" s="103"/>
      <c r="HW914" s="104"/>
      <c r="HX914" s="104"/>
      <c r="HY914" s="105"/>
      <c r="HZ914" s="106"/>
    </row>
    <row r="915" spans="1:234" ht="108" x14ac:dyDescent="0.25">
      <c r="A915" s="1">
        <v>25</v>
      </c>
      <c r="B915" s="44">
        <f t="shared" si="75"/>
        <v>71</v>
      </c>
      <c r="C915" s="37" t="s">
        <v>1421</v>
      </c>
      <c r="D915" s="38" t="s">
        <v>37</v>
      </c>
      <c r="E915" s="39">
        <v>825.43899999999996</v>
      </c>
      <c r="F915" s="39">
        <v>825.43899999999996</v>
      </c>
      <c r="G915" s="39">
        <v>825.43899999999996</v>
      </c>
      <c r="H915" s="39">
        <v>111.371</v>
      </c>
      <c r="I915" s="39">
        <v>111.371</v>
      </c>
      <c r="J915" s="39">
        <v>0</v>
      </c>
      <c r="K915" s="41" t="s">
        <v>115</v>
      </c>
      <c r="L915" s="42"/>
      <c r="M915" s="43"/>
      <c r="N915" s="102"/>
      <c r="O915" s="101"/>
      <c r="P915" s="102"/>
      <c r="Q915" s="102"/>
      <c r="R915" s="102"/>
      <c r="S915" s="102"/>
      <c r="T915" s="102"/>
      <c r="U915" s="102"/>
      <c r="V915" s="103"/>
      <c r="W915" s="104"/>
      <c r="X915" s="104"/>
      <c r="Y915" s="105"/>
      <c r="Z915" s="106"/>
      <c r="AA915" s="107"/>
      <c r="AB915" s="108"/>
      <c r="AC915" s="109"/>
      <c r="AE915" s="105"/>
      <c r="AF915" s="110"/>
      <c r="AG915" s="99"/>
      <c r="AH915" s="100"/>
      <c r="AI915" s="101"/>
      <c r="AJ915" s="102"/>
      <c r="AK915" s="102"/>
      <c r="AL915" s="102"/>
      <c r="AM915" s="102"/>
      <c r="AN915" s="102"/>
      <c r="AO915" s="101"/>
      <c r="AP915" s="102"/>
      <c r="AQ915" s="102"/>
      <c r="AR915" s="102"/>
      <c r="AS915" s="102"/>
      <c r="AT915" s="102"/>
      <c r="AU915" s="102"/>
      <c r="AV915" s="103"/>
      <c r="AW915" s="104"/>
      <c r="AX915" s="104"/>
      <c r="AY915" s="105"/>
      <c r="AZ915" s="106"/>
      <c r="BA915" s="107"/>
      <c r="BB915" s="108"/>
      <c r="BC915" s="109"/>
      <c r="BE915" s="105"/>
      <c r="BF915" s="110"/>
      <c r="BG915" s="99"/>
      <c r="BH915" s="100"/>
      <c r="BI915" s="101"/>
      <c r="BJ915" s="102"/>
      <c r="BK915" s="102"/>
      <c r="BL915" s="102"/>
      <c r="BM915" s="102"/>
      <c r="BN915" s="102"/>
      <c r="BO915" s="101"/>
      <c r="BP915" s="102"/>
      <c r="BQ915" s="102"/>
      <c r="BR915" s="102"/>
      <c r="BS915" s="102"/>
      <c r="BT915" s="102"/>
      <c r="BU915" s="102"/>
      <c r="BV915" s="103"/>
      <c r="BW915" s="104"/>
      <c r="BX915" s="104"/>
      <c r="BY915" s="105"/>
      <c r="BZ915" s="106"/>
      <c r="CA915" s="107"/>
      <c r="CB915" s="108"/>
      <c r="CC915" s="109"/>
      <c r="CE915" s="105"/>
      <c r="CF915" s="110"/>
      <c r="CG915" s="99"/>
      <c r="CH915" s="100"/>
      <c r="CI915" s="101"/>
      <c r="CJ915" s="102"/>
      <c r="CK915" s="102"/>
      <c r="CL915" s="102"/>
      <c r="CM915" s="102"/>
      <c r="CN915" s="102"/>
      <c r="CO915" s="101"/>
      <c r="CP915" s="102"/>
      <c r="CQ915" s="102"/>
      <c r="CR915" s="102"/>
      <c r="CS915" s="102"/>
      <c r="CT915" s="102"/>
      <c r="CU915" s="102"/>
      <c r="CV915" s="103"/>
      <c r="CW915" s="104"/>
      <c r="CX915" s="104"/>
      <c r="CY915" s="105"/>
      <c r="CZ915" s="106"/>
      <c r="DA915" s="107"/>
      <c r="DB915" s="108"/>
      <c r="DC915" s="109"/>
      <c r="DE915" s="105"/>
      <c r="DF915" s="110"/>
      <c r="DG915" s="99"/>
      <c r="DH915" s="100"/>
      <c r="DI915" s="101"/>
      <c r="DJ915" s="102"/>
      <c r="DK915" s="102"/>
      <c r="DL915" s="102"/>
      <c r="DM915" s="102"/>
      <c r="DN915" s="102"/>
      <c r="DO915" s="101"/>
      <c r="DP915" s="102"/>
      <c r="DQ915" s="102"/>
      <c r="DR915" s="102"/>
      <c r="DS915" s="102"/>
      <c r="DT915" s="102"/>
      <c r="DU915" s="102"/>
      <c r="DV915" s="103"/>
      <c r="DW915" s="104"/>
      <c r="DX915" s="104"/>
      <c r="DY915" s="105"/>
      <c r="DZ915" s="106"/>
      <c r="EA915" s="107"/>
      <c r="EB915" s="108"/>
      <c r="EC915" s="109"/>
      <c r="EE915" s="105"/>
      <c r="EF915" s="110"/>
      <c r="EG915" s="99"/>
      <c r="EH915" s="100"/>
      <c r="EI915" s="101"/>
      <c r="EJ915" s="102"/>
      <c r="EK915" s="102"/>
      <c r="EL915" s="102"/>
      <c r="EM915" s="102"/>
      <c r="EN915" s="102"/>
      <c r="EO915" s="101"/>
      <c r="EP915" s="102"/>
      <c r="EQ915" s="102"/>
      <c r="ER915" s="102"/>
      <c r="ES915" s="102"/>
      <c r="ET915" s="102"/>
      <c r="EU915" s="102"/>
      <c r="EV915" s="103"/>
      <c r="EW915" s="104"/>
      <c r="EX915" s="104"/>
      <c r="EY915" s="105"/>
      <c r="EZ915" s="106"/>
      <c r="FA915" s="107"/>
      <c r="FB915" s="108"/>
      <c r="FC915" s="109"/>
      <c r="FE915" s="105"/>
      <c r="FF915" s="110"/>
      <c r="FG915" s="99"/>
      <c r="FH915" s="100"/>
      <c r="FI915" s="101"/>
      <c r="FJ915" s="102"/>
      <c r="FK915" s="102"/>
      <c r="FL915" s="102"/>
      <c r="FM915" s="102"/>
      <c r="FN915" s="102"/>
      <c r="FO915" s="101"/>
      <c r="FP915" s="102"/>
      <c r="FQ915" s="102"/>
      <c r="FR915" s="102"/>
      <c r="FS915" s="102"/>
      <c r="FT915" s="102"/>
      <c r="FU915" s="102"/>
      <c r="FV915" s="103"/>
      <c r="FW915" s="104"/>
      <c r="FX915" s="104"/>
      <c r="FY915" s="105"/>
      <c r="FZ915" s="106"/>
      <c r="GA915" s="107"/>
      <c r="GB915" s="108"/>
      <c r="GC915" s="109"/>
      <c r="GE915" s="105"/>
      <c r="GF915" s="110"/>
      <c r="GG915" s="99"/>
      <c r="GH915" s="100"/>
      <c r="GI915" s="101"/>
      <c r="GJ915" s="102"/>
      <c r="GK915" s="102"/>
      <c r="GL915" s="102"/>
      <c r="GM915" s="102"/>
      <c r="GN915" s="102"/>
      <c r="GO915" s="101"/>
      <c r="GP915" s="102"/>
      <c r="GQ915" s="102"/>
      <c r="GR915" s="102"/>
      <c r="GS915" s="102"/>
      <c r="GT915" s="102"/>
      <c r="GU915" s="102"/>
      <c r="GV915" s="103"/>
      <c r="GW915" s="104"/>
      <c r="GX915" s="104"/>
      <c r="GY915" s="105"/>
      <c r="GZ915" s="106"/>
      <c r="HA915" s="107"/>
      <c r="HB915" s="108"/>
      <c r="HC915" s="109"/>
      <c r="HE915" s="105"/>
      <c r="HF915" s="110"/>
      <c r="HG915" s="99"/>
      <c r="HH915" s="100"/>
      <c r="HI915" s="101"/>
      <c r="HJ915" s="102"/>
      <c r="HK915" s="102"/>
      <c r="HL915" s="102"/>
      <c r="HM915" s="102"/>
      <c r="HN915" s="102"/>
      <c r="HO915" s="101"/>
      <c r="HP915" s="102"/>
      <c r="HQ915" s="102"/>
      <c r="HR915" s="102"/>
      <c r="HS915" s="102"/>
      <c r="HT915" s="102"/>
      <c r="HU915" s="102"/>
      <c r="HV915" s="103"/>
      <c r="HW915" s="104"/>
      <c r="HX915" s="104"/>
      <c r="HY915" s="105"/>
      <c r="HZ915" s="106"/>
    </row>
    <row r="916" spans="1:234" ht="108" x14ac:dyDescent="0.25">
      <c r="A916" s="1">
        <v>25</v>
      </c>
      <c r="B916" s="44">
        <f t="shared" si="75"/>
        <v>72</v>
      </c>
      <c r="C916" s="37" t="s">
        <v>1422</v>
      </c>
      <c r="D916" s="38" t="s">
        <v>37</v>
      </c>
      <c r="E916" s="39">
        <v>139.63499999999999</v>
      </c>
      <c r="F916" s="39">
        <v>139.63499999999999</v>
      </c>
      <c r="G916" s="39">
        <v>139.63499999999999</v>
      </c>
      <c r="H916" s="39">
        <v>135.721</v>
      </c>
      <c r="I916" s="39">
        <v>135.721</v>
      </c>
      <c r="J916" s="39">
        <v>0</v>
      </c>
      <c r="K916" s="41" t="s">
        <v>38</v>
      </c>
      <c r="L916" s="73" t="s">
        <v>198</v>
      </c>
      <c r="M916" s="81"/>
      <c r="N916" s="102"/>
      <c r="O916" s="101"/>
      <c r="P916" s="102"/>
      <c r="Q916" s="102"/>
      <c r="R916" s="102"/>
      <c r="S916" s="102"/>
      <c r="T916" s="102"/>
      <c r="U916" s="102"/>
      <c r="V916" s="103"/>
      <c r="W916" s="104"/>
      <c r="X916" s="104"/>
      <c r="Y916" s="105"/>
      <c r="Z916" s="106"/>
      <c r="AA916" s="107"/>
      <c r="AB916" s="108"/>
      <c r="AC916" s="109"/>
      <c r="AE916" s="105"/>
      <c r="AF916" s="110"/>
      <c r="AG916" s="99"/>
      <c r="AH916" s="100"/>
      <c r="AI916" s="101"/>
      <c r="AJ916" s="102"/>
      <c r="AK916" s="102"/>
      <c r="AL916" s="102"/>
      <c r="AM916" s="102"/>
      <c r="AN916" s="102"/>
      <c r="AO916" s="101"/>
      <c r="AP916" s="102"/>
      <c r="AQ916" s="102"/>
      <c r="AR916" s="102"/>
      <c r="AS916" s="102"/>
      <c r="AT916" s="102"/>
      <c r="AU916" s="102"/>
      <c r="AV916" s="103"/>
      <c r="AW916" s="104"/>
      <c r="AX916" s="104"/>
      <c r="AY916" s="105"/>
      <c r="AZ916" s="106"/>
      <c r="BA916" s="107"/>
      <c r="BB916" s="108"/>
      <c r="BC916" s="109"/>
      <c r="BE916" s="105"/>
      <c r="BF916" s="110"/>
      <c r="BG916" s="99"/>
      <c r="BH916" s="100"/>
      <c r="BI916" s="101"/>
      <c r="BJ916" s="102"/>
      <c r="BK916" s="102"/>
      <c r="BL916" s="102"/>
      <c r="BM916" s="102"/>
      <c r="BN916" s="102"/>
      <c r="BO916" s="101"/>
      <c r="BP916" s="102"/>
      <c r="BQ916" s="102"/>
      <c r="BR916" s="102"/>
      <c r="BS916" s="102"/>
      <c r="BT916" s="102"/>
      <c r="BU916" s="102"/>
      <c r="BV916" s="103"/>
      <c r="BW916" s="104"/>
      <c r="BX916" s="104"/>
      <c r="BY916" s="105"/>
      <c r="BZ916" s="106"/>
      <c r="CA916" s="107"/>
      <c r="CB916" s="108"/>
      <c r="CC916" s="109"/>
      <c r="CE916" s="105"/>
      <c r="CF916" s="110"/>
      <c r="CG916" s="99"/>
      <c r="CH916" s="100"/>
      <c r="CI916" s="101"/>
      <c r="CJ916" s="102"/>
      <c r="CK916" s="102"/>
      <c r="CL916" s="102"/>
      <c r="CM916" s="102"/>
      <c r="CN916" s="102"/>
      <c r="CO916" s="101"/>
      <c r="CP916" s="102"/>
      <c r="CQ916" s="102"/>
      <c r="CR916" s="102"/>
      <c r="CS916" s="102"/>
      <c r="CT916" s="102"/>
      <c r="CU916" s="102"/>
      <c r="CV916" s="103"/>
      <c r="CW916" s="104"/>
      <c r="CX916" s="104"/>
      <c r="CY916" s="105"/>
      <c r="CZ916" s="106"/>
      <c r="DA916" s="107"/>
      <c r="DB916" s="108"/>
      <c r="DC916" s="109"/>
      <c r="DE916" s="105"/>
      <c r="DF916" s="110"/>
      <c r="DG916" s="99"/>
      <c r="DH916" s="100"/>
      <c r="DI916" s="101"/>
      <c r="DJ916" s="102"/>
      <c r="DK916" s="102"/>
      <c r="DL916" s="102"/>
      <c r="DM916" s="102"/>
      <c r="DN916" s="102"/>
      <c r="DO916" s="101"/>
      <c r="DP916" s="102"/>
      <c r="DQ916" s="102"/>
      <c r="DR916" s="102"/>
      <c r="DS916" s="102"/>
      <c r="DT916" s="102"/>
      <c r="DU916" s="102"/>
      <c r="DV916" s="103"/>
      <c r="DW916" s="104"/>
      <c r="DX916" s="104"/>
      <c r="DY916" s="105"/>
      <c r="DZ916" s="106"/>
      <c r="EA916" s="107"/>
      <c r="EB916" s="108"/>
      <c r="EC916" s="109"/>
      <c r="EE916" s="105"/>
      <c r="EF916" s="110"/>
      <c r="EG916" s="99"/>
      <c r="EH916" s="100"/>
      <c r="EI916" s="101"/>
      <c r="EJ916" s="102"/>
      <c r="EK916" s="102"/>
      <c r="EL916" s="102"/>
      <c r="EM916" s="102"/>
      <c r="EN916" s="102"/>
      <c r="EO916" s="101"/>
      <c r="EP916" s="102"/>
      <c r="EQ916" s="102"/>
      <c r="ER916" s="102"/>
      <c r="ES916" s="102"/>
      <c r="ET916" s="102"/>
      <c r="EU916" s="102"/>
      <c r="EV916" s="103"/>
      <c r="EW916" s="104"/>
      <c r="EX916" s="104"/>
      <c r="EY916" s="105"/>
      <c r="EZ916" s="106"/>
      <c r="FA916" s="107"/>
      <c r="FB916" s="108"/>
      <c r="FC916" s="109"/>
      <c r="FE916" s="105"/>
      <c r="FF916" s="110"/>
      <c r="FG916" s="99"/>
      <c r="FH916" s="100"/>
      <c r="FI916" s="101"/>
      <c r="FJ916" s="102"/>
      <c r="FK916" s="102"/>
      <c r="FL916" s="102"/>
      <c r="FM916" s="102"/>
      <c r="FN916" s="102"/>
      <c r="FO916" s="101"/>
      <c r="FP916" s="102"/>
      <c r="FQ916" s="102"/>
      <c r="FR916" s="102"/>
      <c r="FS916" s="102"/>
      <c r="FT916" s="102"/>
      <c r="FU916" s="102"/>
      <c r="FV916" s="103"/>
      <c r="FW916" s="104"/>
      <c r="FX916" s="104"/>
      <c r="FY916" s="105"/>
      <c r="FZ916" s="106"/>
      <c r="GA916" s="107"/>
      <c r="GB916" s="108"/>
      <c r="GC916" s="109"/>
      <c r="GE916" s="105"/>
      <c r="GF916" s="110"/>
      <c r="GG916" s="99"/>
      <c r="GH916" s="100"/>
      <c r="GI916" s="101"/>
      <c r="GJ916" s="102"/>
      <c r="GK916" s="102"/>
      <c r="GL916" s="102"/>
      <c r="GM916" s="102"/>
      <c r="GN916" s="102"/>
      <c r="GO916" s="101"/>
      <c r="GP916" s="102"/>
      <c r="GQ916" s="102"/>
      <c r="GR916" s="102"/>
      <c r="GS916" s="102"/>
      <c r="GT916" s="102"/>
      <c r="GU916" s="102"/>
      <c r="GV916" s="103"/>
      <c r="GW916" s="104"/>
      <c r="GX916" s="104"/>
      <c r="GY916" s="105"/>
      <c r="GZ916" s="106"/>
      <c r="HA916" s="107"/>
      <c r="HB916" s="108"/>
      <c r="HC916" s="109"/>
      <c r="HE916" s="105"/>
      <c r="HF916" s="110"/>
      <c r="HG916" s="99"/>
      <c r="HH916" s="100"/>
      <c r="HI916" s="101"/>
      <c r="HJ916" s="102"/>
      <c r="HK916" s="102"/>
      <c r="HL916" s="102"/>
      <c r="HM916" s="102"/>
      <c r="HN916" s="102"/>
      <c r="HO916" s="101"/>
      <c r="HP916" s="102"/>
      <c r="HQ916" s="102"/>
      <c r="HR916" s="102"/>
      <c r="HS916" s="102"/>
      <c r="HT916" s="102"/>
      <c r="HU916" s="102"/>
      <c r="HV916" s="103"/>
      <c r="HW916" s="104"/>
      <c r="HX916" s="104"/>
      <c r="HY916" s="105"/>
      <c r="HZ916" s="106"/>
    </row>
    <row r="917" spans="1:234" ht="108" x14ac:dyDescent="0.25">
      <c r="A917" s="1">
        <v>25</v>
      </c>
      <c r="B917" s="44">
        <f t="shared" si="75"/>
        <v>73</v>
      </c>
      <c r="C917" s="37" t="s">
        <v>1423</v>
      </c>
      <c r="D917" s="38" t="s">
        <v>37</v>
      </c>
      <c r="E917" s="39">
        <v>527.30799999999999</v>
      </c>
      <c r="F917" s="39">
        <v>527.30799999999999</v>
      </c>
      <c r="G917" s="39">
        <v>527.30799999999999</v>
      </c>
      <c r="H917" s="39">
        <v>368.95800000000003</v>
      </c>
      <c r="I917" s="39">
        <v>368.95800000000003</v>
      </c>
      <c r="J917" s="39">
        <v>0</v>
      </c>
      <c r="K917" s="41" t="s">
        <v>115</v>
      </c>
      <c r="L917" s="42"/>
      <c r="M917" s="43"/>
      <c r="N917" s="102"/>
      <c r="O917" s="101"/>
      <c r="P917" s="102"/>
      <c r="Q917" s="102"/>
      <c r="R917" s="102"/>
      <c r="S917" s="102"/>
      <c r="T917" s="102"/>
      <c r="U917" s="102"/>
      <c r="V917" s="103"/>
      <c r="W917" s="104"/>
      <c r="X917" s="104"/>
      <c r="Y917" s="105"/>
      <c r="Z917" s="106"/>
      <c r="AA917" s="107"/>
      <c r="AB917" s="108"/>
      <c r="AC917" s="109"/>
      <c r="AE917" s="105"/>
      <c r="AF917" s="110"/>
      <c r="AG917" s="99"/>
      <c r="AH917" s="100"/>
      <c r="AI917" s="101"/>
      <c r="AJ917" s="102"/>
      <c r="AK917" s="102"/>
      <c r="AL917" s="102"/>
      <c r="AM917" s="102"/>
      <c r="AN917" s="102"/>
      <c r="AO917" s="101"/>
      <c r="AP917" s="102"/>
      <c r="AQ917" s="102"/>
      <c r="AR917" s="102"/>
      <c r="AS917" s="102"/>
      <c r="AT917" s="102"/>
      <c r="AU917" s="102"/>
      <c r="AV917" s="103"/>
      <c r="AW917" s="104"/>
      <c r="AX917" s="104"/>
      <c r="AY917" s="105"/>
      <c r="AZ917" s="106"/>
      <c r="BA917" s="107"/>
      <c r="BB917" s="108"/>
      <c r="BC917" s="109"/>
      <c r="BE917" s="105"/>
      <c r="BF917" s="110"/>
      <c r="BG917" s="99"/>
      <c r="BH917" s="100"/>
      <c r="BI917" s="101"/>
      <c r="BJ917" s="102"/>
      <c r="BK917" s="102"/>
      <c r="BL917" s="102"/>
      <c r="BM917" s="102"/>
      <c r="BN917" s="102"/>
      <c r="BO917" s="101"/>
      <c r="BP917" s="102"/>
      <c r="BQ917" s="102"/>
      <c r="BR917" s="102"/>
      <c r="BS917" s="102"/>
      <c r="BT917" s="102"/>
      <c r="BU917" s="102"/>
      <c r="BV917" s="103"/>
      <c r="BW917" s="104"/>
      <c r="BX917" s="104"/>
      <c r="BY917" s="105"/>
      <c r="BZ917" s="106"/>
      <c r="CA917" s="107"/>
      <c r="CB917" s="108"/>
      <c r="CC917" s="109"/>
      <c r="CE917" s="105"/>
      <c r="CF917" s="110"/>
      <c r="CG917" s="99"/>
      <c r="CH917" s="100"/>
      <c r="CI917" s="101"/>
      <c r="CJ917" s="102"/>
      <c r="CK917" s="102"/>
      <c r="CL917" s="102"/>
      <c r="CM917" s="102"/>
      <c r="CN917" s="102"/>
      <c r="CO917" s="101"/>
      <c r="CP917" s="102"/>
      <c r="CQ917" s="102"/>
      <c r="CR917" s="102"/>
      <c r="CS917" s="102"/>
      <c r="CT917" s="102"/>
      <c r="CU917" s="102"/>
      <c r="CV917" s="103"/>
      <c r="CW917" s="104"/>
      <c r="CX917" s="104"/>
      <c r="CY917" s="105"/>
      <c r="CZ917" s="106"/>
      <c r="DA917" s="107"/>
      <c r="DB917" s="108"/>
      <c r="DC917" s="109"/>
      <c r="DE917" s="105"/>
      <c r="DF917" s="110"/>
      <c r="DG917" s="99"/>
      <c r="DH917" s="100"/>
      <c r="DI917" s="101"/>
      <c r="DJ917" s="102"/>
      <c r="DK917" s="102"/>
      <c r="DL917" s="102"/>
      <c r="DM917" s="102"/>
      <c r="DN917" s="102"/>
      <c r="DO917" s="101"/>
      <c r="DP917" s="102"/>
      <c r="DQ917" s="102"/>
      <c r="DR917" s="102"/>
      <c r="DS917" s="102"/>
      <c r="DT917" s="102"/>
      <c r="DU917" s="102"/>
      <c r="DV917" s="103"/>
      <c r="DW917" s="104"/>
      <c r="DX917" s="104"/>
      <c r="DY917" s="105"/>
      <c r="DZ917" s="106"/>
      <c r="EA917" s="107"/>
      <c r="EB917" s="108"/>
      <c r="EC917" s="109"/>
      <c r="EE917" s="105"/>
      <c r="EF917" s="110"/>
      <c r="EG917" s="99"/>
      <c r="EH917" s="100"/>
      <c r="EI917" s="101"/>
      <c r="EJ917" s="102"/>
      <c r="EK917" s="102"/>
      <c r="EL917" s="102"/>
      <c r="EM917" s="102"/>
      <c r="EN917" s="102"/>
      <c r="EO917" s="101"/>
      <c r="EP917" s="102"/>
      <c r="EQ917" s="102"/>
      <c r="ER917" s="102"/>
      <c r="ES917" s="102"/>
      <c r="ET917" s="102"/>
      <c r="EU917" s="102"/>
      <c r="EV917" s="103"/>
      <c r="EW917" s="104"/>
      <c r="EX917" s="104"/>
      <c r="EY917" s="105"/>
      <c r="EZ917" s="106"/>
      <c r="FA917" s="107"/>
      <c r="FB917" s="108"/>
      <c r="FC917" s="109"/>
      <c r="FE917" s="105"/>
      <c r="FF917" s="110"/>
      <c r="FG917" s="99"/>
      <c r="FH917" s="100"/>
      <c r="FI917" s="101"/>
      <c r="FJ917" s="102"/>
      <c r="FK917" s="102"/>
      <c r="FL917" s="102"/>
      <c r="FM917" s="102"/>
      <c r="FN917" s="102"/>
      <c r="FO917" s="101"/>
      <c r="FP917" s="102"/>
      <c r="FQ917" s="102"/>
      <c r="FR917" s="102"/>
      <c r="FS917" s="102"/>
      <c r="FT917" s="102"/>
      <c r="FU917" s="102"/>
      <c r="FV917" s="103"/>
      <c r="FW917" s="104"/>
      <c r="FX917" s="104"/>
      <c r="FY917" s="105"/>
      <c r="FZ917" s="106"/>
      <c r="GA917" s="107"/>
      <c r="GB917" s="108"/>
      <c r="GC917" s="109"/>
      <c r="GE917" s="105"/>
      <c r="GF917" s="110"/>
      <c r="GG917" s="99"/>
      <c r="GH917" s="100"/>
      <c r="GI917" s="101"/>
      <c r="GJ917" s="102"/>
      <c r="GK917" s="102"/>
      <c r="GL917" s="102"/>
      <c r="GM917" s="102"/>
      <c r="GN917" s="102"/>
      <c r="GO917" s="101"/>
      <c r="GP917" s="102"/>
      <c r="GQ917" s="102"/>
      <c r="GR917" s="102"/>
      <c r="GS917" s="102"/>
      <c r="GT917" s="102"/>
      <c r="GU917" s="102"/>
      <c r="GV917" s="103"/>
      <c r="GW917" s="104"/>
      <c r="GX917" s="104"/>
      <c r="GY917" s="105"/>
      <c r="GZ917" s="106"/>
      <c r="HA917" s="107"/>
      <c r="HB917" s="108"/>
      <c r="HC917" s="109"/>
      <c r="HE917" s="105"/>
      <c r="HF917" s="110"/>
      <c r="HG917" s="99"/>
      <c r="HH917" s="100"/>
      <c r="HI917" s="101"/>
      <c r="HJ917" s="102"/>
      <c r="HK917" s="102"/>
      <c r="HL917" s="102"/>
      <c r="HM917" s="102"/>
      <c r="HN917" s="102"/>
      <c r="HO917" s="101"/>
      <c r="HP917" s="102"/>
      <c r="HQ917" s="102"/>
      <c r="HR917" s="102"/>
      <c r="HS917" s="102"/>
      <c r="HT917" s="102"/>
      <c r="HU917" s="102"/>
      <c r="HV917" s="103"/>
      <c r="HW917" s="104"/>
      <c r="HX917" s="104"/>
      <c r="HY917" s="105"/>
      <c r="HZ917" s="106"/>
    </row>
    <row r="918" spans="1:234" ht="108" x14ac:dyDescent="0.25">
      <c r="A918" s="1">
        <v>25</v>
      </c>
      <c r="B918" s="44">
        <f t="shared" si="75"/>
        <v>74</v>
      </c>
      <c r="C918" s="37" t="s">
        <v>1424</v>
      </c>
      <c r="D918" s="38" t="s">
        <v>37</v>
      </c>
      <c r="E918" s="39">
        <v>1257.568</v>
      </c>
      <c r="F918" s="39">
        <v>1257.568</v>
      </c>
      <c r="G918" s="39">
        <v>1257.568</v>
      </c>
      <c r="H918" s="39">
        <v>655.31700000000001</v>
      </c>
      <c r="I918" s="39">
        <v>655.31700000000001</v>
      </c>
      <c r="J918" s="39">
        <v>0</v>
      </c>
      <c r="K918" s="41" t="s">
        <v>38</v>
      </c>
      <c r="L918" s="73" t="s">
        <v>1425</v>
      </c>
      <c r="M918" s="81"/>
      <c r="N918" s="102"/>
      <c r="O918" s="101"/>
      <c r="P918" s="102"/>
      <c r="Q918" s="102"/>
      <c r="R918" s="102"/>
      <c r="S918" s="102"/>
      <c r="T918" s="102"/>
      <c r="U918" s="102"/>
      <c r="V918" s="103"/>
      <c r="W918" s="104"/>
      <c r="X918" s="104"/>
      <c r="Y918" s="105"/>
      <c r="Z918" s="106"/>
      <c r="AA918" s="107"/>
      <c r="AB918" s="108"/>
      <c r="AC918" s="109"/>
      <c r="AE918" s="105"/>
      <c r="AF918" s="110"/>
      <c r="AG918" s="99"/>
      <c r="AH918" s="100"/>
      <c r="AI918" s="101"/>
      <c r="AJ918" s="102"/>
      <c r="AK918" s="102"/>
      <c r="AL918" s="102"/>
      <c r="AM918" s="102"/>
      <c r="AN918" s="102"/>
      <c r="AO918" s="101"/>
      <c r="AP918" s="102"/>
      <c r="AQ918" s="102"/>
      <c r="AR918" s="102"/>
      <c r="AS918" s="102"/>
      <c r="AT918" s="102"/>
      <c r="AU918" s="102"/>
      <c r="AV918" s="103"/>
      <c r="AW918" s="104"/>
      <c r="AX918" s="104"/>
      <c r="AY918" s="105"/>
      <c r="AZ918" s="106"/>
      <c r="BA918" s="107"/>
      <c r="BB918" s="108"/>
      <c r="BC918" s="109"/>
      <c r="BE918" s="105"/>
      <c r="BF918" s="110"/>
      <c r="BG918" s="99"/>
      <c r="BH918" s="100"/>
      <c r="BI918" s="101"/>
      <c r="BJ918" s="102"/>
      <c r="BK918" s="102"/>
      <c r="BL918" s="102"/>
      <c r="BM918" s="102"/>
      <c r="BN918" s="102"/>
      <c r="BO918" s="101"/>
      <c r="BP918" s="102"/>
      <c r="BQ918" s="102"/>
      <c r="BR918" s="102"/>
      <c r="BS918" s="102"/>
      <c r="BT918" s="102"/>
      <c r="BU918" s="102"/>
      <c r="BV918" s="103"/>
      <c r="BW918" s="104"/>
      <c r="BX918" s="104"/>
      <c r="BY918" s="105"/>
      <c r="BZ918" s="106"/>
      <c r="CA918" s="107"/>
      <c r="CB918" s="108"/>
      <c r="CC918" s="109"/>
      <c r="CE918" s="105"/>
      <c r="CF918" s="110"/>
      <c r="CG918" s="99"/>
      <c r="CH918" s="100"/>
      <c r="CI918" s="101"/>
      <c r="CJ918" s="102"/>
      <c r="CK918" s="102"/>
      <c r="CL918" s="102"/>
      <c r="CM918" s="102"/>
      <c r="CN918" s="102"/>
      <c r="CO918" s="101"/>
      <c r="CP918" s="102"/>
      <c r="CQ918" s="102"/>
      <c r="CR918" s="102"/>
      <c r="CS918" s="102"/>
      <c r="CT918" s="102"/>
      <c r="CU918" s="102"/>
      <c r="CV918" s="103"/>
      <c r="CW918" s="104"/>
      <c r="CX918" s="104"/>
      <c r="CY918" s="105"/>
      <c r="CZ918" s="106"/>
      <c r="DA918" s="107"/>
      <c r="DB918" s="108"/>
      <c r="DC918" s="109"/>
      <c r="DE918" s="105"/>
      <c r="DF918" s="110"/>
      <c r="DG918" s="99"/>
      <c r="DH918" s="100"/>
      <c r="DI918" s="101"/>
      <c r="DJ918" s="102"/>
      <c r="DK918" s="102"/>
      <c r="DL918" s="102"/>
      <c r="DM918" s="102"/>
      <c r="DN918" s="102"/>
      <c r="DO918" s="101"/>
      <c r="DP918" s="102"/>
      <c r="DQ918" s="102"/>
      <c r="DR918" s="102"/>
      <c r="DS918" s="102"/>
      <c r="DT918" s="102"/>
      <c r="DU918" s="102"/>
      <c r="DV918" s="103"/>
      <c r="DW918" s="104"/>
      <c r="DX918" s="104"/>
      <c r="DY918" s="105"/>
      <c r="DZ918" s="106"/>
      <c r="EA918" s="107"/>
      <c r="EB918" s="108"/>
      <c r="EC918" s="109"/>
      <c r="EE918" s="105"/>
      <c r="EF918" s="110"/>
      <c r="EG918" s="99"/>
      <c r="EH918" s="100"/>
      <c r="EI918" s="101"/>
      <c r="EJ918" s="102"/>
      <c r="EK918" s="102"/>
      <c r="EL918" s="102"/>
      <c r="EM918" s="102"/>
      <c r="EN918" s="102"/>
      <c r="EO918" s="101"/>
      <c r="EP918" s="102"/>
      <c r="EQ918" s="102"/>
      <c r="ER918" s="102"/>
      <c r="ES918" s="102"/>
      <c r="ET918" s="102"/>
      <c r="EU918" s="102"/>
      <c r="EV918" s="103"/>
      <c r="EW918" s="104"/>
      <c r="EX918" s="104"/>
      <c r="EY918" s="105"/>
      <c r="EZ918" s="106"/>
      <c r="FA918" s="107"/>
      <c r="FB918" s="108"/>
      <c r="FC918" s="109"/>
      <c r="FE918" s="105"/>
      <c r="FF918" s="110"/>
      <c r="FG918" s="99"/>
      <c r="FH918" s="100"/>
      <c r="FI918" s="101"/>
      <c r="FJ918" s="102"/>
      <c r="FK918" s="102"/>
      <c r="FL918" s="102"/>
      <c r="FM918" s="102"/>
      <c r="FN918" s="102"/>
      <c r="FO918" s="101"/>
      <c r="FP918" s="102"/>
      <c r="FQ918" s="102"/>
      <c r="FR918" s="102"/>
      <c r="FS918" s="102"/>
      <c r="FT918" s="102"/>
      <c r="FU918" s="102"/>
      <c r="FV918" s="103"/>
      <c r="FW918" s="104"/>
      <c r="FX918" s="104"/>
      <c r="FY918" s="105"/>
      <c r="FZ918" s="106"/>
      <c r="GA918" s="107"/>
      <c r="GB918" s="108"/>
      <c r="GC918" s="109"/>
      <c r="GE918" s="105"/>
      <c r="GF918" s="110"/>
      <c r="GG918" s="99"/>
      <c r="GH918" s="100"/>
      <c r="GI918" s="101"/>
      <c r="GJ918" s="102"/>
      <c r="GK918" s="102"/>
      <c r="GL918" s="102"/>
      <c r="GM918" s="102"/>
      <c r="GN918" s="102"/>
      <c r="GO918" s="101"/>
      <c r="GP918" s="102"/>
      <c r="GQ918" s="102"/>
      <c r="GR918" s="102"/>
      <c r="GS918" s="102"/>
      <c r="GT918" s="102"/>
      <c r="GU918" s="102"/>
      <c r="GV918" s="103"/>
      <c r="GW918" s="104"/>
      <c r="GX918" s="104"/>
      <c r="GY918" s="105"/>
      <c r="GZ918" s="106"/>
      <c r="HA918" s="107"/>
      <c r="HB918" s="108"/>
      <c r="HC918" s="109"/>
      <c r="HE918" s="105"/>
      <c r="HF918" s="110"/>
      <c r="HG918" s="99"/>
      <c r="HH918" s="100"/>
      <c r="HI918" s="101"/>
      <c r="HJ918" s="102"/>
      <c r="HK918" s="102"/>
      <c r="HL918" s="102"/>
      <c r="HM918" s="102"/>
      <c r="HN918" s="102"/>
      <c r="HO918" s="101"/>
      <c r="HP918" s="102"/>
      <c r="HQ918" s="102"/>
      <c r="HR918" s="102"/>
      <c r="HS918" s="102"/>
      <c r="HT918" s="102"/>
      <c r="HU918" s="102"/>
      <c r="HV918" s="103"/>
      <c r="HW918" s="104"/>
      <c r="HX918" s="104"/>
      <c r="HY918" s="105"/>
      <c r="HZ918" s="106"/>
    </row>
    <row r="919" spans="1:234" ht="90.75" thickBot="1" x14ac:dyDescent="0.3">
      <c r="A919" s="1">
        <v>25</v>
      </c>
      <c r="B919" s="82">
        <f t="shared" si="75"/>
        <v>75</v>
      </c>
      <c r="C919" s="51" t="s">
        <v>1426</v>
      </c>
      <c r="D919" s="52" t="s">
        <v>33</v>
      </c>
      <c r="E919" s="85">
        <v>1084.405</v>
      </c>
      <c r="F919" s="85">
        <v>1084.405</v>
      </c>
      <c r="G919" s="85">
        <v>1084.405</v>
      </c>
      <c r="H919" s="85">
        <v>1084.405</v>
      </c>
      <c r="I919" s="85">
        <v>1084.405</v>
      </c>
      <c r="J919" s="85">
        <v>0</v>
      </c>
      <c r="K919" s="41" t="s">
        <v>38</v>
      </c>
      <c r="L919" s="111" t="s">
        <v>175</v>
      </c>
      <c r="M919" s="81"/>
      <c r="N919" s="102"/>
      <c r="O919" s="101"/>
      <c r="P919" s="102"/>
      <c r="Q919" s="102"/>
      <c r="R919" s="102"/>
      <c r="S919" s="102"/>
      <c r="T919" s="102"/>
      <c r="U919" s="102"/>
      <c r="V919" s="103"/>
      <c r="W919" s="104"/>
      <c r="X919" s="104"/>
      <c r="Y919" s="105"/>
      <c r="Z919" s="106"/>
      <c r="AA919" s="107"/>
      <c r="AB919" s="108"/>
      <c r="AC919" s="109"/>
      <c r="AE919" s="105"/>
      <c r="AF919" s="110"/>
      <c r="AG919" s="99"/>
      <c r="AH919" s="100"/>
      <c r="AI919" s="101"/>
      <c r="AJ919" s="102"/>
      <c r="AK919" s="102"/>
      <c r="AL919" s="102"/>
      <c r="AM919" s="102"/>
      <c r="AN919" s="102"/>
      <c r="AO919" s="101"/>
      <c r="AP919" s="102"/>
      <c r="AQ919" s="102"/>
      <c r="AR919" s="102"/>
      <c r="AS919" s="102"/>
      <c r="AT919" s="102"/>
      <c r="AU919" s="102"/>
      <c r="AV919" s="103"/>
      <c r="AW919" s="104"/>
      <c r="AX919" s="104"/>
      <c r="AY919" s="105"/>
      <c r="AZ919" s="106"/>
      <c r="BA919" s="107"/>
      <c r="BB919" s="108"/>
      <c r="BC919" s="109"/>
      <c r="BE919" s="105"/>
      <c r="BF919" s="110"/>
      <c r="BG919" s="99"/>
      <c r="BH919" s="100"/>
      <c r="BI919" s="101"/>
      <c r="BJ919" s="102"/>
      <c r="BK919" s="102"/>
      <c r="BL919" s="102"/>
      <c r="BM919" s="102"/>
      <c r="BN919" s="102"/>
      <c r="BO919" s="101"/>
      <c r="BP919" s="102"/>
      <c r="BQ919" s="102"/>
      <c r="BR919" s="102"/>
      <c r="BS919" s="102"/>
      <c r="BT919" s="102"/>
      <c r="BU919" s="102"/>
      <c r="BV919" s="103"/>
      <c r="BW919" s="104"/>
      <c r="BX919" s="104"/>
      <c r="BY919" s="105"/>
      <c r="BZ919" s="106"/>
      <c r="CA919" s="107"/>
      <c r="CB919" s="108"/>
      <c r="CC919" s="109"/>
      <c r="CE919" s="105"/>
      <c r="CF919" s="110"/>
      <c r="CG919" s="99"/>
      <c r="CH919" s="100"/>
      <c r="CI919" s="101"/>
      <c r="CJ919" s="102"/>
      <c r="CK919" s="102"/>
      <c r="CL919" s="102"/>
      <c r="CM919" s="102"/>
      <c r="CN919" s="102"/>
      <c r="CO919" s="101"/>
      <c r="CP919" s="102"/>
      <c r="CQ919" s="102"/>
      <c r="CR919" s="102"/>
      <c r="CS919" s="102"/>
      <c r="CT919" s="102"/>
      <c r="CU919" s="102"/>
      <c r="CV919" s="103"/>
      <c r="CW919" s="104"/>
      <c r="CX919" s="104"/>
      <c r="CY919" s="105"/>
      <c r="CZ919" s="106"/>
      <c r="DA919" s="107"/>
      <c r="DB919" s="108"/>
      <c r="DC919" s="109"/>
      <c r="DE919" s="105"/>
      <c r="DF919" s="110"/>
      <c r="DG919" s="99"/>
      <c r="DH919" s="100"/>
      <c r="DI919" s="101"/>
      <c r="DJ919" s="102"/>
      <c r="DK919" s="102"/>
      <c r="DL919" s="102"/>
      <c r="DM919" s="102"/>
      <c r="DN919" s="102"/>
      <c r="DO919" s="101"/>
      <c r="DP919" s="102"/>
      <c r="DQ919" s="102"/>
      <c r="DR919" s="102"/>
      <c r="DS919" s="102"/>
      <c r="DT919" s="102"/>
      <c r="DU919" s="102"/>
      <c r="DV919" s="103"/>
      <c r="DW919" s="104"/>
      <c r="DX919" s="104"/>
      <c r="DY919" s="105"/>
      <c r="DZ919" s="106"/>
      <c r="EA919" s="107"/>
      <c r="EB919" s="108"/>
      <c r="EC919" s="109"/>
      <c r="EE919" s="105"/>
      <c r="EF919" s="110"/>
      <c r="EG919" s="99"/>
      <c r="EH919" s="100"/>
      <c r="EI919" s="101"/>
      <c r="EJ919" s="102"/>
      <c r="EK919" s="102"/>
      <c r="EL919" s="102"/>
      <c r="EM919" s="102"/>
      <c r="EN919" s="102"/>
      <c r="EO919" s="101"/>
      <c r="EP919" s="102"/>
      <c r="EQ919" s="102"/>
      <c r="ER919" s="102"/>
      <c r="ES919" s="102"/>
      <c r="ET919" s="102"/>
      <c r="EU919" s="102"/>
      <c r="EV919" s="103"/>
      <c r="EW919" s="104"/>
      <c r="EX919" s="104"/>
      <c r="EY919" s="105"/>
      <c r="EZ919" s="106"/>
      <c r="FA919" s="107"/>
      <c r="FB919" s="108"/>
      <c r="FC919" s="109"/>
      <c r="FE919" s="105"/>
      <c r="FF919" s="110"/>
      <c r="FG919" s="99"/>
      <c r="FH919" s="100"/>
      <c r="FI919" s="101"/>
      <c r="FJ919" s="102"/>
      <c r="FK919" s="102"/>
      <c r="FL919" s="102"/>
      <c r="FM919" s="102"/>
      <c r="FN919" s="102"/>
      <c r="FO919" s="101"/>
      <c r="FP919" s="102"/>
      <c r="FQ919" s="102"/>
      <c r="FR919" s="102"/>
      <c r="FS919" s="102"/>
      <c r="FT919" s="102"/>
      <c r="FU919" s="102"/>
      <c r="FV919" s="103"/>
      <c r="FW919" s="104"/>
      <c r="FX919" s="104"/>
      <c r="FY919" s="105"/>
      <c r="FZ919" s="106"/>
      <c r="GA919" s="107"/>
      <c r="GB919" s="108"/>
      <c r="GC919" s="109"/>
      <c r="GE919" s="105"/>
      <c r="GF919" s="110"/>
      <c r="GG919" s="99"/>
      <c r="GH919" s="100"/>
      <c r="GI919" s="101"/>
      <c r="GJ919" s="102"/>
      <c r="GK919" s="102"/>
      <c r="GL919" s="102"/>
      <c r="GM919" s="102"/>
      <c r="GN919" s="102"/>
      <c r="GO919" s="101"/>
      <c r="GP919" s="102"/>
      <c r="GQ919" s="102"/>
      <c r="GR919" s="102"/>
      <c r="GS919" s="102"/>
      <c r="GT919" s="102"/>
      <c r="GU919" s="102"/>
      <c r="GV919" s="103"/>
      <c r="GW919" s="104"/>
      <c r="GX919" s="104"/>
      <c r="GY919" s="105"/>
      <c r="GZ919" s="106"/>
      <c r="HA919" s="107"/>
      <c r="HB919" s="108"/>
      <c r="HC919" s="109"/>
      <c r="HE919" s="105"/>
      <c r="HF919" s="110"/>
      <c r="HG919" s="99"/>
      <c r="HH919" s="100"/>
      <c r="HI919" s="101"/>
      <c r="HJ919" s="102"/>
      <c r="HK919" s="102"/>
      <c r="HL919" s="102"/>
      <c r="HM919" s="102"/>
      <c r="HN919" s="102"/>
      <c r="HO919" s="101"/>
      <c r="HP919" s="102"/>
      <c r="HQ919" s="102"/>
      <c r="HR919" s="102"/>
      <c r="HS919" s="102"/>
      <c r="HT919" s="102"/>
      <c r="HU919" s="102"/>
      <c r="HV919" s="103"/>
      <c r="HW919" s="104"/>
      <c r="HX919" s="104"/>
      <c r="HY919" s="105"/>
      <c r="HZ919" s="106"/>
    </row>
    <row r="920" spans="1:234" ht="18" x14ac:dyDescent="0.25">
      <c r="A920" s="1">
        <v>26</v>
      </c>
      <c r="B920" s="112" t="s">
        <v>1427</v>
      </c>
      <c r="C920" s="113"/>
      <c r="D920" s="113"/>
      <c r="E920" s="113"/>
      <c r="F920" s="113"/>
      <c r="G920" s="113"/>
      <c r="H920" s="113"/>
      <c r="I920" s="113"/>
      <c r="J920" s="113"/>
      <c r="K920" s="113"/>
      <c r="L920" s="113"/>
      <c r="M920" s="114"/>
    </row>
    <row r="921" spans="1:234" ht="18" x14ac:dyDescent="0.25">
      <c r="A921" s="1">
        <v>26</v>
      </c>
      <c r="B921" s="21"/>
      <c r="C921" s="22" t="s">
        <v>25</v>
      </c>
      <c r="D921" s="23"/>
      <c r="E921" s="34">
        <f>SUM(E922,E924)</f>
        <v>162708.43400000001</v>
      </c>
      <c r="F921" s="34">
        <f t="shared" ref="F921:J921" si="76">SUM(F922,F924)</f>
        <v>162708.43400000001</v>
      </c>
      <c r="G921" s="34">
        <f t="shared" si="76"/>
        <v>162708.43400000001</v>
      </c>
      <c r="H921" s="34">
        <f>SUM(H922,H924)</f>
        <v>142367.42415000001</v>
      </c>
      <c r="I921" s="34">
        <f t="shared" si="76"/>
        <v>142367.42415000001</v>
      </c>
      <c r="J921" s="34">
        <f t="shared" si="76"/>
        <v>0</v>
      </c>
      <c r="K921" s="25"/>
      <c r="L921" s="23"/>
      <c r="M921" s="26"/>
    </row>
    <row r="922" spans="1:234" ht="18" x14ac:dyDescent="0.25">
      <c r="A922" s="1">
        <v>26</v>
      </c>
      <c r="B922" s="21"/>
      <c r="C922" s="22" t="s">
        <v>22</v>
      </c>
      <c r="D922" s="23"/>
      <c r="E922" s="34">
        <v>0</v>
      </c>
      <c r="F922" s="34">
        <v>0</v>
      </c>
      <c r="G922" s="34">
        <f>0+20341.00985</f>
        <v>20341.009849999999</v>
      </c>
      <c r="H922" s="34"/>
      <c r="I922" s="34"/>
      <c r="J922" s="34"/>
      <c r="K922" s="25"/>
      <c r="L922" s="23"/>
      <c r="M922" s="26"/>
    </row>
    <row r="923" spans="1:234" ht="36" x14ac:dyDescent="0.25">
      <c r="A923" s="1">
        <v>26</v>
      </c>
      <c r="B923" s="21"/>
      <c r="C923" s="22" t="s">
        <v>23</v>
      </c>
      <c r="D923" s="23"/>
      <c r="E923" s="34">
        <f t="shared" ref="E923:J923" si="77">SUM(E924)</f>
        <v>162708.43400000001</v>
      </c>
      <c r="F923" s="34">
        <f t="shared" si="77"/>
        <v>162708.43400000001</v>
      </c>
      <c r="G923" s="34">
        <f t="shared" si="77"/>
        <v>142367.42415000001</v>
      </c>
      <c r="H923" s="34">
        <f t="shared" si="77"/>
        <v>142367.42415000001</v>
      </c>
      <c r="I923" s="34">
        <f t="shared" si="77"/>
        <v>142367.42415000001</v>
      </c>
      <c r="J923" s="34">
        <f t="shared" si="77"/>
        <v>0</v>
      </c>
      <c r="K923" s="25"/>
      <c r="L923" s="23"/>
      <c r="M923" s="26"/>
    </row>
    <row r="924" spans="1:234" ht="54.75" thickBot="1" x14ac:dyDescent="0.3">
      <c r="A924" s="1">
        <v>26</v>
      </c>
      <c r="B924" s="56">
        <v>1</v>
      </c>
      <c r="C924" s="57" t="s">
        <v>1428</v>
      </c>
      <c r="D924" s="67" t="s">
        <v>1429</v>
      </c>
      <c r="E924" s="68">
        <v>162708.43400000001</v>
      </c>
      <c r="F924" s="68">
        <v>162708.43400000001</v>
      </c>
      <c r="G924" s="68">
        <v>142367.42415000001</v>
      </c>
      <c r="H924" s="68">
        <v>142367.42415000001</v>
      </c>
      <c r="I924" s="68">
        <v>142367.42415000001</v>
      </c>
      <c r="J924" s="68">
        <v>0</v>
      </c>
      <c r="K924" s="70" t="s">
        <v>28</v>
      </c>
      <c r="L924" s="71"/>
      <c r="M924" s="72"/>
    </row>
  </sheetData>
  <mergeCells count="45">
    <mergeCell ref="B1:M1"/>
    <mergeCell ref="B2:M2"/>
    <mergeCell ref="B3:M3"/>
    <mergeCell ref="B4:M4"/>
    <mergeCell ref="B5:M5"/>
    <mergeCell ref="E8:J8"/>
    <mergeCell ref="K8:K10"/>
    <mergeCell ref="E9:E10"/>
    <mergeCell ref="F9:F10"/>
    <mergeCell ref="G9:G10"/>
    <mergeCell ref="H9:H10"/>
    <mergeCell ref="I9:I10"/>
    <mergeCell ref="J9:J10"/>
    <mergeCell ref="B67:M67"/>
    <mergeCell ref="B7:B10"/>
    <mergeCell ref="C7:C10"/>
    <mergeCell ref="D7:D10"/>
    <mergeCell ref="E7:K7"/>
    <mergeCell ref="L7:M8"/>
    <mergeCell ref="L9:L10"/>
    <mergeCell ref="M9:M10"/>
    <mergeCell ref="B15:M15"/>
    <mergeCell ref="B41:M41"/>
    <mergeCell ref="B522:M522"/>
    <mergeCell ref="B81:M81"/>
    <mergeCell ref="B123:M123"/>
    <mergeCell ref="B168:M168"/>
    <mergeCell ref="B262:M262"/>
    <mergeCell ref="B278:M278"/>
    <mergeCell ref="B308:M308"/>
    <mergeCell ref="B331:M331"/>
    <mergeCell ref="B351:M351"/>
    <mergeCell ref="B407:M407"/>
    <mergeCell ref="B489:M489"/>
    <mergeCell ref="B515:M515"/>
    <mergeCell ref="B797:M797"/>
    <mergeCell ref="B822:M822"/>
    <mergeCell ref="B841:M841"/>
    <mergeCell ref="B920:M920"/>
    <mergeCell ref="B543:M543"/>
    <mergeCell ref="B558:M558"/>
    <mergeCell ref="B631:M631"/>
    <mergeCell ref="B688:M688"/>
    <mergeCell ref="B717:M717"/>
    <mergeCell ref="B752:M752"/>
  </mergeCells>
  <printOptions horizontalCentered="1"/>
  <pageMargins left="0" right="0" top="0.15748031496062992" bottom="0.23622047244094491" header="0" footer="7.874015748031496E-2"/>
  <pageSetup paperSize="9" scale="59" fitToHeight="10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Аркуші</vt:lpstr>
      </vt:variant>
      <vt:variant>
        <vt:i4>1</vt:i4>
      </vt:variant>
      <vt:variant>
        <vt:lpstr>Іменовані діапазони</vt:lpstr>
      </vt:variant>
      <vt:variant>
        <vt:i4>2</vt:i4>
      </vt:variant>
    </vt:vector>
  </HeadingPairs>
  <TitlesOfParts>
    <vt:vector size="3" baseType="lpstr">
      <vt:lpstr>2016</vt:lpstr>
      <vt:lpstr>'2016'!Заголовки_для_друку</vt:lpstr>
      <vt:lpstr>'2016'!Область_друку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Діденко Леся Петрівна</dc:creator>
  <cp:lastModifiedBy>Діденко Леся Петрівна</cp:lastModifiedBy>
  <dcterms:created xsi:type="dcterms:W3CDTF">2022-09-29T14:24:04Z</dcterms:created>
  <dcterms:modified xsi:type="dcterms:W3CDTF">2022-09-30T12:37:45Z</dcterms:modified>
</cp:coreProperties>
</file>