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idenkoLP\Desktop\ЗПІ\"/>
    </mc:Choice>
  </mc:AlternateContent>
  <xr:revisionPtr revIDLastSave="0" documentId="13_ncr:1_{3984F843-3A00-4B0E-A65A-530710550692}" xr6:coauthVersionLast="47" xr6:coauthVersionMax="47" xr10:uidLastSave="{00000000-0000-0000-0000-000000000000}"/>
  <bookViews>
    <workbookView xWindow="-120" yWindow="-120" windowWidth="29040" windowHeight="15840" xr2:uid="{EAF3777D-3B97-4F60-B371-0FD76F9A0632}"/>
  </bookViews>
  <sheets>
    <sheet name="на 01_01_2018 Річна" sheetId="1" r:id="rId1"/>
  </sheets>
  <definedNames>
    <definedName name="_xlnm._FilterDatabase" localSheetId="0" hidden="1">'на 01_01_2018 Річна'!$A$11:$Q$954</definedName>
    <definedName name="_xlnm.Print_Titles" localSheetId="0">'на 01_01_2018 Річна'!$7:$11</definedName>
    <definedName name="_xlnm.Print_Area" localSheetId="0">'на 01_01_2018 Річна'!$B$1:$Q$957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949" i="1" l="1"/>
  <c r="B950" i="1" s="1"/>
  <c r="B951" i="1" s="1"/>
  <c r="B952" i="1" s="1"/>
  <c r="B953" i="1" s="1"/>
  <c r="B954" i="1" s="1"/>
  <c r="E948" i="1"/>
  <c r="N947" i="1"/>
  <c r="M947" i="1"/>
  <c r="M945" i="1" s="1"/>
  <c r="L947" i="1"/>
  <c r="L945" i="1" s="1"/>
  <c r="K947" i="1"/>
  <c r="J947" i="1"/>
  <c r="I947" i="1"/>
  <c r="I945" i="1" s="1"/>
  <c r="H947" i="1"/>
  <c r="G947" i="1"/>
  <c r="F947" i="1"/>
  <c r="E947" i="1"/>
  <c r="E945" i="1" s="1"/>
  <c r="N945" i="1"/>
  <c r="K945" i="1"/>
  <c r="J945" i="1"/>
  <c r="H945" i="1"/>
  <c r="G945" i="1"/>
  <c r="F945" i="1"/>
  <c r="E942" i="1"/>
  <c r="E941" i="1"/>
  <c r="E937" i="1"/>
  <c r="E934" i="1"/>
  <c r="F932" i="1"/>
  <c r="F931" i="1"/>
  <c r="E931" i="1"/>
  <c r="E930" i="1"/>
  <c r="E929" i="1"/>
  <c r="E928" i="1"/>
  <c r="E926" i="1"/>
  <c r="F925" i="1"/>
  <c r="E924" i="1"/>
  <c r="E923" i="1"/>
  <c r="E918" i="1"/>
  <c r="E916" i="1"/>
  <c r="E913" i="1"/>
  <c r="F911" i="1"/>
  <c r="F910" i="1"/>
  <c r="E909" i="1"/>
  <c r="F907" i="1"/>
  <c r="F906" i="1"/>
  <c r="F905" i="1"/>
  <c r="B905" i="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E904" i="1"/>
  <c r="N903" i="1"/>
  <c r="M903" i="1"/>
  <c r="L903" i="1"/>
  <c r="K903" i="1"/>
  <c r="J903" i="1"/>
  <c r="I903" i="1"/>
  <c r="H903" i="1"/>
  <c r="G903" i="1"/>
  <c r="N901" i="1"/>
  <c r="M901" i="1"/>
  <c r="L901" i="1"/>
  <c r="K901" i="1"/>
  <c r="J901" i="1"/>
  <c r="I901" i="1"/>
  <c r="H901" i="1"/>
  <c r="G901" i="1"/>
  <c r="F897" i="1"/>
  <c r="F891" i="1"/>
  <c r="F887" i="1"/>
  <c r="F885" i="1"/>
  <c r="F879" i="1"/>
  <c r="E879" i="1"/>
  <c r="B878" i="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N876" i="1"/>
  <c r="M876" i="1"/>
  <c r="L876" i="1"/>
  <c r="K876" i="1"/>
  <c r="J876" i="1"/>
  <c r="I876" i="1"/>
  <c r="H876" i="1"/>
  <c r="G876" i="1"/>
  <c r="E876" i="1"/>
  <c r="N874" i="1"/>
  <c r="M874" i="1"/>
  <c r="L874" i="1"/>
  <c r="K874" i="1"/>
  <c r="J874" i="1"/>
  <c r="I874" i="1"/>
  <c r="H874" i="1"/>
  <c r="G874" i="1"/>
  <c r="F874" i="1"/>
  <c r="E874" i="1"/>
  <c r="F865" i="1"/>
  <c r="F864" i="1"/>
  <c r="N862" i="1"/>
  <c r="N849" i="1" s="1"/>
  <c r="M862" i="1"/>
  <c r="M849" i="1" s="1"/>
  <c r="L862" i="1"/>
  <c r="L849" i="1" s="1"/>
  <c r="K862" i="1"/>
  <c r="J862" i="1"/>
  <c r="J847" i="1" s="1"/>
  <c r="I862" i="1"/>
  <c r="H862" i="1"/>
  <c r="H849" i="1" s="1"/>
  <c r="G862" i="1"/>
  <c r="E862" i="1"/>
  <c r="E861" i="1"/>
  <c r="E859" i="1"/>
  <c r="F856" i="1"/>
  <c r="F854" i="1"/>
  <c r="F853" i="1"/>
  <c r="F852" i="1"/>
  <c r="E852" i="1"/>
  <c r="B851" i="1"/>
  <c r="B852" i="1" s="1"/>
  <c r="B853" i="1" s="1"/>
  <c r="B854" i="1" s="1"/>
  <c r="B855" i="1" s="1"/>
  <c r="B856" i="1" s="1"/>
  <c r="B857" i="1" s="1"/>
  <c r="B858" i="1" s="1"/>
  <c r="B859" i="1" s="1"/>
  <c r="B860" i="1" s="1"/>
  <c r="B861" i="1" s="1"/>
  <c r="B862" i="1" s="1"/>
  <c r="E850" i="1"/>
  <c r="K849" i="1"/>
  <c r="J849" i="1"/>
  <c r="I849" i="1"/>
  <c r="G849" i="1"/>
  <c r="P847" i="1"/>
  <c r="N847" i="1"/>
  <c r="M847" i="1"/>
  <c r="K847" i="1"/>
  <c r="I847" i="1"/>
  <c r="G847" i="1"/>
  <c r="E845" i="1"/>
  <c r="E843" i="1"/>
  <c r="F829" i="1"/>
  <c r="E828" i="1"/>
  <c r="F821" i="1"/>
  <c r="F820" i="1"/>
  <c r="E820" i="1"/>
  <c r="F819" i="1"/>
  <c r="E818" i="1"/>
  <c r="F815" i="1"/>
  <c r="E812" i="1"/>
  <c r="F809" i="1"/>
  <c r="E809" i="1"/>
  <c r="E803" i="1"/>
  <c r="E796" i="1"/>
  <c r="E795" i="1"/>
  <c r="E794" i="1"/>
  <c r="B794" i="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N792" i="1"/>
  <c r="M792" i="1"/>
  <c r="L792" i="1"/>
  <c r="K792" i="1"/>
  <c r="J792" i="1"/>
  <c r="I792" i="1"/>
  <c r="H792" i="1"/>
  <c r="G792" i="1"/>
  <c r="N790" i="1"/>
  <c r="M790" i="1"/>
  <c r="L790" i="1"/>
  <c r="K790" i="1"/>
  <c r="J790" i="1"/>
  <c r="I790" i="1"/>
  <c r="H790" i="1"/>
  <c r="G790" i="1"/>
  <c r="F787" i="1"/>
  <c r="F783" i="1"/>
  <c r="F775" i="1" s="1"/>
  <c r="N775" i="1"/>
  <c r="N753" i="1" s="1"/>
  <c r="M775" i="1"/>
  <c r="M751" i="1" s="1"/>
  <c r="L775" i="1"/>
  <c r="L753" i="1" s="1"/>
  <c r="K775" i="1"/>
  <c r="K753" i="1" s="1"/>
  <c r="J775" i="1"/>
  <c r="J753" i="1" s="1"/>
  <c r="I775" i="1"/>
  <c r="I753" i="1" s="1"/>
  <c r="H775" i="1"/>
  <c r="H753" i="1" s="1"/>
  <c r="G775" i="1"/>
  <c r="E775" i="1"/>
  <c r="F771" i="1"/>
  <c r="F770" i="1"/>
  <c r="E770" i="1"/>
  <c r="E769" i="1"/>
  <c r="E753" i="1" s="1"/>
  <c r="F766" i="1"/>
  <c r="B755" i="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G753" i="1"/>
  <c r="G752" i="1"/>
  <c r="P751" i="1"/>
  <c r="L751" i="1"/>
  <c r="H751" i="1"/>
  <c r="G751" i="1"/>
  <c r="F745" i="1"/>
  <c r="F743" i="1"/>
  <c r="F740" i="1"/>
  <c r="E740" i="1"/>
  <c r="B739" i="1"/>
  <c r="B740" i="1" s="1"/>
  <c r="B741" i="1" s="1"/>
  <c r="B742" i="1" s="1"/>
  <c r="B743" i="1" s="1"/>
  <c r="B744" i="1" s="1"/>
  <c r="B745" i="1" s="1"/>
  <c r="B746" i="1" s="1"/>
  <c r="B747" i="1" s="1"/>
  <c r="B748" i="1" s="1"/>
  <c r="B749" i="1" s="1"/>
  <c r="F738" i="1"/>
  <c r="E738" i="1"/>
  <c r="N737" i="1"/>
  <c r="M737" i="1"/>
  <c r="L737" i="1"/>
  <c r="K737" i="1"/>
  <c r="J737" i="1"/>
  <c r="I737" i="1"/>
  <c r="H737" i="1"/>
  <c r="G737" i="1"/>
  <c r="E737" i="1"/>
  <c r="P735" i="1"/>
  <c r="N735" i="1"/>
  <c r="M735" i="1"/>
  <c r="L735" i="1"/>
  <c r="K735" i="1"/>
  <c r="J735" i="1"/>
  <c r="I735" i="1"/>
  <c r="H735" i="1"/>
  <c r="G735" i="1"/>
  <c r="L716" i="1"/>
  <c r="L672" i="1" s="1"/>
  <c r="F708" i="1"/>
  <c r="B678" i="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676" i="1"/>
  <c r="B677" i="1" s="1"/>
  <c r="N674" i="1"/>
  <c r="M674" i="1"/>
  <c r="K674" i="1"/>
  <c r="J674" i="1"/>
  <c r="I674" i="1"/>
  <c r="H674" i="1"/>
  <c r="G674" i="1"/>
  <c r="F674" i="1"/>
  <c r="E674" i="1"/>
  <c r="N672" i="1"/>
  <c r="M672" i="1"/>
  <c r="K672" i="1"/>
  <c r="J672" i="1"/>
  <c r="I672" i="1"/>
  <c r="H672" i="1"/>
  <c r="G672" i="1"/>
  <c r="F672" i="1"/>
  <c r="E672" i="1"/>
  <c r="N663" i="1"/>
  <c r="M663" i="1"/>
  <c r="L663" i="1"/>
  <c r="K663" i="1"/>
  <c r="J663" i="1"/>
  <c r="I663" i="1"/>
  <c r="H663" i="1"/>
  <c r="G663" i="1"/>
  <c r="F663" i="1"/>
  <c r="E663" i="1"/>
  <c r="B658" i="1"/>
  <c r="B659" i="1" s="1"/>
  <c r="B660" i="1" s="1"/>
  <c r="B661" i="1" s="1"/>
  <c r="B662" i="1" s="1"/>
  <c r="B663" i="1" s="1"/>
  <c r="B666" i="1" s="1"/>
  <c r="B667" i="1" s="1"/>
  <c r="B668" i="1" s="1"/>
  <c r="B669" i="1" s="1"/>
  <c r="B670" i="1" s="1"/>
  <c r="N654" i="1"/>
  <c r="M654" i="1"/>
  <c r="L654" i="1"/>
  <c r="K654" i="1"/>
  <c r="J654" i="1"/>
  <c r="I654" i="1"/>
  <c r="H654" i="1"/>
  <c r="G654" i="1"/>
  <c r="F654" i="1"/>
  <c r="E654" i="1"/>
  <c r="F649" i="1"/>
  <c r="E649" i="1"/>
  <c r="E646" i="1"/>
  <c r="E644" i="1"/>
  <c r="B632" i="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F631" i="1"/>
  <c r="N627" i="1"/>
  <c r="M627" i="1"/>
  <c r="L627" i="1"/>
  <c r="K627" i="1"/>
  <c r="J627" i="1"/>
  <c r="I627" i="1"/>
  <c r="I603" i="1" s="1"/>
  <c r="H627" i="1"/>
  <c r="G627" i="1"/>
  <c r="F627" i="1"/>
  <c r="E627" i="1"/>
  <c r="B622" i="1"/>
  <c r="B623" i="1" s="1"/>
  <c r="B624" i="1" s="1"/>
  <c r="B625" i="1" s="1"/>
  <c r="B626" i="1" s="1"/>
  <c r="B627" i="1" s="1"/>
  <c r="N615" i="1"/>
  <c r="M615" i="1"/>
  <c r="L615" i="1"/>
  <c r="K615" i="1"/>
  <c r="J615" i="1"/>
  <c r="I615" i="1"/>
  <c r="H615" i="1"/>
  <c r="H603" i="1" s="1"/>
  <c r="G615" i="1"/>
  <c r="F615" i="1"/>
  <c r="E615" i="1"/>
  <c r="E611" i="1"/>
  <c r="F610" i="1"/>
  <c r="F609" i="1"/>
  <c r="F608" i="1"/>
  <c r="E608" i="1"/>
  <c r="E606" i="1"/>
  <c r="B605" i="1"/>
  <c r="B606" i="1" s="1"/>
  <c r="B607" i="1" s="1"/>
  <c r="B608" i="1" s="1"/>
  <c r="B609" i="1" s="1"/>
  <c r="B610" i="1" s="1"/>
  <c r="B611" i="1" s="1"/>
  <c r="B612" i="1" s="1"/>
  <c r="B613" i="1" s="1"/>
  <c r="B614" i="1" s="1"/>
  <c r="B615" i="1" s="1"/>
  <c r="H602" i="1"/>
  <c r="H13" i="1" s="1"/>
  <c r="B587" i="1"/>
  <c r="B588" i="1" s="1"/>
  <c r="B589" i="1" s="1"/>
  <c r="B590" i="1" s="1"/>
  <c r="B591" i="1" s="1"/>
  <c r="B592" i="1" s="1"/>
  <c r="B593" i="1" s="1"/>
  <c r="B594" i="1" s="1"/>
  <c r="B595" i="1" s="1"/>
  <c r="B596" i="1" s="1"/>
  <c r="B597" i="1" s="1"/>
  <c r="B598" i="1" s="1"/>
  <c r="B599" i="1" s="1"/>
  <c r="E586" i="1"/>
  <c r="N585" i="1"/>
  <c r="M585" i="1"/>
  <c r="L585" i="1"/>
  <c r="K585" i="1"/>
  <c r="J585" i="1"/>
  <c r="I585" i="1"/>
  <c r="H585" i="1"/>
  <c r="G585" i="1"/>
  <c r="F585" i="1"/>
  <c r="E585" i="1"/>
  <c r="P583" i="1"/>
  <c r="N583" i="1"/>
  <c r="M583" i="1"/>
  <c r="L583" i="1"/>
  <c r="K583" i="1"/>
  <c r="J583" i="1"/>
  <c r="I583" i="1"/>
  <c r="H583" i="1"/>
  <c r="G583" i="1"/>
  <c r="F583" i="1"/>
  <c r="E583" i="1"/>
  <c r="F581" i="1"/>
  <c r="F580" i="1"/>
  <c r="F579" i="1"/>
  <c r="F576" i="1"/>
  <c r="F572" i="1"/>
  <c r="F566" i="1"/>
  <c r="B564" i="1"/>
  <c r="B565" i="1" s="1"/>
  <c r="B566" i="1" s="1"/>
  <c r="B567" i="1" s="1"/>
  <c r="B568" i="1" s="1"/>
  <c r="B569" i="1" s="1"/>
  <c r="B570" i="1" s="1"/>
  <c r="B571" i="1" s="1"/>
  <c r="B572" i="1" s="1"/>
  <c r="B573" i="1" s="1"/>
  <c r="B574" i="1" s="1"/>
  <c r="B575" i="1" s="1"/>
  <c r="B576" i="1" s="1"/>
  <c r="B577" i="1" s="1"/>
  <c r="B578" i="1" s="1"/>
  <c r="B579" i="1" s="1"/>
  <c r="B580" i="1" s="1"/>
  <c r="B581" i="1" s="1"/>
  <c r="F563" i="1"/>
  <c r="E563" i="1"/>
  <c r="E562" i="1" s="1"/>
  <c r="N562" i="1"/>
  <c r="M562" i="1"/>
  <c r="L562" i="1"/>
  <c r="K562" i="1"/>
  <c r="J562" i="1"/>
  <c r="I562" i="1"/>
  <c r="H562" i="1"/>
  <c r="G562" i="1"/>
  <c r="N560" i="1"/>
  <c r="M560" i="1"/>
  <c r="L560" i="1"/>
  <c r="K560" i="1"/>
  <c r="J560" i="1"/>
  <c r="I560" i="1"/>
  <c r="H560" i="1"/>
  <c r="G560" i="1"/>
  <c r="F556" i="1"/>
  <c r="F552" i="1"/>
  <c r="E550" i="1"/>
  <c r="E549" i="1"/>
  <c r="E548" i="1"/>
  <c r="E547" i="1"/>
  <c r="E546" i="1"/>
  <c r="E545" i="1"/>
  <c r="B545" i="1"/>
  <c r="B546" i="1" s="1"/>
  <c r="B547" i="1" s="1"/>
  <c r="B548" i="1" s="1"/>
  <c r="B549" i="1" s="1"/>
  <c r="B550" i="1" s="1"/>
  <c r="B551" i="1" s="1"/>
  <c r="B552" i="1" s="1"/>
  <c r="B553" i="1" s="1"/>
  <c r="B554" i="1" s="1"/>
  <c r="B555" i="1" s="1"/>
  <c r="B556" i="1" s="1"/>
  <c r="B557" i="1" s="1"/>
  <c r="B558" i="1" s="1"/>
  <c r="N543" i="1"/>
  <c r="M543" i="1"/>
  <c r="L543" i="1"/>
  <c r="K543" i="1"/>
  <c r="J543" i="1"/>
  <c r="I543" i="1"/>
  <c r="H543" i="1"/>
  <c r="G543" i="1"/>
  <c r="N541" i="1"/>
  <c r="M541" i="1"/>
  <c r="L541" i="1"/>
  <c r="K541" i="1"/>
  <c r="J541" i="1"/>
  <c r="I541" i="1"/>
  <c r="H541" i="1"/>
  <c r="G541" i="1"/>
  <c r="B521" i="1"/>
  <c r="B522" i="1" s="1"/>
  <c r="B523" i="1" s="1"/>
  <c r="B524" i="1" s="1"/>
  <c r="B525" i="1" s="1"/>
  <c r="B526" i="1" s="1"/>
  <c r="B527" i="1" s="1"/>
  <c r="B528" i="1" s="1"/>
  <c r="B529" i="1" s="1"/>
  <c r="B530" i="1" s="1"/>
  <c r="B531" i="1" s="1"/>
  <c r="B532" i="1" s="1"/>
  <c r="B533" i="1" s="1"/>
  <c r="B534" i="1" s="1"/>
  <c r="B535" i="1" s="1"/>
  <c r="B536" i="1" s="1"/>
  <c r="B537" i="1" s="1"/>
  <c r="B538" i="1" s="1"/>
  <c r="B539" i="1" s="1"/>
  <c r="N519" i="1"/>
  <c r="M519" i="1"/>
  <c r="L519" i="1"/>
  <c r="K519" i="1"/>
  <c r="J519" i="1"/>
  <c r="I519" i="1"/>
  <c r="H519" i="1"/>
  <c r="G519" i="1"/>
  <c r="F519" i="1"/>
  <c r="E519" i="1"/>
  <c r="G518" i="1"/>
  <c r="G517" i="1" s="1"/>
  <c r="N517" i="1"/>
  <c r="M517" i="1"/>
  <c r="L517" i="1"/>
  <c r="K517" i="1"/>
  <c r="J517" i="1"/>
  <c r="I517" i="1"/>
  <c r="H517" i="1"/>
  <c r="F517" i="1"/>
  <c r="E517" i="1"/>
  <c r="F514" i="1"/>
  <c r="F502" i="1"/>
  <c r="F500" i="1" s="1"/>
  <c r="N500" i="1"/>
  <c r="N449" i="1" s="1"/>
  <c r="M500" i="1"/>
  <c r="M451" i="1" s="1"/>
  <c r="L500" i="1"/>
  <c r="K500" i="1"/>
  <c r="K451" i="1" s="1"/>
  <c r="J500" i="1"/>
  <c r="I500" i="1"/>
  <c r="I451" i="1" s="1"/>
  <c r="H500" i="1"/>
  <c r="G500" i="1"/>
  <c r="G451" i="1" s="1"/>
  <c r="E500" i="1"/>
  <c r="E499" i="1"/>
  <c r="F498" i="1"/>
  <c r="E497" i="1"/>
  <c r="E495" i="1"/>
  <c r="F494" i="1"/>
  <c r="F493" i="1"/>
  <c r="F492" i="1"/>
  <c r="F489" i="1"/>
  <c r="E489" i="1"/>
  <c r="F485" i="1"/>
  <c r="F479" i="1"/>
  <c r="F478" i="1"/>
  <c r="F476" i="1"/>
  <c r="F472" i="1"/>
  <c r="E470" i="1"/>
  <c r="E467" i="1"/>
  <c r="F465" i="1"/>
  <c r="E465" i="1"/>
  <c r="F464" i="1"/>
  <c r="E464" i="1"/>
  <c r="E463" i="1"/>
  <c r="F462" i="1"/>
  <c r="E462" i="1"/>
  <c r="E461" i="1"/>
  <c r="E460" i="1"/>
  <c r="F459" i="1"/>
  <c r="F458" i="1"/>
  <c r="F454" i="1"/>
  <c r="F453" i="1"/>
  <c r="E453" i="1"/>
  <c r="B453" i="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3" i="1" s="1"/>
  <c r="B504" i="1" s="1"/>
  <c r="B505" i="1" s="1"/>
  <c r="B506" i="1" s="1"/>
  <c r="B507" i="1" s="1"/>
  <c r="B508" i="1" s="1"/>
  <c r="B509" i="1" s="1"/>
  <c r="B510" i="1" s="1"/>
  <c r="B511" i="1" s="1"/>
  <c r="B512" i="1" s="1"/>
  <c r="B513" i="1" s="1"/>
  <c r="B514" i="1" s="1"/>
  <c r="B515" i="1" s="1"/>
  <c r="F452" i="1"/>
  <c r="L451" i="1"/>
  <c r="H451" i="1"/>
  <c r="P449" i="1"/>
  <c r="M449" i="1"/>
  <c r="L449" i="1"/>
  <c r="H449" i="1"/>
  <c r="F435" i="1"/>
  <c r="F434" i="1"/>
  <c r="F431" i="1"/>
  <c r="F430" i="1"/>
  <c r="E429" i="1"/>
  <c r="E428" i="1"/>
  <c r="E427" i="1"/>
  <c r="F423" i="1"/>
  <c r="F422" i="1"/>
  <c r="F420" i="1"/>
  <c r="E419" i="1"/>
  <c r="F412" i="1"/>
  <c r="F408" i="1"/>
  <c r="F403" i="1"/>
  <c r="F402" i="1"/>
  <c r="F390" i="1" s="1"/>
  <c r="F401" i="1"/>
  <c r="F400" i="1"/>
  <c r="F398" i="1"/>
  <c r="E397" i="1"/>
  <c r="E396" i="1"/>
  <c r="E395" i="1"/>
  <c r="B392" i="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E391" i="1"/>
  <c r="N390" i="1"/>
  <c r="M390" i="1"/>
  <c r="L390" i="1"/>
  <c r="K390" i="1"/>
  <c r="J390" i="1"/>
  <c r="I390" i="1"/>
  <c r="H390" i="1"/>
  <c r="G390" i="1"/>
  <c r="P388" i="1"/>
  <c r="N388" i="1"/>
  <c r="M388" i="1"/>
  <c r="L388" i="1"/>
  <c r="K388" i="1"/>
  <c r="J388" i="1"/>
  <c r="I388" i="1"/>
  <c r="H388" i="1"/>
  <c r="G388" i="1"/>
  <c r="E388" i="1"/>
  <c r="F383" i="1"/>
  <c r="F382" i="1"/>
  <c r="F378" i="1" s="1"/>
  <c r="F380" i="1"/>
  <c r="E380" i="1"/>
  <c r="E376" i="1" s="1"/>
  <c r="B380" i="1"/>
  <c r="B381" i="1" s="1"/>
  <c r="B382" i="1" s="1"/>
  <c r="B383" i="1" s="1"/>
  <c r="B384" i="1" s="1"/>
  <c r="B385" i="1" s="1"/>
  <c r="B386" i="1" s="1"/>
  <c r="E379" i="1"/>
  <c r="N378" i="1"/>
  <c r="M378" i="1"/>
  <c r="L378" i="1"/>
  <c r="K378" i="1"/>
  <c r="J378" i="1"/>
  <c r="I378" i="1"/>
  <c r="H378" i="1"/>
  <c r="G378" i="1"/>
  <c r="E378" i="1"/>
  <c r="N376" i="1"/>
  <c r="M376" i="1"/>
  <c r="L376" i="1"/>
  <c r="K376" i="1"/>
  <c r="J376" i="1"/>
  <c r="I376" i="1"/>
  <c r="H376" i="1"/>
  <c r="G376" i="1"/>
  <c r="E374" i="1"/>
  <c r="E373" i="1"/>
  <c r="E372" i="1"/>
  <c r="E371" i="1"/>
  <c r="E370" i="1"/>
  <c r="E369" i="1"/>
  <c r="E368" i="1"/>
  <c r="E367" i="1"/>
  <c r="E366" i="1"/>
  <c r="E365" i="1"/>
  <c r="E364" i="1"/>
  <c r="E363" i="1"/>
  <c r="E362" i="1"/>
  <c r="E361" i="1"/>
  <c r="F360" i="1"/>
  <c r="E360" i="1"/>
  <c r="F359" i="1"/>
  <c r="F353" i="1" s="1"/>
  <c r="E359" i="1"/>
  <c r="E358" i="1"/>
  <c r="E357" i="1"/>
  <c r="B357" i="1"/>
  <c r="B358" i="1" s="1"/>
  <c r="B359" i="1" s="1"/>
  <c r="B360" i="1" s="1"/>
  <c r="B361" i="1" s="1"/>
  <c r="B362" i="1" s="1"/>
  <c r="B363" i="1" s="1"/>
  <c r="B364" i="1" s="1"/>
  <c r="B365" i="1" s="1"/>
  <c r="B366" i="1" s="1"/>
  <c r="B367" i="1" s="1"/>
  <c r="B368" i="1" s="1"/>
  <c r="B369" i="1" s="1"/>
  <c r="B370" i="1" s="1"/>
  <c r="B371" i="1" s="1"/>
  <c r="B372" i="1" s="1"/>
  <c r="B373" i="1" s="1"/>
  <c r="B374" i="1" s="1"/>
  <c r="E356" i="1"/>
  <c r="N355" i="1"/>
  <c r="M355" i="1"/>
  <c r="L355" i="1"/>
  <c r="K355" i="1"/>
  <c r="J355" i="1"/>
  <c r="I355" i="1"/>
  <c r="H355" i="1"/>
  <c r="G355" i="1"/>
  <c r="N353" i="1"/>
  <c r="M353" i="1"/>
  <c r="L353" i="1"/>
  <c r="K353" i="1"/>
  <c r="J353" i="1"/>
  <c r="I353" i="1"/>
  <c r="H353" i="1"/>
  <c r="G353" i="1"/>
  <c r="E350" i="1"/>
  <c r="E331" i="1"/>
  <c r="E320" i="1"/>
  <c r="E319" i="1"/>
  <c r="E313" i="1"/>
  <c r="E312" i="1"/>
  <c r="E311" i="1"/>
  <c r="F310" i="1"/>
  <c r="F301" i="1" s="1"/>
  <c r="E310" i="1"/>
  <c r="E309" i="1"/>
  <c r="B303" i="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N301" i="1"/>
  <c r="M301" i="1"/>
  <c r="L301" i="1"/>
  <c r="K301" i="1"/>
  <c r="J301" i="1"/>
  <c r="I301" i="1"/>
  <c r="H301" i="1"/>
  <c r="G301" i="1"/>
  <c r="G300" i="1"/>
  <c r="G13" i="1" s="1"/>
  <c r="N299" i="1"/>
  <c r="M299" i="1"/>
  <c r="L299" i="1"/>
  <c r="K299" i="1"/>
  <c r="J299" i="1"/>
  <c r="I299" i="1"/>
  <c r="H299" i="1"/>
  <c r="G299" i="1"/>
  <c r="F299" i="1"/>
  <c r="F296" i="1"/>
  <c r="F295" i="1"/>
  <c r="F293" i="1"/>
  <c r="F292" i="1"/>
  <c r="F291" i="1"/>
  <c r="F290" i="1"/>
  <c r="F283" i="1"/>
  <c r="F281" i="1"/>
  <c r="E279" i="1"/>
  <c r="E278" i="1"/>
  <c r="K277" i="1"/>
  <c r="K266" i="1" s="1"/>
  <c r="E277" i="1"/>
  <c r="E276" i="1"/>
  <c r="E273" i="1"/>
  <c r="F271" i="1"/>
  <c r="E271" i="1"/>
  <c r="F270" i="1"/>
  <c r="E270" i="1"/>
  <c r="B270" i="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E269" i="1"/>
  <c r="N268" i="1"/>
  <c r="M268" i="1"/>
  <c r="L268" i="1"/>
  <c r="J268" i="1"/>
  <c r="I268" i="1"/>
  <c r="H268" i="1"/>
  <c r="G268" i="1"/>
  <c r="N266" i="1"/>
  <c r="M266" i="1"/>
  <c r="L266" i="1"/>
  <c r="J266" i="1"/>
  <c r="I266" i="1"/>
  <c r="H266" i="1"/>
  <c r="G266" i="1"/>
  <c r="F247" i="1"/>
  <c r="F246" i="1"/>
  <c r="F245" i="1"/>
  <c r="F244" i="1"/>
  <c r="F243" i="1"/>
  <c r="F240" i="1"/>
  <c r="E240" i="1"/>
  <c r="F228" i="1"/>
  <c r="E213" i="1"/>
  <c r="F201" i="1"/>
  <c r="E201" i="1"/>
  <c r="F198" i="1"/>
  <c r="E198" i="1"/>
  <c r="F196" i="1"/>
  <c r="F190" i="1" s="1"/>
  <c r="E196" i="1"/>
  <c r="B196" i="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195" i="1"/>
  <c r="E194" i="1"/>
  <c r="E190" i="1" s="1"/>
  <c r="B194" i="1"/>
  <c r="N192" i="1"/>
  <c r="M192" i="1"/>
  <c r="L192" i="1"/>
  <c r="K192" i="1"/>
  <c r="J192" i="1"/>
  <c r="I192" i="1"/>
  <c r="H192" i="1"/>
  <c r="H14" i="1" s="1"/>
  <c r="G192" i="1"/>
  <c r="N190" i="1"/>
  <c r="M190" i="1"/>
  <c r="L190" i="1"/>
  <c r="K190" i="1"/>
  <c r="J190" i="1"/>
  <c r="I190" i="1"/>
  <c r="H190" i="1"/>
  <c r="G190" i="1"/>
  <c r="F188" i="1"/>
  <c r="E188" i="1"/>
  <c r="F186" i="1"/>
  <c r="E186" i="1"/>
  <c r="F185" i="1"/>
  <c r="E185" i="1"/>
  <c r="F181" i="1"/>
  <c r="E181" i="1"/>
  <c r="F180" i="1"/>
  <c r="E180" i="1"/>
  <c r="F179" i="1"/>
  <c r="E179" i="1"/>
  <c r="F175" i="1"/>
  <c r="E175" i="1"/>
  <c r="F173" i="1"/>
  <c r="E173" i="1"/>
  <c r="F171" i="1"/>
  <c r="E171" i="1"/>
  <c r="F170" i="1"/>
  <c r="E170" i="1"/>
  <c r="F169" i="1"/>
  <c r="E169" i="1"/>
  <c r="F164" i="1"/>
  <c r="E164" i="1"/>
  <c r="F163" i="1"/>
  <c r="E163" i="1"/>
  <c r="F162" i="1"/>
  <c r="E162" i="1"/>
  <c r="F160" i="1"/>
  <c r="E160" i="1"/>
  <c r="F158" i="1"/>
  <c r="E158" i="1"/>
  <c r="F157" i="1"/>
  <c r="E157" i="1"/>
  <c r="B157" i="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F156" i="1"/>
  <c r="E156" i="1"/>
  <c r="N155" i="1"/>
  <c r="M155" i="1"/>
  <c r="L155" i="1"/>
  <c r="K155" i="1"/>
  <c r="J155" i="1"/>
  <c r="I155" i="1"/>
  <c r="H155" i="1"/>
  <c r="G155" i="1"/>
  <c r="E155" i="1"/>
  <c r="P153" i="1"/>
  <c r="N153" i="1"/>
  <c r="M153" i="1"/>
  <c r="L153" i="1"/>
  <c r="K153" i="1"/>
  <c r="J153" i="1"/>
  <c r="I153" i="1"/>
  <c r="H153" i="1"/>
  <c r="G153" i="1"/>
  <c r="K148" i="1"/>
  <c r="K147" i="1"/>
  <c r="K144" i="1"/>
  <c r="K102" i="1" s="1"/>
  <c r="E139" i="1"/>
  <c r="F137" i="1"/>
  <c r="E134" i="1"/>
  <c r="E133" i="1"/>
  <c r="E132" i="1"/>
  <c r="E130" i="1"/>
  <c r="F128" i="1"/>
  <c r="F127" i="1"/>
  <c r="F126" i="1"/>
  <c r="F123" i="1"/>
  <c r="F120" i="1"/>
  <c r="F119" i="1"/>
  <c r="F118" i="1"/>
  <c r="F116" i="1"/>
  <c r="F115" i="1"/>
  <c r="F112" i="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F106" i="1"/>
  <c r="B106" i="1"/>
  <c r="F105" i="1"/>
  <c r="N104" i="1"/>
  <c r="M104" i="1"/>
  <c r="L104" i="1"/>
  <c r="J104" i="1"/>
  <c r="I104" i="1"/>
  <c r="H104" i="1"/>
  <c r="G104" i="1"/>
  <c r="E104" i="1"/>
  <c r="N102" i="1"/>
  <c r="M102" i="1"/>
  <c r="L102" i="1"/>
  <c r="J102" i="1"/>
  <c r="I102" i="1"/>
  <c r="H102" i="1"/>
  <c r="G102" i="1"/>
  <c r="E102" i="1"/>
  <c r="F98" i="1"/>
  <c r="F94" i="1"/>
  <c r="E94" i="1"/>
  <c r="E91" i="1" s="1"/>
  <c r="B93" i="1"/>
  <c r="B94" i="1" s="1"/>
  <c r="B95" i="1" s="1"/>
  <c r="B96" i="1" s="1"/>
  <c r="B97" i="1" s="1"/>
  <c r="B98" i="1" s="1"/>
  <c r="B99" i="1" s="1"/>
  <c r="B100" i="1" s="1"/>
  <c r="N91" i="1"/>
  <c r="M91" i="1"/>
  <c r="L91" i="1"/>
  <c r="K91" i="1"/>
  <c r="J91" i="1"/>
  <c r="I91" i="1"/>
  <c r="H91" i="1"/>
  <c r="G91" i="1"/>
  <c r="N89" i="1"/>
  <c r="M89" i="1"/>
  <c r="L89" i="1"/>
  <c r="K89" i="1"/>
  <c r="J89" i="1"/>
  <c r="I89" i="1"/>
  <c r="H89" i="1"/>
  <c r="G89" i="1"/>
  <c r="E89" i="1"/>
  <c r="F87" i="1"/>
  <c r="E87" i="1"/>
  <c r="E78" i="1"/>
  <c r="E76" i="1"/>
  <c r="E75" i="1"/>
  <c r="E74" i="1"/>
  <c r="F73" i="1"/>
  <c r="F72" i="1"/>
  <c r="E72" i="1"/>
  <c r="F71" i="1"/>
  <c r="E71" i="1"/>
  <c r="F69" i="1"/>
  <c r="E69" i="1"/>
  <c r="B67" i="1"/>
  <c r="B68" i="1" s="1"/>
  <c r="B69" i="1" s="1"/>
  <c r="B70" i="1" s="1"/>
  <c r="B71" i="1" s="1"/>
  <c r="B72" i="1" s="1"/>
  <c r="B73" i="1" s="1"/>
  <c r="B74" i="1" s="1"/>
  <c r="B75" i="1" s="1"/>
  <c r="B76" i="1" s="1"/>
  <c r="B77" i="1" s="1"/>
  <c r="B78" i="1" s="1"/>
  <c r="B79" i="1" s="1"/>
  <c r="B80" i="1" s="1"/>
  <c r="B81" i="1" s="1"/>
  <c r="B82" i="1" s="1"/>
  <c r="B83" i="1" s="1"/>
  <c r="B84" i="1" s="1"/>
  <c r="B85" i="1" s="1"/>
  <c r="B86" i="1" s="1"/>
  <c r="B87" i="1" s="1"/>
  <c r="N65" i="1"/>
  <c r="M65" i="1"/>
  <c r="L65" i="1"/>
  <c r="K65" i="1"/>
  <c r="J65" i="1"/>
  <c r="I65" i="1"/>
  <c r="H65" i="1"/>
  <c r="G65" i="1"/>
  <c r="N63" i="1"/>
  <c r="M63" i="1"/>
  <c r="L63" i="1"/>
  <c r="K63" i="1"/>
  <c r="J63" i="1"/>
  <c r="I63" i="1"/>
  <c r="H63" i="1"/>
  <c r="G63" i="1"/>
  <c r="F49" i="1"/>
  <c r="F18" i="1" s="1"/>
  <c r="E29" i="1"/>
  <c r="E18" i="1" s="1"/>
  <c r="B20" i="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N18" i="1"/>
  <c r="M18" i="1"/>
  <c r="L18" i="1"/>
  <c r="K18" i="1"/>
  <c r="J18" i="1"/>
  <c r="I18" i="1"/>
  <c r="H18" i="1"/>
  <c r="G18" i="1"/>
  <c r="N16" i="1"/>
  <c r="M16" i="1"/>
  <c r="L16" i="1"/>
  <c r="K16" i="1"/>
  <c r="J16" i="1"/>
  <c r="I16" i="1"/>
  <c r="H16" i="1"/>
  <c r="G16" i="1"/>
  <c r="F16" i="1"/>
  <c r="E16" i="1"/>
  <c r="F13" i="1"/>
  <c r="E13" i="1"/>
  <c r="F355" i="1" l="1"/>
  <c r="F376" i="1"/>
  <c r="P12" i="1"/>
  <c r="F388" i="1"/>
  <c r="I449" i="1"/>
  <c r="H601" i="1"/>
  <c r="G601" i="1"/>
  <c r="K601" i="1"/>
  <c r="M753" i="1"/>
  <c r="E751" i="1"/>
  <c r="E790" i="1"/>
  <c r="F862" i="1"/>
  <c r="K449" i="1"/>
  <c r="F449" i="1"/>
  <c r="E449" i="1"/>
  <c r="E601" i="1"/>
  <c r="L603" i="1"/>
  <c r="I14" i="1"/>
  <c r="F155" i="1"/>
  <c r="E390" i="1"/>
  <c r="G449" i="1"/>
  <c r="G12" i="1" s="1"/>
  <c r="F543" i="1"/>
  <c r="J603" i="1"/>
  <c r="K104" i="1"/>
  <c r="I601" i="1"/>
  <c r="L674" i="1"/>
  <c r="L14" i="1" s="1"/>
  <c r="F847" i="1"/>
  <c r="E63" i="1"/>
  <c r="J451" i="1"/>
  <c r="J14" i="1" s="1"/>
  <c r="F541" i="1"/>
  <c r="K603" i="1"/>
  <c r="I751" i="1"/>
  <c r="E792" i="1"/>
  <c r="F876" i="1"/>
  <c r="E301" i="1"/>
  <c r="E192" i="1"/>
  <c r="E451" i="1"/>
  <c r="F751" i="1"/>
  <c r="E849" i="1"/>
  <c r="F153" i="1"/>
  <c r="F451" i="1"/>
  <c r="N451" i="1"/>
  <c r="G603" i="1"/>
  <c r="G14" i="1" s="1"/>
  <c r="E735" i="1"/>
  <c r="F65" i="1"/>
  <c r="J449" i="1"/>
  <c r="E543" i="1"/>
  <c r="F562" i="1"/>
  <c r="L601" i="1"/>
  <c r="F603" i="1"/>
  <c r="N603" i="1"/>
  <c r="K751" i="1"/>
  <c r="K12" i="1" s="1"/>
  <c r="H847" i="1"/>
  <c r="H12" i="1" s="1"/>
  <c r="L847" i="1"/>
  <c r="F901" i="1"/>
  <c r="F63" i="1"/>
  <c r="E153" i="1"/>
  <c r="E65" i="1"/>
  <c r="F91" i="1"/>
  <c r="F89" i="1"/>
  <c r="F192" i="1"/>
  <c r="F104" i="1"/>
  <c r="F102" i="1"/>
  <c r="K268" i="1"/>
  <c r="K14" i="1" s="1"/>
  <c r="E268" i="1"/>
  <c r="E266" i="1"/>
  <c r="F268" i="1"/>
  <c r="F266" i="1"/>
  <c r="E299" i="1"/>
  <c r="E355" i="1"/>
  <c r="E353" i="1"/>
  <c r="E541" i="1"/>
  <c r="E560" i="1"/>
  <c r="N601" i="1"/>
  <c r="M601" i="1"/>
  <c r="M12" i="1" s="1"/>
  <c r="M603" i="1"/>
  <c r="M14" i="1" s="1"/>
  <c r="F792" i="1"/>
  <c r="F790" i="1"/>
  <c r="F560" i="1"/>
  <c r="F601" i="1"/>
  <c r="J601" i="1"/>
  <c r="E603" i="1"/>
  <c r="J751" i="1"/>
  <c r="N751" i="1"/>
  <c r="F753" i="1"/>
  <c r="E903" i="1"/>
  <c r="E901" i="1"/>
  <c r="F849" i="1"/>
  <c r="F903" i="1"/>
  <c r="F735" i="1"/>
  <c r="F737" i="1"/>
  <c r="E847" i="1"/>
  <c r="N12" i="1" l="1"/>
  <c r="I12" i="1"/>
  <c r="J12" i="1"/>
  <c r="L12" i="1"/>
  <c r="N14" i="1"/>
  <c r="E12" i="1"/>
  <c r="F14" i="1"/>
  <c r="F12" i="1"/>
  <c r="E14" i="1"/>
</calcChain>
</file>

<file path=xl/sharedStrings.xml><?xml version="1.0" encoding="utf-8"?>
<sst xmlns="http://schemas.openxmlformats.org/spreadsheetml/2006/main" count="3323" uniqueCount="1265">
  <si>
    <t xml:space="preserve"> </t>
  </si>
  <si>
    <t>Інформація</t>
  </si>
  <si>
    <t>про використання коштів державного фонду регіонального розвитку</t>
  </si>
  <si>
    <t>за бюджетною програмою КПКВК 2761070</t>
  </si>
  <si>
    <t>(відповідно до постанови Кабінету Міністрів України від 18.03.2015 № 196)</t>
  </si>
  <si>
    <t>станом на 1 січня 2018 року</t>
  </si>
  <si>
    <t>тис. гривень</t>
  </si>
  <si>
    <t>№ п/п</t>
  </si>
  <si>
    <t>Найменування об’єкта та його місцезнаходження, вид робіт</t>
  </si>
  <si>
    <t>Рік початку і закін-чення будівни-цтва</t>
  </si>
  <si>
    <t>По об'єктах, роботи на яких повністю завершені</t>
  </si>
  <si>
    <t>За рахунок коштів державного фонду регіонального розвитку 
(розпорядження КМУ від 07.06.2017 № 439-р (із змінами)</t>
  </si>
  <si>
    <t>Дата прийняття в експлуа-тацію об'єкта*</t>
  </si>
  <si>
    <t>передбачено</t>
  </si>
  <si>
    <t>відкрито асигнувань</t>
  </si>
  <si>
    <t>проведено касових видатків</t>
  </si>
  <si>
    <t>фактично виконано робіт</t>
  </si>
  <si>
    <t>заборгованість за фактично виконані роботи (у 2017 році)</t>
  </si>
  <si>
    <t>дата та номер Акта приймання виконаних будівельних робіт</t>
  </si>
  <si>
    <t>дата та номер Сертифікату або Декларації про готовність об'єкта до експлуатації**</t>
  </si>
  <si>
    <t>загальний фонд</t>
  </si>
  <si>
    <t>спеціальний фонд</t>
  </si>
  <si>
    <t>спеціаль-ний фонд</t>
  </si>
  <si>
    <t>РАЗОМ</t>
  </si>
  <si>
    <t>нерозподілений залишок</t>
  </si>
  <si>
    <t>розпорядження КМУ від 07.06.2017 № 439-р (із змінами)</t>
  </si>
  <si>
    <t>ВІННИЦЬКА</t>
  </si>
  <si>
    <t>ВСЬОГО</t>
  </si>
  <si>
    <t xml:space="preserve">Мостова споруда через р. Південний Буг по вул. Чорновола, м. Вінниця – реконструкція 
</t>
  </si>
  <si>
    <t>2017-2018</t>
  </si>
  <si>
    <t>вересень 2018 р.</t>
  </si>
  <si>
    <t xml:space="preserve">Розширення 2-х поверхового корпусу лікувально-діагностичного відділення на території обласної фізіотерапевтичної лікарні по вул. Шолом Алейхема, 8, м. Хмільник – реконструкція 
</t>
  </si>
  <si>
    <t>2012-2018</t>
  </si>
  <si>
    <t xml:space="preserve"> грудень 2018 р.</t>
  </si>
  <si>
    <t xml:space="preserve">Спортивно-оздоровчий заклад "Юність" по вул. Київській, 15, м. Жмеринка – реконструкція 
</t>
  </si>
  <si>
    <t>2016-2018</t>
  </si>
  <si>
    <t>грудень 2018 р.</t>
  </si>
  <si>
    <t xml:space="preserve">Комунальний заклад "Погребищенська загальноосвітня школа №1 І-ІІІ ступенів Погребищенської районної ради Вінницької області" по вул. Б. Хмельницького, 102, м. Погребище (І, ІІ черга) – реконструкція корпусу №1 
</t>
  </si>
  <si>
    <t>2016-2017</t>
  </si>
  <si>
    <t xml:space="preserve"> грудень 2017 р.</t>
  </si>
  <si>
    <t>б/н від 20.12.2017</t>
  </si>
  <si>
    <t>документація оформляється</t>
  </si>
  <si>
    <t xml:space="preserve">Вінницький обласний український музично-драматичний театр ім. Садовського по вул. Театральній, 13 – реставрація з реконструкцією 
</t>
  </si>
  <si>
    <t>2009-2018</t>
  </si>
  <si>
    <t xml:space="preserve">Проспект Космонавтів, м. Вінниця (ІІІ черга від вул. Келецької до вул. А. Первозванного) – реконструкція 
</t>
  </si>
  <si>
    <t xml:space="preserve">Поліклініка по вул. Незалежності, смт Теплик – будівництво 
</t>
  </si>
  <si>
    <t>1992-2018</t>
  </si>
  <si>
    <t xml:space="preserve">Створення умов для захисту правових і економічних інтересів особистих селянських господарств, а також розширення асортименту молочної продукції для соціальної сфери Томашпільського району (реконструкція частини нежитлової будівлі в міні-цех з переробки молока по вул. Гагаріна, 42, в с. Антонівка Томашпільського району для комунального підприємства "Архітектурно-планувальне бюро") 
</t>
  </si>
  <si>
    <t>серпень 2018 р.</t>
  </si>
  <si>
    <t xml:space="preserve">Загальноосвітня школа І-ІІІ ступенів по вул.Суворова,1, с. Зведенівка Шаргородського району – добудова незавершеної будівлі 
</t>
  </si>
  <si>
    <t xml:space="preserve">Вінницьке обласне спеціалізоване територіальне медичне об’єднання “Фтизіатрія” у с. Бохоники Вінницького району – реконструкція приміщення відділення легеневого туберкульозу для дорослих № 2 
</t>
  </si>
  <si>
    <t>2015-2017</t>
  </si>
  <si>
    <t>грудень 2017 р.</t>
  </si>
  <si>
    <t>№47д від 26.12.2017</t>
  </si>
  <si>
    <t xml:space="preserve">Середня загальноосвітня школа I-III ступеня у с. Сосонка Вінницького району – реконструкція 
</t>
  </si>
  <si>
    <t>2007-2018</t>
  </si>
  <si>
    <t xml:space="preserve">Гімназія по вул. Шолом Алейхема, 1 у м. Могилів-Подільський – реконструкція частини приміщення будівлі літера Б для розміщення спортивно-оздоровчого комплексу 
</t>
  </si>
  <si>
    <t xml:space="preserve">Спорткомплекс по вул. Гагаріна,28 у с. Іванів Калинівського району – будівництво 
</t>
  </si>
  <si>
    <t xml:space="preserve">Незавершене будівництво “Районного спортивного комплексу” по вул. Довженка у м. Козятин – реконструкція 
</t>
  </si>
  <si>
    <t>2008-2018</t>
  </si>
  <si>
    <t xml:space="preserve">Житловий будинок по вул. Шкільній, 15а у смт Турбів Липовецького району – реконструкція під побутові приміщення з влаштуванням спортивних майданчиків 
</t>
  </si>
  <si>
    <t xml:space="preserve">Спортивний майданчик із штучним покриттям по вул. Шевченка у м. Погребище – будівництво (в рамках реалізації проекту “Здорове підростаюче покоління — здорова нація. Розвиток спортивної інфраструктури у м. Погребище”) 
</t>
  </si>
  <si>
    <t>№3 від 29.11.2017</t>
  </si>
  <si>
    <t xml:space="preserve">Будівля дошкільного навчального закладу № 7 по вул. Пушкіна, 79 у м. Хмільник – реконструкція з використанням енергозберігаючих технологій із утепленням фасаду та горищного перекриття 
</t>
  </si>
  <si>
    <t>червень 2018 р.</t>
  </si>
  <si>
    <t xml:space="preserve">Загальноосвітня школа І—ІІІ ступеня по вул. Перемоги, 15 у с. Баланівка Бершадського району – будівництво опалювального пункту 
</t>
  </si>
  <si>
    <t xml:space="preserve">акт №1 від 10.11.2017 </t>
  </si>
  <si>
    <t xml:space="preserve">Навчально-виховний комплекс загальноосвітня школа І-ІІІ ступеня – гімназія по вул. Центральній (Леніна), 46 у смт Піщанка – технічне переоснащення котельні із заміною котлів на сучасні енергоефективні 
</t>
  </si>
  <si>
    <t>№3 від 06.12.2017</t>
  </si>
  <si>
    <t xml:space="preserve">Загальноосвітня школа І-ІІ ступеня у с. Сліди Тиврівського району – реконструкція системи теплопостачання 
</t>
  </si>
  <si>
    <t>№2 від 05.12.2017</t>
  </si>
  <si>
    <t xml:space="preserve">Загальноосвітня школа І-ІІІ ступеня у с. Юрківка Тульчинського району – будівництво модульного опалювального пункту 
</t>
  </si>
  <si>
    <t xml:space="preserve">№1,2,3,4 від 08.2017 </t>
  </si>
  <si>
    <t xml:space="preserve">Приміщення школи у с. Сокіл Чернівецького району – реконструкція (впровадження енергоефективних заходів) 
</t>
  </si>
  <si>
    <t xml:space="preserve">Юхимівська загальноосвітня школа І-ІІІ ступеня у с. Юхимівка Шаргородського району – реконструкція 
</t>
  </si>
  <si>
    <t>№8 від 07.12.2017</t>
  </si>
  <si>
    <t xml:space="preserve">Будівля загальноосвітньої школи І-ІІІ ступеня у с. Клембівка Ямпільського району – реконструкція 
</t>
  </si>
  <si>
    <t xml:space="preserve">Комунальна установа “Могилів-Подільська окружна лікарня інтенсивного лікування” по вул. Полтавській, 89/2 у м. Могилів-Подільський – реконструкція харчоблоку із застосуванням заходів з енергозбереження 
</t>
  </si>
  <si>
    <t>№6 від 07.12.2017</t>
  </si>
  <si>
    <t xml:space="preserve">Комунальна установа “Жмеринська центральна районна лікарня” по вул. Київській, 288 у м. Жмеринка – реконструкція терапевтичного відділення із утепленням фасаду з використанням енергозберігаючих технологій 
</t>
  </si>
  <si>
    <t>№4 від 13.12.2017</t>
  </si>
  <si>
    <t xml:space="preserve">Комунальна будівля Вендичанського дошкільного навчального закладу по вул. 40 років Перемоги, 10, у смт Вендичани Могилів - Подільського району – реконструкція з метою впровадження енергозберігаючих технологій та створення на її базі амбулаторії 
</t>
  </si>
  <si>
    <t>№12 від 13.12.2017</t>
  </si>
  <si>
    <t xml:space="preserve">Ямпільська центральна районна лікарня по вул. Пирогова, 1, у м. Ямполі – реконструкція головного корпусу 
</t>
  </si>
  <si>
    <t xml:space="preserve">Центр надання адміністративних послуг у с. Джулинка Бершадського району – реконструкція приміщення 
</t>
  </si>
  <si>
    <t>№21 від 07.12.2017</t>
  </si>
  <si>
    <t xml:space="preserve">Відокремлений підрозділ Подільський зоопарк Вінницького обласного комунального спеціалізованого лісогосподарського підприємства “Віноблагроліс” по вул. Зулінського, 9, у м. Вінниці — будівництво комплексу для утримання та розведення диких червонокнижних тварин. Вольєр № 1 (перша черга)  
</t>
  </si>
  <si>
    <t xml:space="preserve">Вінницький обласний клінічний онкологічний диспансер по вул. Хмельницьке шосе, 84, у м. Вінниці – реконструкція урологічного відділення 
</t>
  </si>
  <si>
    <t xml:space="preserve">Вінницька обласна дитяча клінічна лікарня – реконструкція відділення анестезіології та інтенсивної терапії 
</t>
  </si>
  <si>
    <t xml:space="preserve">Напірний колектор каналізації у м. Хмільнику – будівництво другої лінії від каналізаційної станції № 3 по вул. 1-го Травня до очисних споруд каналізації по вул. Фрунзе, 130 
</t>
  </si>
  <si>
    <t xml:space="preserve">Дитячий будинок-інтернат по вул. Новосільській, 39, у смт Стрижавка Вінницького району – реконструкція частини приміщень існуючої будівлі під оздоровчий комплекс для дітей-інвалідів 
</t>
  </si>
  <si>
    <t xml:space="preserve">Михайлівська загальноосвітня школа I-III ступеня у Гайсинському районі – завершення будівництва нового корпусу з утепленням покрівлі 
</t>
  </si>
  <si>
    <t>2004-2018</t>
  </si>
  <si>
    <t xml:space="preserve">Сільський будинок культури у с. Росоша Липовецького району – реконструкція 
</t>
  </si>
  <si>
    <t>№4 від 08.12.2017</t>
  </si>
  <si>
    <t xml:space="preserve">Дитячий садок у с. Марксово Немирівського району – реконструкція 
</t>
  </si>
  <si>
    <t>2015-2018</t>
  </si>
  <si>
    <t>квітень 2018 р.</t>
  </si>
  <si>
    <t xml:space="preserve">Сутисківський дошкільний навчальний заклад “Пролісок” по вул. Гагаріна, 10, у смт Сутиски Тиврівського району – реконструкція 
</t>
  </si>
  <si>
    <t>2013-2018</t>
  </si>
  <si>
    <t xml:space="preserve">Будинок культури у с. Летківка Тростянецького району – реконструкція 
</t>
  </si>
  <si>
    <t>2017-2019</t>
  </si>
  <si>
    <t>грудень 2019 р.</t>
  </si>
  <si>
    <t xml:space="preserve">Мережа зовнішнього освітлення у с.Мельниківці Немирівського району – реконструкція 
</t>
  </si>
  <si>
    <t xml:space="preserve">Придбання шкільних автобусів для Немирівського району 
</t>
  </si>
  <si>
    <t>2017</t>
  </si>
  <si>
    <t>листопад 2017 р.</t>
  </si>
  <si>
    <t>б/н від 11.2017 р.</t>
  </si>
  <si>
    <t>не потребує</t>
  </si>
  <si>
    <t xml:space="preserve">Середня загальноосвітня школа № 2 по вул. Шкільній, 14, с. Городківка Крижопільського району - реконструкція приміщення, даху та утеплення фасадів 
</t>
  </si>
  <si>
    <t xml:space="preserve">Біоенергетичне забезпечення сільських громад на прикладі Северинівської об’єднаної територіальної громади (впровадження альтернативних джерел теплопостачання в Северинівській громаді) 
</t>
  </si>
  <si>
    <t>ВОЛИНСЬКА</t>
  </si>
  <si>
    <t xml:space="preserve">Волинський обласний перинатальний центр по просп. Відродження, 30, в м. Луцьку – будівництво акушерсько-гінекологічного корпусу 
</t>
  </si>
  <si>
    <t>2013-2017</t>
  </si>
  <si>
    <t>б/н від 26.12.2017</t>
  </si>
  <si>
    <t xml:space="preserve">Іваничівська центральна районна лікарня по вул. Грушевського, 45, в смт Іваничі – капітальний ремонт блоку А (термореновація будівлі) 
</t>
  </si>
  <si>
    <t>листопад 2018 р.</t>
  </si>
  <si>
    <t xml:space="preserve">Навчально-виховний комплекс “Загальноосвітня школа I-III ступеня - гімназія імені С.Є. Ткача” по вул. Перемоги, 1, в смт Голоби Ковельського району – реконструкція (утеплення) 
</t>
  </si>
  <si>
    <t>№1 від 27.12.2017</t>
  </si>
  <si>
    <t xml:space="preserve">Горохівська загальноосвітня школа I-III ступеня імені І. Франка по вул. Лисенка – реконструкція з добудовою їдальні та залу для занять хореографією 
</t>
  </si>
  <si>
    <t xml:space="preserve">Дошкільний навчальний заклад в с. Залісці Рожищенського району – реконструкція 
</t>
  </si>
  <si>
    <t>б/н від 22.12.2017</t>
  </si>
  <si>
    <t xml:space="preserve">Рожищенська районна дитячо-юнацька спортивна школа по вул. Гагаріна, 40, – будівництво спортивних майданчиків із штучним покриттям 
</t>
  </si>
  <si>
    <t xml:space="preserve">Загальноосвітня школа I-III ступеня в с. Седлище Любешівського району – реконструкція з добудовою спортивної зали 
</t>
  </si>
  <si>
    <t xml:space="preserve">Стадіон “Дружба” в смт Голоби Ковельського району – реконструкція (благоустрій) 
</t>
  </si>
  <si>
    <t>№3 від 26.12.2017</t>
  </si>
  <si>
    <t>благоустрій</t>
  </si>
  <si>
    <t xml:space="preserve">Дошкільний навчальний заклад в с. Старосілля Іваничівського району – реконструкція 
</t>
  </si>
  <si>
    <t xml:space="preserve">Загальноосвітня школа I-III ступеня на 198 учнів в с. Любохини Старовижівського району – будівництво 
</t>
  </si>
  <si>
    <t>2011-2018</t>
  </si>
  <si>
    <t xml:space="preserve">Школа I-III ступеня в с. Осівці Камінь-Каширського району – будівництво 
</t>
  </si>
  <si>
    <t xml:space="preserve">Загальноосвітня школа в с. Заброди Ратнівського району – капітальний ремонт з впровадженням енергозберігаючих технологій 
</t>
  </si>
  <si>
    <t>№5 від 13.12.2017</t>
  </si>
  <si>
    <t xml:space="preserve">Двоповерховий дитячий ясла-садок по вул. Набережній в смт Ратне – будівництво 
</t>
  </si>
  <si>
    <t xml:space="preserve">Створення належних умов для забезпечення рівного доступу до якісної освіти. Придбання шкільного автобусу для Горохівського району 
</t>
  </si>
  <si>
    <t>накл.№40 від 27.12.17</t>
  </si>
  <si>
    <t xml:space="preserve">Створення належних умов для забезпечення рівного доступу до якісної освіти. Придбання двох шкільних автобусів для Камінь-Каширського району 
</t>
  </si>
  <si>
    <t>накл.№47 від 28.12.17</t>
  </si>
  <si>
    <t xml:space="preserve">Створення належних умов для забезпечення рівного доступу до якісної освіти. Придбання чотирьох шкільних автобусів для Ківерцівського району 
</t>
  </si>
  <si>
    <t>накл.№38 від 27.12.17</t>
  </si>
  <si>
    <t xml:space="preserve">Створення належних умов для забезпечення рівного доступу до якісної освіти. Придбання двох шкільних автобусів для Локачинського району 
</t>
  </si>
  <si>
    <t>накл.№48 від 28.12.17</t>
  </si>
  <si>
    <t xml:space="preserve">Створення належних умов для забезпечення рівного доступу до якісної освіти. Придбання шкільного автобусу для Любешівського району 
</t>
  </si>
  <si>
    <t>накл.№39 від 27.12.17</t>
  </si>
  <si>
    <t xml:space="preserve">Створення належних умов для забезпечення рівного доступу до якісної освіти. Придбання шкільного автобусу для Старовижівського району 
</t>
  </si>
  <si>
    <t>накл.№41 від 27.12.17</t>
  </si>
  <si>
    <t xml:space="preserve">Створення належних умов для забезпечення рівного доступу до якісної освіти. Придбання двох шкільних автобусів для Ратнівського району 
</t>
  </si>
  <si>
    <t>накл.№43 від 27.12.17</t>
  </si>
  <si>
    <t xml:space="preserve">Створення належних умов для забезпечення рівного доступу до якісної освіти. Придбання шкільного автобусу для Шацького району 
</t>
  </si>
  <si>
    <t>накл.№42 від 27.12.17</t>
  </si>
  <si>
    <t xml:space="preserve">Загальноосвітня школа I-III ступеня по вул. Ватутіна, 108, в с. Вербка Ковельського району – будівництво навчальних приміщень 
</t>
  </si>
  <si>
    <t>б/н від 27.12.2017</t>
  </si>
  <si>
    <t>ДНІПРОПЕТРОВСЬКА</t>
  </si>
  <si>
    <t xml:space="preserve">Будівля комунального закладу “Дніпропетровська обласна клінічна офтальмологічна лікарня” на пл. Жовтневій, 14, у м. Дніпропетровську – реконструкція (перша черга) 
</t>
  </si>
  <si>
    <t xml:space="preserve">Комунальний заклад освіти “Середня загальноосвітня школа № 105” Дніпровської міської ради по вул. Жовтневій, 26, у м. Дніпрі – реконструкція будівлі під навчально-виховний комплекс 
</t>
  </si>
  <si>
    <t xml:space="preserve">Комунальний заклад “Дніпропетровський обласний перинатальний центр зі стаціонаром” Дніпропетровської обласної ради по вул. Космічній, 17, у м. Дніпропетровську – реконструкція відділення постінтенсивного догляду та виходжування новонароджених 
</t>
  </si>
  <si>
    <t xml:space="preserve">Комунальний заклад “Навчально-виховний комплекс “Загальноосвітній навчальний заклад I-II ступеня - академічний ліцей № 15 м. Дніпродзержинська” Дніпродзержинської міської ради по вул. 40 років Перемоги, 10, – реконструкція частини будівлі 
</t>
  </si>
  <si>
    <t xml:space="preserve">Комунальний заклад освіти “Середня загальноосвітня школа № 6” Дніпропетровської міської ради по вул. Робочій, 64, у м. Дніпропетровську – реконструкція існуючих майстерень під харчоблок 
</t>
  </si>
  <si>
    <t xml:space="preserve">Комунальний позашкільний навчальний заклад “Дитячо-юнацька спортивна школа № 3” Криворізької міської ради по вул. Зарічній, 3, у м. Кривому Розі – реконструкція стадіону 
</t>
  </si>
  <si>
    <t xml:space="preserve">Комунальний спеціалізований навчальний заклад спортивного профілю “Дніпропетровське вище училище фізичної культури” Дніпропетровської обласної ради по вул. Г. Сталінграда, 29а, у м. Дніпропетровську – реконструкція зали боксу спортивного комплексу (безкаркасного ангару) під спортивно-адміністративний комплекс 
</t>
  </si>
  <si>
    <t xml:space="preserve">Парк імені Федора Мершовцева у м. Кривому Розі – реконструкція (друга черга) 
</t>
  </si>
  <si>
    <t xml:space="preserve">Площа Героїв у м. Новомосковську – реконструкція (перша та друга черги) 
</t>
  </si>
  <si>
    <t>ДОНЕЦЬКА</t>
  </si>
  <si>
    <t xml:space="preserve">Будівля Артемівської загальноосвітньої школи I-III ступеня № 5 з профільним навчанням Артемівської міської ради - реконструкція: утеплення фасадів, покрівлі, заміна вікон та дверей (термомодернізація) 
(у тому числі погашення кредиторської заборгованості - 266,453 тис.) 
</t>
  </si>
  <si>
    <t>б/н від 12.2017 р.</t>
  </si>
  <si>
    <t>Декларація від 13.12.17 №ДЦ 162173471690</t>
  </si>
  <si>
    <t xml:space="preserve">Будівля Артемівської загальноосвітньої школи I-III ступеня № 18 з профільним навчанням Артемівської міської ради - реконструкція: утеплення фасадів, покрівлі, заміна вікон та дверей (термомодернізація) 
(у тому числі погашення кредиторської заборгованості - 345,591 тис.) 
</t>
  </si>
  <si>
    <t xml:space="preserve">Декларація від 13.12.17 №ДЦ 162173471690  </t>
  </si>
  <si>
    <t xml:space="preserve">Містобудівний кадастр Донецької області – створення 
</t>
  </si>
  <si>
    <t>№Ю17-0603 від 21.12.2017</t>
  </si>
  <si>
    <t xml:space="preserve">Міст на автомобільній дорозі державного значення Красний Лиман - Артемівськ - Горлівка, км 28 + 044 – будівництво 
</t>
  </si>
  <si>
    <t>б/н від 13.12.2017</t>
  </si>
  <si>
    <t xml:space="preserve">Міст на автомобільній дорозі державного значення Красний Лиман - Артемівськ - Горлівка, км 12 + 488 – капітальний ремонт 
</t>
  </si>
  <si>
    <t xml:space="preserve">Міст на автомобільній дорозі державного значення Київ - Харків - Довжанський, км 675 + 378 – будівництво 
</t>
  </si>
  <si>
    <t xml:space="preserve">Ділянка водопроводу Д-300 мм по вул. Ціолковського від вул. Сибірцева до вул. Горбатова, 71, у м. Бахмуті – капітальний ремонт 
</t>
  </si>
  <si>
    <t>лютий 2018 р.</t>
  </si>
  <si>
    <t>б/н від 01.11.2017</t>
  </si>
  <si>
    <t xml:space="preserve">Удосконалення пасажирських перевезень міським електротранспортом на території громади м. Краматорська – придбання десятьох тролейбусів 
</t>
  </si>
  <si>
    <t xml:space="preserve">№РН -0000088 від 04.12.2017 </t>
  </si>
  <si>
    <t xml:space="preserve">Вуличне освітлення, м. Новогродівка – капітальний ремонт 
</t>
  </si>
  <si>
    <t>№2 від 19.12.2017</t>
  </si>
  <si>
    <t xml:space="preserve">Будівля дитячого садка “Сніжинка” по вул. Мічуріна, 34, у м. Новогродівці – реконструкція під центр розвитку дитини 
</t>
  </si>
  <si>
    <t xml:space="preserve">Комплекс будівель по вул. О. Сибірцева, 3, у м. Бахмуті – реконструкція для розміщення обласного лікарсько-фізкультурного диспансеру, водолікарні з басейном, гуртожитку 
</t>
  </si>
  <si>
    <t xml:space="preserve">Палац спорту, плавальний басейн по вул. Спортивній у смт Новодонецьке м. Добропілля – капітальний ремонт 
</t>
  </si>
  <si>
    <t xml:space="preserve">Дитячо-юнацька спортивна школа і котельня у м. Селидове – технічне переоснащення 
</t>
  </si>
  <si>
    <t xml:space="preserve">Артемівський районний спортивно-оздоровчий комплекс “Доломітчик” по просп. Миру (Леніна), 6, у м. Сіверську Бахмутського (Артемівського) району – реконструкція 
</t>
  </si>
  <si>
    <t>№2 від 04.12.2017</t>
  </si>
  <si>
    <t xml:space="preserve">Дошкільний навчальний заклад № 58 “Ясочка” по вул. Горбатова, 91, у м. Бахмуті – капітальний ремонт 
</t>
  </si>
  <si>
    <t>Декларація від 27.12.17 №ДЦ 162173610116</t>
  </si>
  <si>
    <t xml:space="preserve">Центр дитячої та юнацької творчості відділу освіти Добропільської міської ради мікрорайону Молодіжний, 22а, у м. Добропіллі – капітальний ремонт 
</t>
  </si>
  <si>
    <t xml:space="preserve">Шахтарська загальноосвітня школа I-III ступеня по вул. Центральній, 70, у с. Шахтарське Великоновосілківського району – капітальний ремонт (термомодернізація) 
</t>
  </si>
  <si>
    <t xml:space="preserve">Будівля Андріївської загальноосвітньої школи I-III ступеня, с. Андріївка Великоновосілківського району – капітальний ремонт (термомодернізація) 
</t>
  </si>
  <si>
    <t>№3 від 13.12.2017</t>
  </si>
  <si>
    <t xml:space="preserve">Будівля дитячого навчального закладу “Тополька” по вул. Первомайській у с. Парасковіївка Бахмутського району – капітальний ремонт 
</t>
  </si>
  <si>
    <t xml:space="preserve">№1 від 22.12.2017 </t>
  </si>
  <si>
    <t xml:space="preserve">Будівля загальноосвітньої школи I-III ступеня, с. Рай-Олександрівка Слов’янського району – капітальний ремонт (термомодернізація) 
</t>
  </si>
  <si>
    <t>№3 від 27.12.2017</t>
  </si>
  <si>
    <t xml:space="preserve">Будівля дитячого інфекційного відділення будівлі комунальної лікувально-профілактичної установи “Дружківська міська лікарня № 2”, м. Дружківка – капітальний ремонт 
</t>
  </si>
  <si>
    <t>№7 від 26.12.2017</t>
  </si>
  <si>
    <t xml:space="preserve">Будівля дитячого стаціонару комунального закладу “Маріупольське територіальне медичне об’єднання здоров’я дитини та жінки” по просп. Миру (просп. Леніна), 80, у м. Маріуполі – капітальний ремонт по утепленню фасадів 
</t>
  </si>
  <si>
    <t>№33/12 від 26.12.2017</t>
  </si>
  <si>
    <t xml:space="preserve">Пологовий будинок по вул. Університетській (вул. Леніна), 15, у м. Слов’янську – реконструкція (удосконалення перинатальної допомоги мешканцям м. Слов’янська шляхом впровадження новітніх технологій) 
</t>
  </si>
  <si>
    <t xml:space="preserve">Районний центр первинної медико-санітарної допомоги Олександрівської районної ради по вул. Дзержинського, 8а, у смт Олександрівка – капітальний ремонт корпусів № 1 та 2 з благоустроєм прилеглої території 
</t>
  </si>
  <si>
    <t xml:space="preserve">Комунальна лікувально-профілактична установа “Дружківська міська клінічна лікарня № 1” по вул. Котляревського, 151, у м. Дружківці – капітальний ремонт будівлі лікарні, будівлі інфекційного відділення 
</t>
  </si>
  <si>
    <t xml:space="preserve">Розбудова центру надання адміністративних послуг у м. Краматорську шляхом оснащення та придбання обладнання 
</t>
  </si>
  <si>
    <t xml:space="preserve">Розвиток центру надання адміністративних послуг, підвищення якості і доступності надання адміністративних послуг суб’єктам підприємницької діяльності та мешканцям територіальної громади м. Новогродівки шляхом проведення капітального ремонту адміністративної будівлі по вул. Парковій, 10, та придбання обладнання 
</t>
  </si>
  <si>
    <t>№5 від 26.12.2017</t>
  </si>
  <si>
    <t xml:space="preserve">Адміністративні будівлі на площі Шибанкова, 11, у м. Покровську – прибудова під центр надання адміністративних послуг 
</t>
  </si>
  <si>
    <t xml:space="preserve">Підвищення якості і доступності надання адміністративних послуг у м. Торецьку шляхом створення центру надання адміністративних послуг 
</t>
  </si>
  <si>
    <t>жовтень 2018 р.</t>
  </si>
  <si>
    <t xml:space="preserve">Підвищення якості надання адміністративних послуг у м. Часів Яр Бахмутського району шляхом проведення капітального ремонту будівлі по вул. Цілинників, 2, та придбання обладнання 
</t>
  </si>
  <si>
    <t xml:space="preserve">Будівля дитячого садка № 1 по вул. Без назви, 20а, м. Світлодарськ Бахмутського району — реконструкція під центр надання адміністративних послуг 
</t>
  </si>
  <si>
    <t xml:space="preserve">Підвищення якості і доступності надання адміністративних послуг в Мангушському районі 
</t>
  </si>
  <si>
    <t>№73 від 12.12.2017</t>
  </si>
  <si>
    <t xml:space="preserve">Водопровідні мережі, с. Сергіївка Красноармійського району – капітальний ремонт 
</t>
  </si>
  <si>
    <t>№5 від 20.11.2017</t>
  </si>
  <si>
    <t>Декларація від 07.12.17 №ДЦ 141173411737</t>
  </si>
  <si>
    <t xml:space="preserve">Спрощення процедури отримання адміністративних послуг та поліпшення якості їх надання для центру надання адміністративних послуг Ясинуватської районної державної адміністрації, смт Очеретино Ясинуватського району  
</t>
  </si>
  <si>
    <t>№23 від 11.12.2017</t>
  </si>
  <si>
    <t xml:space="preserve">Нежитлова будівля, м. Соледар – реконструкція під центр надання адміністративних та соціальних послуг Соледарської міської об’єднаної територіальної громади 
</t>
  </si>
  <si>
    <t xml:space="preserve">Комунальний заклад охорони здоров’я “Бахмутська центральна районна лікарня” по вул. Миру, 10, в м. Бахмуті — реконструкція корпусу № 1 
</t>
  </si>
  <si>
    <t xml:space="preserve">Комунальний заклад “Селидівський центр первинної медико-санітарної допомоги” в м. Селидове — капітальний ремонт (термомодернізація) будівлі амбулаторії № 1 (заміна і утеплення покрівлі, ремонт внутрішніх приміщень) 
</t>
  </si>
  <si>
    <t xml:space="preserve">Будинок лікувального корпусу Великоновосілківськоїцентральної районної лікарні, пров. Южний, 3, в смт Велика Новосілка — капітальний ремонт (термомодернізація) 
</t>
  </si>
  <si>
    <t xml:space="preserve">Загальноосвітня школа I—III ступеня в с. Малинівка — капітальний ремонт (термомодернізація) 
</t>
  </si>
  <si>
    <t xml:space="preserve">Навчально-виховний комплекс “Загальноосвітня школа I—III ступеня № 7 — дошкільний навчальний заклад” Добропільської міської ради по вул. Саратовській, 29, в м. Добропіллі — капітальний ремонт 
</t>
  </si>
  <si>
    <t xml:space="preserve">Дружківська гімназія “Інтелект” Дружківської міської ради по вул. Космонавтів, 16, в м. Дружківці — капітальний ремонт будівлі з використанням заходів термомодернізації 
</t>
  </si>
  <si>
    <t xml:space="preserve">Комунальний заклад “Артемівський районний будинок культури” по вул. Київській, 2, у с-щі Опитне Артемівського району — капітальний ремонт будівлі 
</t>
  </si>
  <si>
    <t xml:space="preserve">Загальноосвітня школа I—III ступеня № 17 Добропільськоїміської ради по вул. Комсомольській, 5, в смт Новодонецькому м. Добропілля — капітальний ремонт 
</t>
  </si>
  <si>
    <t xml:space="preserve">Удачненський центр культури та дозвілля комунального закладу культури “Покровський районний культурно-дозвіллєвий центр” — капітальний ремонт частини будівлі 
</t>
  </si>
  <si>
    <t xml:space="preserve">Дошкільний заклад № 17 “Орлятко” по вул. Преображенській, 26а, в м. Соледарі — реконструкція 
</t>
  </si>
  <si>
    <t xml:space="preserve">Дошкільний заклад № 59 “Червона квіточка” по вул. 60 років Жовтня, 3а, в м. Соледарі — капітальний ремонт 
</t>
  </si>
  <si>
    <t xml:space="preserve">Дитячий садок Бердянської сільської ради Мангушськогорайону по вул. Молодіжній, 21а, в с. Бердянське — капітальний ремонт 
</t>
  </si>
  <si>
    <t>ЖИТОМИРСЬКА</t>
  </si>
  <si>
    <t xml:space="preserve">Центральний стадіон, м. Житомир – реконструкція західної трибуни 
</t>
  </si>
  <si>
    <t>№7 від 27.12.2017</t>
  </si>
  <si>
    <t>завершено в межах плану на 2017 рік</t>
  </si>
  <si>
    <t xml:space="preserve">Центральний стадіон по вул. Фещенка-Чопівського, 18, у м. Житомирі – реконструкція футбольного поля та благоустрій території 
</t>
  </si>
  <si>
    <t xml:space="preserve">Нежитлова будівля (пам’ятка історії) по вул. Європейській, 21, у м. Бердичеві – реставраційно-ремонтні роботи з відновлення театру 
</t>
  </si>
  <si>
    <t>№23 від 27.12.2017</t>
  </si>
  <si>
    <t xml:space="preserve">Володарсько-Волинська гімназія по вул. Гвардійців Кантемирівців, 4, смт Володарськ-Волинський – реконструкція 
</t>
  </si>
  <si>
    <t>№2 від 19.09.2017</t>
  </si>
  <si>
    <t xml:space="preserve">Загальноосвітня школа № 13 по вул. Селезньова, 101, у м. Коростені – реконструкція 
</t>
  </si>
  <si>
    <t xml:space="preserve">Гришковецька гімназія по вул. Червоний Промінь, 3, у смт Гришківці Бердичівського району – капітальний ремонт (термомодернізація) 
</t>
  </si>
  <si>
    <t xml:space="preserve">Попільнянська гімназія № 1 по вул. Горького, 42, у смт Попільня – реконструкція (санація) 
</t>
  </si>
  <si>
    <t>№3 від 20.12.2017</t>
  </si>
  <si>
    <t xml:space="preserve">Приміщення котельні по вул. Миру 35г, д (вул. Леніна, 35г), у с. Бондарівка Коростенського району – реконструкція з переплануванням під приміщення місцевої пожежної охорони 
</t>
  </si>
  <si>
    <t xml:space="preserve">Будівля Житомирської міської гімназії № 3 по вул. М. Грушевського, 8, у м. Житомирі – реконструкція 
</t>
  </si>
  <si>
    <t xml:space="preserve">Обласний медичний центр вертебрології і реабілітації по вул. Чуднівське шосе, 1, у м. Житомирі – реконструкція із застосуванням енергозберігаючих технологій 
</t>
  </si>
  <si>
    <t>травень 2018 р.</t>
  </si>
  <si>
    <t xml:space="preserve">Частина будівлі гнійної хірургії та денного стаціонару терапії по вул. Житомирській, 44/2, у м. Бердичеві – реконструкція під центр первинної медико-санітарної допомоги 
</t>
  </si>
  <si>
    <t xml:space="preserve">Амбулаторія загальної практики сімейної медицини по вул. Щорса 2, у смт Довбиш Баранівського району – реконструкція 
</t>
  </si>
  <si>
    <t>№5 від 18.10.2017</t>
  </si>
  <si>
    <t xml:space="preserve">Обласна клінічна лікарня імені О.Ф. Гербачевського по вул. Червоного Хреста, 3, у м. Житомирі – реконструкція приміщень під відділення анестезіології та інтенсивної терапії для післяопераційних хворих, відділення неврології з нейрореанімацією 
</t>
  </si>
  <si>
    <t>І черга - квіт. 2018, 
ІІ черга - груд. 2018, 
 ІІІ, ІV черги - груд. 2019</t>
  </si>
  <si>
    <t xml:space="preserve">Мережі водопостачання, м. Малин – реконструкція 
</t>
  </si>
  <si>
    <t xml:space="preserve">Барашівська загальноосвітня школа I-III ступеня по вул. Героїв Майдану, 14, у с. Бараші Ємільчинського району – реконструкція (термомодернізація) 
</t>
  </si>
  <si>
    <t xml:space="preserve">Вуличне освітлення в населених пунктах с. Високе, с. Забріддя, с. Осники, с. Городище, с. Щеніїв Високівської сільської ради Черняхівського району – реконструкція із застосуванням інноваційних енергозберігаючих технологій 
</t>
  </si>
  <si>
    <t>№2 від 27.12.2017</t>
  </si>
  <si>
    <t xml:space="preserve">Загальноосвітня школа № 1 по вул. Шевченка, 4, у смт Ємільчине – реконструкція 
</t>
  </si>
  <si>
    <t>№18 від 22.12.2017</t>
  </si>
  <si>
    <t xml:space="preserve">Квітнева загальноосвітня школа I-III ступеня по вул. Першотравневій, 5, у с. Квітневе Попільнянського району – реконструкція (термомодернізація) 
</t>
  </si>
  <si>
    <t>№2 від 20.12.2017</t>
  </si>
  <si>
    <t xml:space="preserve">Будівля гімназії по вул. Шкільній, 6, у с. Грозине Коростенського району – капітальний ремонт (енергоефективна термосанація) 
</t>
  </si>
  <si>
    <t xml:space="preserve">Будівля по вул. Київській, 53, у м. Коростишеві – реконструкція під приміщення для позашкільного навчального закладу 
</t>
  </si>
  <si>
    <t xml:space="preserve">Водогінні мережі, с. Краснопіль Чуднівського району – будівництво 
 </t>
  </si>
  <si>
    <t>№1 від 15.12.2017</t>
  </si>
  <si>
    <t xml:space="preserve">Станція знезалізнення питної води та водогінні мережі по вулицях Молочківській, Польовій, Береговій, Леніна (частково) у с. Стетківці Чуднівського району – будівництво 
</t>
  </si>
  <si>
    <t>№3 від 15.12.2017</t>
  </si>
  <si>
    <t xml:space="preserve">Липненська загальноосвітня школа I-III ступеня, с. Липне Любарського району – реконструкція (ефективна термосанація) в приміщенні 
</t>
  </si>
  <si>
    <t xml:space="preserve">Миропільська гімназія Романівського району по вул. Центральній, 46, у смт Миропіль – реконструкція (ефективна термосанація) 
</t>
  </si>
  <si>
    <t xml:space="preserve">Загальноосвітня школа I-III ступеня, с. Словечно Овруцького району – реконструкція 
</t>
  </si>
  <si>
    <t xml:space="preserve">Олевська гімназія по вул. Інтернаціональній, 34, у м. Олевську – реконструкція головного корпусу з термосанацією 
</t>
  </si>
  <si>
    <t xml:space="preserve">Вуличне освітлення, с. Скоморохи Житомирського району – реконструкція 
</t>
  </si>
  <si>
    <t>№2 від 26.12.2017</t>
  </si>
  <si>
    <t xml:space="preserve">Вуличне освітлення, с. Піски, Житомирського району – реконструкція 
</t>
  </si>
  <si>
    <t xml:space="preserve">Радомишльська гімназія по вул. Петрівській, 32, у м. Радомишлі – капітальний ремонт фасадів і даху з утепленням 
</t>
  </si>
  <si>
    <t xml:space="preserve">Червоненська загальноосвітня школа I-III ступеня, смт Червоне Андрушівського району – реконструкція із застосуванням енергозберігаючих технологій 
</t>
  </si>
  <si>
    <t xml:space="preserve">Черняхівська гімназія по вул. Червоноармійській, 14, у смт Черняхів – реконструкція покрівлі з утепленням фасадів 
</t>
  </si>
  <si>
    <t xml:space="preserve">Вуличне освітлення в населених пунктах с. Ушомир, с. Березневе, с. Заріччя, с. Ковбащина, с. Пугачівка, с. Рудня-Ушомирська, с. Садибне, с. Сантарка, с. Струмок, с. Гулянка, с. Іванопіль, с. Охотівка, с. Першотравневе, с. Ушиця, с-ще Броди, с-ще Нова Ушиця, с. Калинівка, с. Вишневе, с. Красногірка, с. Купище, с. Жабче, с. Ришавка Ушомирської сільської ради Коростенського району — капітальний ремонт 
 </t>
  </si>
  <si>
    <t xml:space="preserve">Водонапірна башта по вул. Шевченка, 49, в смт Пулини — капітальний ремонт 
</t>
  </si>
  <si>
    <t>№4 від 27.12.2017</t>
  </si>
  <si>
    <t>ЗАКАРПАТСЬКА</t>
  </si>
  <si>
    <t xml:space="preserve">Комплекс будівель під спортивно-реабілітаційний центр інвалідів з ураженням опорно-рухового апарату та інвалідів - учасників антитерористичної операції по вул. Ф. Тихого, 13б, у м. Ужгороді – реконструкція 
</t>
  </si>
  <si>
    <t xml:space="preserve">Кірешська загальноосвітня школа I ступеня, Хустський район – реконструкція під навчально-виховний комплекс 
</t>
  </si>
  <si>
    <t xml:space="preserve">Будинок культури по вул. Миру, 123, у с. Холмовець Виноградівського району – реконструкція під спортивний та актовий зал 
</t>
  </si>
  <si>
    <t xml:space="preserve">Автомобільна дорога 0-07-03-05 Великі Ком’яти - Вилок на ділянці Шаланки - Перехрестя, Виноградівський район – капітальний ремонт 
</t>
  </si>
  <si>
    <t xml:space="preserve">Автомобільна дорога загального користування місцевого значення Свалява - Довге - Липча, км 24 + 500 - 41 + 200, – поточний ремонт 
</t>
  </si>
  <si>
    <t>КБ-2 б/н грудень 2017р.</t>
  </si>
  <si>
    <t xml:space="preserve">Міжнародний аеропорт “Ужгород” по вул. Собранецькій, 145, в м. Ужгороді – капітальний ремонт злітно-посадкової смуги 
</t>
  </si>
  <si>
    <t xml:space="preserve">Існуючі гаражі Хустської міської ради по вул. 900-річчя Хуста № 27 в м. Хуст – реконструкція під центр надання адміністративних послуг на 25 робочих місць 
</t>
  </si>
  <si>
    <t xml:space="preserve">Дошкільний навчальний заклад № 4 “Пролісок” в м. Хуст по вул. Пирогова, 12 – капітальний ремонт системи опалення та заміна вікон (в рамках реалізації проекту “Комплекс заходів з енергозбереження в дитячому навчальному закладі № 4 “Пролісок” м. Хуст”, перший етап) 
</t>
  </si>
  <si>
    <t xml:space="preserve">Водозабір на підземних свердловинах по вул. Миру в м. Чоп – будівництво 
</t>
  </si>
  <si>
    <t xml:space="preserve">Дитячий садок, с. Фанчиково Виноградівського району – будівництво 
</t>
  </si>
  <si>
    <t>2010-2018</t>
  </si>
  <si>
    <t xml:space="preserve">Автомобільна дорога державного значення Іршава – Виноградів км 9 + 620 – км 13 + 887 у Виноградівському районі – поточний ремонт 
</t>
  </si>
  <si>
    <t xml:space="preserve">Загальноосвітня школа І–ІІ ступеня в с. Вишка Великоберезнянського району – будівництво 
</t>
  </si>
  <si>
    <t>2008-2017</t>
  </si>
  <si>
    <t xml:space="preserve">Автодорога Верхні Ворота — Лази, км 0 + 000—км 3 + 413 у Воловецькому районі (вул. Л. Українки в с. Верхні Ворота довжиною 2,134 км, вул. Центральній в с. Лази довжиною 1,079 км) – капітальний ремонт 
</t>
  </si>
  <si>
    <t xml:space="preserve">Автодорога місцевого значення Гукливий — станція Бескид, км 0 + 000 — км 3 + 030, у Воловецькому районі (від км 0 + 000 до км 0 + 930 в с. Гукливе, довжиною 0,930 км, від 0 + 9,0 до км 3 + 030 в с. Скотарське довжиною 2,100 км) – капітальний ремонт 
</t>
  </si>
  <si>
    <t xml:space="preserve">Автомобільна дорога державного значення Іршава — Виноградів, км 4 + 910 — км 6 + 910 у Іршавському районі – поточний середній ремонт 
</t>
  </si>
  <si>
    <t xml:space="preserve">Дорога державного значення Свалява — Довге — Липча, км 36 + 388 — км 41 + 422 в межах Довжанської сільської ради – поточний середній ремонт 
 </t>
  </si>
  <si>
    <t xml:space="preserve">Водогін в с. Ільниця, Іршавського району – капітальний ремонт 
</t>
  </si>
  <si>
    <t xml:space="preserve">Автомобільна дорога Торунь-Лопушне, км 0+000 — 2+830, в межах села Лопушне, Міжгірського району – капітальний ремонт 
</t>
  </si>
  <si>
    <t xml:space="preserve">Вучківський навчально-виховний комплекс І—ІІ ступеня в с. Вучкове Міжгірського району – капітальний ремонт котельні 
</t>
  </si>
  <si>
    <t xml:space="preserve">Запереділянська загальноосвітня школа І—ІІ ступеня в с. Запереділля Міжгірського району – капітальний ремонт котельні 
</t>
  </si>
  <si>
    <t xml:space="preserve">Дорога державного значення Перечин — Свалява, км 25 + 000 — км 30 + 580 у Перечинському районі – поточний ремонт 
</t>
  </si>
  <si>
    <t xml:space="preserve">Автодорога по вул. Українській в с. Дубриничі Перечинського району – капітальний ремонт 
</t>
  </si>
  <si>
    <t xml:space="preserve">Автомобільна дорога місцевого значення Тур'ї Ремети — Лумшори, км 11 + 340 км 16 + 350 у Перечинському районі – поточний ремонт 
</t>
  </si>
  <si>
    <t xml:space="preserve">Перечинська загальноосвітня школа І—ІІІ ступеня в м. Перечині, вул. Червоноармійська, 17 – реконструкція системи теплопостачання з встановленням котельні на твердому паливі 
</t>
  </si>
  <si>
    <t xml:space="preserve">Автомобільна дорога місцевого значення Рахів — Косівська Поляна — Кобилецька Поляна, км 0 + 000 — км 2 + 000 у Рахівському районі – поточний ремонт 
</t>
  </si>
  <si>
    <t xml:space="preserve">Дорога по вул. Річанській у с. Верхнє Водяне Рахівського району – капітальний ремонт (від будинку № 60 до магазину “Лакомка”) 
 </t>
  </si>
  <si>
    <t xml:space="preserve">Дорога місцевого значення Луг — Косівська Поляна – капітальний ремонт 
</t>
  </si>
  <si>
    <t xml:space="preserve">Автомобільна дорога місцевого значення Рахів — Богдан — Луги, км 0 + 000 — 1 + 500 км у Рахівськоїму районі – поточний ремонт 
</t>
  </si>
  <si>
    <t xml:space="preserve">Дорога по вул. Шевченка в с. Водиця Рахівського району – капітальний ремонт ділянки (від км 0 + 000 до км 0 + 840) 
</t>
  </si>
  <si>
    <t xml:space="preserve">Дорога Репегів — Депо, км 0 + 942 — км 1 + 567 у с. Лазещина Рахівського району – капітальний ремонт ділянки 
</t>
  </si>
  <si>
    <t xml:space="preserve">Вулиця Шевченка в с. Неліпино Свалявського району – капітальний ремонт 
</t>
  </si>
  <si>
    <t xml:space="preserve">Дорога по вул. Чапаєва (від № 155 до № 218) в с. Підплеша Нересницької сільської ради Тячівського району – капітальний ремонт 
</t>
  </si>
  <si>
    <t xml:space="preserve">Дорога по вул. Миру від вул. Підчос ( км 0 + 550 до км 1 + 1000) у с. Красна Тячівського району – капітальний ремонт 
</t>
  </si>
  <si>
    <t xml:space="preserve">Дорога вул. Шкільна в с.Угля Тячівського району – капітальний ремонт ділянки (від будинку № 41 до будинку № 30) 
</t>
  </si>
  <si>
    <t xml:space="preserve">Вулиця в урочище “Русково” в с. Груники Тячівського району – капітальний ремонт 
</t>
  </si>
  <si>
    <t xml:space="preserve">Дорога по вул. Українській в с. Тарасівка Тячівського району – капітальний ремонт 
</t>
  </si>
  <si>
    <t xml:space="preserve">Дорога по вул. Л. Українки (від вул. Центральної до будинку № 47) у с. Угля Тячівського району – капітальний ремонт 
</t>
  </si>
  <si>
    <t xml:space="preserve">Дорога між селами Красна та Усть-Чорна від ПК 22+50 до ПК 27+00, Тячівського району – капітальний ремонт покриття 
</t>
  </si>
  <si>
    <t xml:space="preserve">Дорога між селами Красна та Усть-Чорна від ПК 4+50 до ПК 9+00, Тячівського району – капітальний ремонт покриття 
</t>
  </si>
  <si>
    <t xml:space="preserve">Дорога між селами Красна та Усть-Чорна від межі Усть-Чорнянської селищної ради до ПК 5+50, Тячівського району – капітальний ремонт покриття 
</t>
  </si>
  <si>
    <t xml:space="preserve">Дорога між селами Красна та Усть-Чорна від ПК 15+23 до ПК 19+73, Тячівського району – капітальний ремонт покриття 
</t>
  </si>
  <si>
    <t xml:space="preserve">Дорога між селами Красна та Усть-Чорна від ПК 24+23 до ПК 28+73, Тячівського району – капітальний ремонт покриття 
</t>
  </si>
  <si>
    <t xml:space="preserve">Лікарня на 25 ліжок в селі Угля Тячівського району – добудова незавершеного будівництва 
 </t>
  </si>
  <si>
    <t xml:space="preserve">Комунальний заклад “Тячівська районна поліклініка” по вул. Голлоші, 1, м. Тячів – капітальний ремонт приміщень 
</t>
  </si>
  <si>
    <t xml:space="preserve">Дорога по вул. Шевченка в с. Широкий Луг Тячівського району – капітальний ремонт ділянки (від магазину “Любовіт” до межі території сільської ради) 
</t>
  </si>
  <si>
    <t xml:space="preserve">Дорога по вул. Заводській у смт Дубове Тячівського району – капітальний ремонт ділянки від моста до будинку № 18 
</t>
  </si>
  <si>
    <t xml:space="preserve">Система водопостачання та водовідведення в с. Барвінок Ужгородського району – будівництво 
</t>
  </si>
  <si>
    <t xml:space="preserve">Обласний спеціалізований дитячий пульмонологічний санаторій “Малятко”, с. Оноківці Ужгородського району – реконструкція корпусу № 1 
</t>
  </si>
  <si>
    <t xml:space="preserve">Автомобільна дорога Синевир — Колочава — Буштино км 20 + 700 — км 22 + 700 у Хустському районі – поточний ремонт 
</t>
  </si>
  <si>
    <t xml:space="preserve">Автомобільна дорога місцевого значення Рокосово — Вертеп км 0 + 000 — 2 + 000 у Хустському районі – поточний ремонт 
</t>
  </si>
  <si>
    <t xml:space="preserve">Спорткомплекс “Юність” по вул. Заньковецької, 5, в м. Ужгороді – реконструкція системи опалення, вентиляції та кондиціонування спортзалів № 1, 2 і 3 
</t>
  </si>
  <si>
    <t xml:space="preserve">Стадіон “Карпати” в м. Хуст – капітальний ремонт адмінбудинку 
</t>
  </si>
  <si>
    <t xml:space="preserve">Загальноосвітня школа І–ІІ ступеня по вул. Спортивній, 7, в с. Дийда Берегівського району – реконструкція системи опалення 
</t>
  </si>
  <si>
    <t xml:space="preserve">Обласна психіатрична лікарня в с. Чікош Берегівського району – реконструкція теплопостачання та гарячого водопостачання 
</t>
  </si>
  <si>
    <t xml:space="preserve">Обласна психіатрична лікарня в с. Чікош Берегівського району – реконструкція котельні 
</t>
  </si>
  <si>
    <t xml:space="preserve">Королевська селищна лікарня в смт Королево Виноградівського району – реконструкція котельні 
</t>
  </si>
  <si>
    <t xml:space="preserve">Амбулаторія загальної практики — сімейної медицини в с. Бронька Іршавського району – реконструкція системи опалення (із заміною опалювального обладнання) 
</t>
  </si>
  <si>
    <t xml:space="preserve">Іршавська районна лікарня по вул. Комарова, 16, в м. Іршаві – реконструкція котельні 
</t>
  </si>
  <si>
    <t xml:space="preserve">Ізківська загальноосвітня школа І–ІІ ступеня в с. Ізки Міжгірського району – капітальний ремонт котельні 
</t>
  </si>
  <si>
    <t xml:space="preserve">Лісковецький навчально-виховний комплекс І–ІІ ступеня в с. Лісковець Міжгірського району – капітальний ремонт котельні та зовнішньої тепломережі 
</t>
  </si>
  <si>
    <t xml:space="preserve">Загальноосвітня школа I–III ступеня в с. Горонда Мукачівського району – реконструкція котельні з встановленням твердопаливних котлів 
</t>
  </si>
  <si>
    <t xml:space="preserve">Дошкільний навчальний заклад в с. Зарічево Перечинського району – реконструкція системи теплопостачання 
</t>
  </si>
  <si>
    <t xml:space="preserve">Перечинська центральна районна лікарня по вул. Червоноармійській 8, в м. Перечин – реконструкція системи теплопостачання з встановленням котлів на твердому паливі 
</t>
  </si>
  <si>
    <t xml:space="preserve">Тячівська загальноосвітня школа І–ІІІ ступня № 1 імені В. Гренджі-Донського по вул. Вайди 13, в м. Тячеві – капітальний ремонт по заходах енергозбереження 
</t>
  </si>
  <si>
    <t xml:space="preserve">Буштинська загальноосвітня школа І–ІІІ ступеня в смт Буштино Тячівського району – реконструкція системи теплопостачання з установленням котлів на твердому паливі 
</t>
  </si>
  <si>
    <t xml:space="preserve">Нересницька дільнична лікарня в с. Нересниця Тячівського району – реконструкція котельні з влаштуванням твердопаливного котла потужністю 400 кВт 
</t>
  </si>
  <si>
    <t xml:space="preserve">Обласний спеціалізований дитячий пульмонологічний санаторій “Малятко” в с. Оноківці Ужгородського району – капітальний ремонт теплових мереж 
</t>
  </si>
  <si>
    <t xml:space="preserve">Амбулаторія загальної практики — сімейної медицини с. Копашнево Хустського району – реконструкція котельні із встановленням додаткового твердопаливного котла 
</t>
  </si>
  <si>
    <t xml:space="preserve">Обласна психіатрична лікарня в с. Вільшани Хустського району – будівництво твердопаливної котельні контейнерного типу для лікувальних та адміністративного корпусів 
</t>
  </si>
  <si>
    <t xml:space="preserve">Обласна психіатрична лікарня в с. Вільшани Хустського району – реконструкція системи опалення лікувальних та адміністративного корпусів 
</t>
  </si>
  <si>
    <t xml:space="preserve">Спортивний майданчик із штучним покриттям на території Сімерської загальноосвітньої школи I—II ступеня в с. Сімер Перечинського району — будівництво 
</t>
  </si>
  <si>
    <t xml:space="preserve">Стадіон “Карпати” по вул. Борканюка, 15, у м. Хусті — реконструкція спортивних полів та майданчиків (друга черга) 
</t>
  </si>
  <si>
    <t>ЗАПОРІЗЬКА</t>
  </si>
  <si>
    <t xml:space="preserve">Обласний протитуберкульозний диспансер по вул. Перспективній, 4, у м. Запоріжжі – реконструкція (перша черга) 
</t>
  </si>
  <si>
    <t xml:space="preserve">Будівля обласної філармонії, м. Запоріжжя – реконструкція 
</t>
  </si>
  <si>
    <t>2012-2017</t>
  </si>
  <si>
    <t xml:space="preserve">Обласний художній музей, м. Запоріжжя – реконструкція 
</t>
  </si>
  <si>
    <t xml:space="preserve">Центральні очисні споруди комунального підприємства "Водоканал" Мелітопольської міської ради, м. Мелітополь (коригування - преаератор № 1, первинний відстійник № 2, аеротенк № 2) – реконструкція 
</t>
  </si>
  <si>
    <t>липень 2018 р.</t>
  </si>
  <si>
    <t xml:space="preserve">Водовід, с. Новотроїцьке Бердянського району – будівництво (перша та друга черги) 
</t>
  </si>
  <si>
    <t xml:space="preserve">№1-27/12 від 27.12.17 </t>
  </si>
  <si>
    <t xml:space="preserve">Водопровідна мережа, с. Луначарське Бердянського району – реконструкція (перша та друга черги) 
</t>
  </si>
  <si>
    <t xml:space="preserve">№2-22/12 від 22.12.17 </t>
  </si>
  <si>
    <t xml:space="preserve">Водопровід, с. Чкалове Веселівського району – реконструкція 
</t>
  </si>
  <si>
    <t xml:space="preserve">Водопровідні мережі, с. Лукашеве Запорізького району – реконструкція 
</t>
  </si>
  <si>
    <t xml:space="preserve">Водовід питної води на с. Зоряне Запорізького району – будівництво 
</t>
  </si>
  <si>
    <t xml:space="preserve">Мережі водозабезпечення, с. Малишівка Запорізького району – реконструкція 
</t>
  </si>
  <si>
    <t xml:space="preserve">Система водопостачання, с. Степанівка Перша Приазовського району – реконструкція 
</t>
  </si>
  <si>
    <t xml:space="preserve">Комунальна установа “Стадіон “Спартак” імені О. Олексенка” Мелітопольської міської ради, м. Мелітополь – реконструкція північного крила західної трибуни 
</t>
  </si>
  <si>
    <t>І кварт. 2018 р.</t>
  </si>
  <si>
    <t>№63 від 21.12.2017</t>
  </si>
  <si>
    <t xml:space="preserve">Машина по догляду за штучною травою SportChamp для стадіону “Енергія” дитячо-юнацької спортивної школи, м. Бердянськ – придбання 
</t>
  </si>
  <si>
    <t>жовтень 2017 р.</t>
  </si>
  <si>
    <t xml:space="preserve">акт п/п №2 від 24.10.17 </t>
  </si>
  <si>
    <t xml:space="preserve">Футбольне поле стадіону по вул. Севастопольській, 35, м. Пологи – реконструкція 
</t>
  </si>
  <si>
    <t xml:space="preserve">Спортивний майданчик із штучним покриттям на території опорного навчально-виховного закладу Чернігівська загальноосвітня школа І–ІІІ ступеня імені Героя Радянського Союзу А. М. Темника, смт Чернігівка – будівництво 
</t>
  </si>
  <si>
    <t xml:space="preserve">Шкільний стадіон Азовської загальноосвітньої школи І–ІІІ ступеня по вул. Молодіжній, 92, с. Азовське Бердянського району – будівництво 
</t>
  </si>
  <si>
    <t xml:space="preserve">Спортивний майданчик з синтетичним покриттям на території Веселівської загальноосвітньої школи № 2 по вул. Продольній, 59, смт Веселе – капітальний ремонт (улаштування) 
</t>
  </si>
  <si>
    <t xml:space="preserve">Спортивний майданчик комунального закладу “Веселівська районна різнопрофільна гімназія” Веселівської селищної ради, смт Веселе – реконструкція системи покриття на базі синтетичної трави 
</t>
  </si>
  <si>
    <t>вересень 2017 р.</t>
  </si>
  <si>
    <t>№1 від 18.09.2017</t>
  </si>
  <si>
    <t xml:space="preserve">Декларація від 18.11.17 №ЗП 141173220031 </t>
  </si>
  <si>
    <t xml:space="preserve">Адміністративно-побутова будівля стадіону по вул. Севастопольській, 35, м. Пологи – реконструкція 
</t>
  </si>
  <si>
    <t xml:space="preserve">Спортивний комплекс комунального закладу “Фізкультурно-оздоровчий клуб “Таврія” Василівської районної ради, мікрорайон 40 років Перемоги № 12, м. Василівка – капітальний ремонт (утеплення) 
</t>
  </si>
  <si>
    <t xml:space="preserve">Спортивний зал сільського будинку культури, с. Нестерянка Оріхівського району – капітальний ремонт приміщення 
</t>
  </si>
  <si>
    <t>№2 від 01.12.2017</t>
  </si>
  <si>
    <t xml:space="preserve">Будівля по вул. Калініна, 28, смт Малокатеринівка Запорізького району – реконструкція під дитячий садок 
</t>
  </si>
  <si>
    <t xml:space="preserve">Будівля по вул. Продольній, 4 в с-щі Нове Мелітопольського району – реконструкція під сільську лікарську амбулаторію 
</t>
  </si>
  <si>
    <t xml:space="preserve">Комунальна установа “Запорізький обласний протитуберкульозний клінічний диспансер” Запорізької обласної ради по вул. Перспективній, 2, м. Запоріжжя - капітальний ремонт лікувального корпусу № 1 із заміною інженерних мереж 
</t>
  </si>
  <si>
    <t>ПКД №21 від 29.08.17, ЕЗ №20 від 29.08.17</t>
  </si>
  <si>
    <t>ПКД і ЕЗ</t>
  </si>
  <si>
    <t xml:space="preserve">Комунальна установа “Мелітопольський протитуберкульозний диспансер” Запорізької обласної ради по вул. Кірова, 29, м. Мелітополь - капітальний ремонт будівлі (інвентарний номер 10310005) із заміною інженерних мереж і ремонтом покрівлі 
</t>
  </si>
  <si>
    <t xml:space="preserve">Комунальна установа “Обласна клінічна психіатрична лікарня” Запорізької обласної ради по Оріхівському шосе, 10а, м. Запоріжжя - капітальний ремонт (утеплення фасаду будівлі) корпусу АВ (інвентарний номер 10310008) 
</t>
  </si>
  <si>
    <t>№6 від 26.12.2017</t>
  </si>
  <si>
    <t xml:space="preserve">Комунальний заклад “Запорізька загальноосвітня санаторна школа-інтернат № 7 I-II ступеня” Запорізької обласної ради по вул. Ленській, 1а, м. Запоріжжя - капітальний ремонт будівель, комплексне утеплення 
</t>
  </si>
  <si>
    <t xml:space="preserve">Дошкільний навчальний заклад № 41 по вул. Ямбольській, 1, м. Бердянськ - капітальний ремонт 
</t>
  </si>
  <si>
    <t xml:space="preserve">Комунальний заклад “Степногірська загальноосвітня школа I-III ступеня” Василівської районної ради Запорізької області по вул. Лесі Українки, 2, смт Степногірськ - капітальний ремонт системи опалення 
</t>
  </si>
  <si>
    <t>№79-Т від 27.12.2017</t>
  </si>
  <si>
    <t>ІВАНО-ФРАНКІВСЬКА</t>
  </si>
  <si>
    <t xml:space="preserve">Середня школа на 33 класи по вул. І. Франка, смт Верховина – будівництво 
</t>
  </si>
  <si>
    <t>2011-2017</t>
  </si>
  <si>
    <t xml:space="preserve">Загальноосвітня школа I-III ступеня, с. Крилос Галицького району – будівництво 
</t>
  </si>
  <si>
    <t>2009-2017</t>
  </si>
  <si>
    <t xml:space="preserve">Добудова шкільної їдальні, виробничих майстерень та класних кімнат по вул. Грушевського, 27, с. Чернятин Городенківського району 
</t>
  </si>
  <si>
    <t xml:space="preserve">Дитячий садок по вул. Січових Стрільців, 34, смт Лисець Тисменицького району – реконструкція з добудовою 
</t>
  </si>
  <si>
    <t xml:space="preserve">Гімназія по вул. Грушевського, 23, м. Тлумач – добудова приміщень (перша черга) 
</t>
  </si>
  <si>
    <t xml:space="preserve">Загальноосвітня школа I-III ступеня, с. Королівка Тлумацького району – розширення з добудовою навчально-виховного комплексу на 36 місць 
</t>
  </si>
  <si>
    <t xml:space="preserve">Будівництво-прибудова спортивного залу школи, с. Олеша Тлумацького району 
</t>
  </si>
  <si>
    <t xml:space="preserve">Типова будівля басейну “H2O — CLASSIC”, м. Коломия – будівництво 
</t>
  </si>
  <si>
    <t xml:space="preserve">Автомобільна дорога загального користування державного значення Н-09 Мукачеве — Львів на ділянці км 218 + 400 — км 317 + 698 – поточний середній ремонт 
</t>
  </si>
  <si>
    <t xml:space="preserve">Дорожнє покриття вул. Польової в м. Івано-Франківську – капітальний ремонт 
</t>
  </si>
  <si>
    <t xml:space="preserve">Дорожнє покриття вул. Січових Стрільців від будинку № 1 до будинку № 127 в смт. Рожнятів Рожнятівського району – капітальний ремонт 
</t>
  </si>
  <si>
    <t xml:space="preserve">Автомобільна дорога загального користування державного значення Т-09-09 Снятин — Косів — Старі Кути – поточний ремонт 
</t>
  </si>
  <si>
    <t xml:space="preserve">Дорожнє покриття вул. Коцюбинського в м. Рогатин (від вул. Б. Кудрика до церкви Святого Духа) – капітальний ремонт 
</t>
  </si>
  <si>
    <t xml:space="preserve">№43/03-32 від 01.12.17 </t>
  </si>
  <si>
    <t xml:space="preserve">Дорожнє покриття вул. Січових Стрільців в м. Рогатині – капітальний ремонт 
</t>
  </si>
  <si>
    <t xml:space="preserve">№46/03-32 від 29.11.17 </t>
  </si>
  <si>
    <t>Декларація від 04.12.17 №ІФ 141173380907</t>
  </si>
  <si>
    <t xml:space="preserve">Дорожнє покриття вул. Телев'яка в м. Рогатині – капітальний ремонт 
</t>
  </si>
  <si>
    <t xml:space="preserve">№45/03-32 від 29.11.17 </t>
  </si>
  <si>
    <t xml:space="preserve">Дорожнє покриття вул. Фортечної в м. Рогатині – капітальний ремонт 
</t>
  </si>
  <si>
    <t xml:space="preserve">№36/03-32 від 10.11.17 </t>
  </si>
  <si>
    <t>Декларація від 04.12.17 №ІФ 14117380876</t>
  </si>
  <si>
    <t xml:space="preserve">Центр надання адміністративних послуг Рожнятівської районної державної адміністрації – капітальний ремонт приміщення 
</t>
  </si>
  <si>
    <t xml:space="preserve">Автомобільна дорога загального користування державного значення Р-24 Татарів — Кам'янець-Подільський на ділянках км 0 + 000 — км 5 + 050, км 10 + 450 — км 19 + 420, км 41 + 000 — км 48 + 000, км 69 + 629 — км 78 + 200, км 94 + 450 — км 117 + 796, км 126 + 733 — км 177 + 894 – поточний ремонт 
</t>
  </si>
  <si>
    <t xml:space="preserve">Загальноосвітня школа І—ІІ ступеня в с. Раковець Богородчанського району – нове будівництво 
</t>
  </si>
  <si>
    <t xml:space="preserve">Мединський навчально-виховний комплекс Галицького району – добудова незавершеного будівництва блоків № 1, 2 (їдальня та спортивний корпус), нове будівництво 
</t>
  </si>
  <si>
    <t xml:space="preserve">Блюдниківська загальноосвітня школа І–ІІІ ступеня Галицького району – капітальний ремонт в рамках впровадження заходів з енергозбереження 
</t>
  </si>
  <si>
    <t xml:space="preserve">Городенківська загальноосвітня школа № 1 І–ІІІ ступеня Городенківської районної ради – капітальний ремонт приміщення (заміна даху) в рамках впровадження комплексних заходів по енергоефективності 
</t>
  </si>
  <si>
    <t xml:space="preserve">Косівська загальноосвітня школа № 2 І–ІІІ ступеня – добудова спортзалу та переходу, нове будівництво 
</t>
  </si>
  <si>
    <t xml:space="preserve">Яремчанська загальноосвітня школа І–ІІІ ступеня № 2 (мікрорайон Дора) – будівництво 
</t>
  </si>
  <si>
    <t xml:space="preserve"> №138-2017-18-02-1-1 від 19.10.2017</t>
  </si>
  <si>
    <t xml:space="preserve">Залучанська загальноосвітня школа І ступеня в с. Залуччя Коломийського району – капітальний ремонт в рамках впровадження комплексних заходів по енергоефективності 
</t>
  </si>
  <si>
    <t xml:space="preserve">Росохацька загальноосвітня школа І–ІІІ ступеня в с. Росохач Городенківського району – капітальний ремонт системи опалення в рамках впровадження комплексних заходів по енергоефективності 
</t>
  </si>
  <si>
    <t xml:space="preserve">Васючинська загальноосвітня школа І–ІІІ ступеня Рогатинської районної ради – капітальний ремонт по заміні вікон та дверей на металопластикові в рамках впровадження комплексних заходів по енергоефективності 
</t>
  </si>
  <si>
    <t xml:space="preserve">Брошнівський професійний лісопромисловий ліцей в смт Брошнів-Осада Рожнятівського району – капітальний ремонт будівлі в рамках впровадження комплексних заходів по енергоефективності 
</t>
  </si>
  <si>
    <t xml:space="preserve">Космацька загальноосвітня школа в с. Космач Косівського району (друга черга) – будівництво 
</t>
  </si>
  <si>
    <t xml:space="preserve">Івано-Франківська обласна дитяча клінічна лікарня по вул. Коновальця, 132, у м. Івано-Франківськ – капітальний ремонт приміщення в рамках впровадження комплексних заходів по енергоефективності 
</t>
  </si>
  <si>
    <t xml:space="preserve">Брошнівська міська лікарня в смт. Брошнів-Осада Рожнятівського району – капітальний ремонт в рамках впровадження комплексних заходів по енергоефективності 
</t>
  </si>
  <si>
    <t>№118-2017-02 від 15.12.2017</t>
  </si>
  <si>
    <t xml:space="preserve">Городенківська центральна районна лікарня Городенківського району – капітальний ремонт приміщення (заміна вікон, зовнішніх дверей, даху) в рамках впровадження комплексних заходів по енергоефективності 
</t>
  </si>
  <si>
    <t xml:space="preserve">Снятинська центральна районна лікарня по вул. Стефаника у м. Снятин – реконструкція центрального корпусу 
</t>
  </si>
  <si>
    <t xml:space="preserve">Долинська центральна районна лікарня по вул. О. Грицей, 15, у м. Долині – капітальний ремонт даху з утепленням фасаду неврологічного відділення в рамках реалізації проекту впровадження комплексних заходів по енергоефективності 
</t>
  </si>
  <si>
    <t xml:space="preserve">Перегінська номерна районна лікарня Рожнятівського району – капітальний ремонт центрального корпусу в рамках впровадження комплексних заходів по енергоефективності 
</t>
  </si>
  <si>
    <t xml:space="preserve">Яремчанська центральна міська лікарня – капітальний ремонт інфекційного відділення в рамках впровадження комплексних заходів по енергоефективності 
</t>
  </si>
  <si>
    <t xml:space="preserve">Поліклінічний відділ по вул. Б. Хмельницького, 6, у смт Войнилів комунального закладу “Районна лікарня Калуської районної ради” – капітальний ремонт по заміні вікон та утеплення фасаду в рамках впровадження комплексних заходів по енергоефективності 
</t>
  </si>
  <si>
    <t xml:space="preserve">Амбулаторія загальної практики сімейної медицини в с. Маріямпіль Галицького району – капітальний ремонт в рамках впровадження комплексних заходів по енергоефективності 
</t>
  </si>
  <si>
    <t>№92-02-1-1 від 27.12.17</t>
  </si>
  <si>
    <t xml:space="preserve">Букачівська міська лікарня по вул. Чорновола, 44, у смт Букачівці Рогатинського району – капітальний ремонт даху хірургічного корпусу в рамках впровадження комплексних заходів по енергоефективності 
</t>
  </si>
  <si>
    <t xml:space="preserve">Букачівська міська лікарня по вул. Чорновола, 44, у смт Букачівці Рогатинського району – капітальний ремонт (утеплення фасаду адміністративного корпусу) в рамках впровадження комплексних заходів по енергоефективності 
</t>
  </si>
  <si>
    <t xml:space="preserve">Амбулаторія загальної практики сімейної медицини в с. Блюдники Галицького району – капітальний ремонт в рамках впровадження комплексних заходів по енергоефективності 
</t>
  </si>
  <si>
    <t>№92-1-02-1-2 від 27.12.2017</t>
  </si>
  <si>
    <t xml:space="preserve">Беньківська сільська лікарська амбулаторія в с. Беньківці Рогатинського району – капітальний ремонт даху, утеплення фасаду, заміна вікон та дверей в рамках впровадження комплексних заходів по енергоефективності 
</t>
  </si>
  <si>
    <t xml:space="preserve">Обласний дитячий психоневрологічний санаторій в с-щі Єзупіль Тисменицького району – капітальний ремонт покрівлі приміщення головного корпусу в рамках впровадження комплексних заходів по енергоефективності 
</t>
  </si>
  <si>
    <t xml:space="preserve">Амбулаторія загальної практики сімейної медицини в с. Красноїлля Верховинського району – капітальний ремонт в рамках впровадження комплексних заходів по енергоефективності 
</t>
  </si>
  <si>
    <t xml:space="preserve">Нижньо-Липицька сільська лікарняна амбулаторія загальної практики сімейної медицини в с. Нижня Липиця Рогатинського району – капітальний ремонт даху в рамках впровадження комплексних заходів по енергоефективності 
</t>
  </si>
  <si>
    <t xml:space="preserve">Колоколинська сільська лікарська амбулаторія в с. Колоколин Рогатинського району – капітальний ремонт (заміна вікон та утеплення фасаду) в рамках впровадження комплексних заходів по енергоефективності 
</t>
  </si>
  <si>
    <t xml:space="preserve">Княгинецька сільська лікарська амбулаторія в с. Княгиничі Рогатинського району – капітальний ремонт (заміна вікон та утеплення фасаду) в рамках впровадження комплексних заходів по енергоефективності 
</t>
  </si>
  <si>
    <t xml:space="preserve">Лікарська амбулаторія загальної практики сімейної медицини в с. Кутище Тлумацького району – капітальний ремонт в рамках впровадження комплексних заходів по енергоефективності 
</t>
  </si>
  <si>
    <t xml:space="preserve">Вулиця Набережна імені Василя Стефаника в м. Івано-Франківську – капітальний ремонт (додаткові роботи) 
</t>
  </si>
  <si>
    <t xml:space="preserve">Підвідний газопровід до с. Кропивник Долинського району – нове будівництво (закінчення газифікації с. Кропивник) 
</t>
  </si>
  <si>
    <t>№1 від 18.12.2017</t>
  </si>
  <si>
    <t>КИЇВСЬКА</t>
  </si>
  <si>
    <t xml:space="preserve">Тепловий пункт ТП-9 з технічним переоснащенням під котельню по вул. Томилівській, 50в, у м. Білій Церкві – реконструкція 
</t>
  </si>
  <si>
    <t>І кварт. 2019 р.</t>
  </si>
  <si>
    <t xml:space="preserve">Гімназія на 14 класів по вул. Вишневій у м. Бучі – будівництво 
</t>
  </si>
  <si>
    <t xml:space="preserve">Будівля по вул. Курортній, 9, у м. Ірпені – реконструкція з перепрофілюванням під дошкільний навчальний заклад 
</t>
  </si>
  <si>
    <t xml:space="preserve">Каналізаційні очисні споруди, м. Славутич – реконструкція 
</t>
  </si>
  <si>
    <t xml:space="preserve">Дошкільний навчальний заклад по вул. Шевченка, 14, у с. Фурси Білоцерківського району – будівництво 
</t>
  </si>
  <si>
    <t xml:space="preserve">Будівля дошкільного навчального закладу по вул. Святошинській, 48, м. Вишневе – реконструкція 
</t>
  </si>
  <si>
    <t>№6 від 21.12.2017</t>
  </si>
  <si>
    <t xml:space="preserve">Приміщення амбулаторії на 30 відвідувань на зміну по вул. Леніна, 59а, у с. Плесецьке Васильківського району – реконструкція 
</t>
  </si>
  <si>
    <t>№2 від 22.12.2017</t>
  </si>
  <si>
    <t xml:space="preserve">Школа мистецтв та ремесел, с. Велика Олександрівка Бориспільського району – будівництво 
</t>
  </si>
  <si>
    <t xml:space="preserve">Дошкільний навчальний заклад “Яблунька” по вул. Червоноармійській, 11, у м. Вишневому Києво-Святошинського району – реконструкція 
</t>
  </si>
  <si>
    <t xml:space="preserve">Добудова до загальноосвітньої школи № 1 по вул. Юності, 7, у м. Українці Обухівського району 
</t>
  </si>
  <si>
    <t xml:space="preserve">Каналізаційні очисні споруди, смт Борова Фастівського району – реконструкція 
</t>
  </si>
  <si>
    <t xml:space="preserve">Спортивні майданчики (стадіон) на території спортивної школи “Сузір’я” в м. Вишгороді – капітальний ремонт 
</t>
  </si>
  <si>
    <t xml:space="preserve">Центр позашкільної роботи “Мрія” по вул. Богдана Хмельницького, 21, у смт Баришівка Баришівського району – капітальний ремонт 
</t>
  </si>
  <si>
    <t>№5 від 21.12.2017</t>
  </si>
  <si>
    <t xml:space="preserve">Центральна районна лікарня по вул. Воздвиженській, 7, у смт Красятичі Поліського району – капітальний ремонт 
</t>
  </si>
  <si>
    <t xml:space="preserve">Лікувальний корпусу № 1 центральної районної лікарні Тетіївської районної ради по вул. Цвіткова, 26, у м. Тетіїв – капітальний ремонт (утеплення фасаду та заміна віконних, дверних блоків) в рамках реалізації проекту “Комплексна термомодернізація  центральної районної лікарні у м. Тетіїв” 
</t>
  </si>
  <si>
    <t xml:space="preserve">Будівля загальноосвітньої школи І–ІІ ступеня у с. Дружня Бородянського району – капітальний ремонт (утеплення фасаду із заміною вікон на металопластикові) в рамках реалізації проекту “Комплексна термомодернізація загальноосвітньої школи І–ІІ ступеня в с. Дружня, Бородянського району” 
</t>
  </si>
  <si>
    <t>№5 від 04.12.2017</t>
  </si>
  <si>
    <t xml:space="preserve">Будівля поліклінічного відділення по вул. Цимбала Сергія, 15/4, у смт Ставище – реконструкція з впровадженням енергозберігаючих технологій 
</t>
  </si>
  <si>
    <t xml:space="preserve">Будівля загальноосвітньої школи І–ІІІ ступеня по вул. Сім'ї Клименків, 45, у с. Іванівка Ставищенського району – капітальний ремонт (заміна вікон) в рамках реалізації проекту “Комплексна термомодернізація загальноосвітньої школи І–ІІІ ступеня у с. Іванівка, Ставищенського району” 
</t>
  </si>
  <si>
    <t>№2 від 07.12.2017</t>
  </si>
  <si>
    <t xml:space="preserve">Будівля загальноосвітньої школи І–ІІІ ступеня у с. Трипілля Обухівського району – капітальний ремонт із застосуванням заходів теплореновації (заміна покрівлі та утеплення фасаду) в рамках реалізації проекту “Комплексна термомодернізація загальноосвітньої школи І–ІІІ ступеня у с. Трипілля, Обухівського району” 
</t>
  </si>
  <si>
    <t>№5 від 01.12.2017</t>
  </si>
  <si>
    <t>КІРОВОГРАДСЬКА</t>
  </si>
  <si>
    <t xml:space="preserve">Олександрійський міський будинку культури по вул. 6-го грудня, 2, у м. Олександрії – реставрація будівлі 
</t>
  </si>
  <si>
    <t>березень 2019 р.</t>
  </si>
  <si>
    <t xml:space="preserve">Комунальний заклад “Кіровоградський обласний онкологічний диспансер” по вул. Ялтинській, 1, у м. Кіровограді – капітальний ремонт операційного блока 
</t>
  </si>
  <si>
    <t xml:space="preserve">Загальноосвітня школа I–III ступеня Побузької селищної ради по вул. Шкільній, 8, у с-щі Побузьке Голованівського району – реконструкція 
</t>
  </si>
  <si>
    <t xml:space="preserve">Дитячий садок “Зернятко” по вул. Миру, 5, у м. Новоукраїнці – реконструкція 
</t>
  </si>
  <si>
    <t xml:space="preserve">Новопразька загальноосвітня школа I–III ступеня № 2 по вул. Леніна, 101, у с-щі Нова Прага Олександрійського району – реконструкція 
</t>
  </si>
  <si>
    <t xml:space="preserve">Вул. Єгорова у м. Світловодську – капітальний ремонт 
</t>
  </si>
  <si>
    <t xml:space="preserve">Дитячий садок “Сонечко” по вул. Центральній, 4, у с. Жовтневе Устинівського району – капітальний ремонт 
</t>
  </si>
  <si>
    <t xml:space="preserve">Комунальний заклад “Обласна спеціалізована дитячо-юнацька школа олімпійського резерву — 2” по вул. Академіка Тамма, 2, у м. Кропивницькому – реконструкція  
</t>
  </si>
  <si>
    <t>ЛУГАНСЬКА</t>
  </si>
  <si>
    <t xml:space="preserve">Будівля Луганського обласного центру з профілактики та боротьби із СНІД по вул. Сметаніна, 5, м. Сєвєродонецьк – капітальний ремонт 
</t>
  </si>
  <si>
    <t>IV кварт. 2018 р.</t>
  </si>
  <si>
    <t xml:space="preserve">Попаснянська багатопрофільна гімназія № 25 по вул. Кошового, 31, м. Попасна – реконструкція (утеплення огороджувальних конструкцій будівлі) 
</t>
  </si>
  <si>
    <t xml:space="preserve">Вуличний водопровід на території с-ща Лоскутівка Попаснянського району – будівництво 
</t>
  </si>
  <si>
    <t xml:space="preserve">Підвідний водопровід від с-ща Лоскутівка до с-ща Підлісне Попаснянського району – будівництво 
</t>
  </si>
  <si>
    <t xml:space="preserve">Старобільський районний будинок творчості дітей та юнацтва по вул. Чернишевського, 26, м. Старобільськ – реконструкція 
</t>
  </si>
  <si>
    <t>№№1-20 від 27.12.2017</t>
  </si>
  <si>
    <t xml:space="preserve">Дошкільний навчальний заклад по вул. Пізника, 1б, с. Лиман Старобільського району – капітальний ремонт 
</t>
  </si>
  <si>
    <t>№1 від 21.12.2017, №3 від 26.12.2017, №4 від 27.12.2017</t>
  </si>
  <si>
    <t xml:space="preserve">Будівля корпусу допоміжних приміщень, кварт. Новоселів, 1а, смт Троїцьке – реконструкція під багатоквартирний житловий будинок для медичних працівників 
</t>
  </si>
  <si>
    <t>Декларація від 26.12.17 №ЛГ 141173602090</t>
  </si>
  <si>
    <t xml:space="preserve">Євсузька сільська лікарська амбулаторія загальної практики-сімейної медицини по вул. Старобільській, 3, с. Євсуг Біловодського району – реконструкція та технічне переоснащення з впровадженням енергозберігаючих технологій 
</t>
  </si>
  <si>
    <t xml:space="preserve">Опорний заклад “Гірська багатопрофільна гімназія Попаснянської районної ради Луганської області” по вул. Гагаріна, 19, м. Гірське Попаснянського району – капітальний ремонт 
</t>
  </si>
  <si>
    <t xml:space="preserve">Опорний заклад “Золотівська загальноосвітня школа І–ІІІ ступенів № 5 Попаснянської районної ради Луганської області” по вул. Коцюбинського, 28, м. Золоте Попаснянського району – капітальний ремонт 
</t>
  </si>
  <si>
    <t xml:space="preserve">Половинкинська загальноосвітня школа І–ІІІ ступеня по пл. Дружби,19, с. Половинкине Старобільського району – капітальний ремонт 
</t>
  </si>
  <si>
    <t>№1 від 13.12.2017, №2 від 22.12.2017, №3-4 від 27.12.2017</t>
  </si>
  <si>
    <t xml:space="preserve">Опорна Кремінська загальноосвітня школа № 1 I–III ступеня Кремінської районної ради, м. Кремінна – будівництво та розміщення уніфікованих комплектних площинних спортивних споруд 
</t>
  </si>
  <si>
    <t xml:space="preserve">№1 від 15.12.2017; №2, №3, №4 від 26.12.2017 </t>
  </si>
  <si>
    <t xml:space="preserve">Красноріченська загальноосвітня школа I–III ступеня Кремінської районної ради, смт Красноріченське Кремінського району – будівництво та розміщення уніфікованих комплектних площинних спортивних споруд 
</t>
  </si>
  <si>
    <t xml:space="preserve">№1 від 22.12.2017; №2, №3, №4 від 26.12.2017 </t>
  </si>
  <si>
    <t xml:space="preserve">Капітальний ремонт п’яти спортивних майданчиків із встановленням тренажерів, м. Кремінна 
</t>
  </si>
  <si>
    <t>№1,№2,№3, №4, №5 від 18.12.2017</t>
  </si>
  <si>
    <t>не потребує (ПКМУ №406 від 07.06.2017)</t>
  </si>
  <si>
    <t xml:space="preserve">Спортивний майданчик по вул. Центральній, 24а, с. Морозівка Міловського району – будівництво 
</t>
  </si>
  <si>
    <t xml:space="preserve">Волейбольні площадки за розміром 9 на 18 метрів, по пров. Сєвєрний, 2, смт Мілове – будівництво 
</t>
  </si>
  <si>
    <t>№1 від 29.11.2017; №2 від 21.12.2017</t>
  </si>
  <si>
    <t xml:space="preserve">Спортивний майданчик по вул. Красногорській, 1, с. Великоцьк Міловського району – будівництво 
</t>
  </si>
  <si>
    <t xml:space="preserve">Спорткомплекс по вул. Первомайській, 60, м. Попасна – реконструкція з добудовою залу єдиноборств 
</t>
  </si>
  <si>
    <t xml:space="preserve">Спортивний майданчик Попаснянської загальноосвітньої школи I–III ступеня № 1 Попаснянської районної ради, м. Попасна – будівництво 
</t>
  </si>
  <si>
    <t xml:space="preserve">Регіональна цільова програма із створення містобудівного кадастру Луганської області на 2016—2018 роки – створення 
</t>
  </si>
  <si>
    <t xml:space="preserve">Забезпечення очищення території Луганської області від вибухонебезпечних предметів шляхом придбання технічних засобів для пошуку і знешкодження вибухонебезпечних предметів і витратних матеріалів для піротехнічних підрозділів Луганського гарнізону оперативно-рятувальної служби цивільного захисту ДСНС України 
</t>
  </si>
  <si>
    <t xml:space="preserve">Будівля Луганської обласної дитячої клінічної лікарні, кварт. 40 років Перемоги, 12а, м. Лисичанськ – капітальний ремонт 
</t>
  </si>
  <si>
    <t>IV кварт. 2017 р.</t>
  </si>
  <si>
    <t>№4 від 20.12.2017</t>
  </si>
  <si>
    <t xml:space="preserve">Луганський національний університет імені Тараса Шевченка на площі Гоголя, 1, м. Старобільськ – капітальний ремонт будівлі (В-1) 
</t>
  </si>
  <si>
    <t>ІІІ кварт. 2018 р.</t>
  </si>
  <si>
    <t xml:space="preserve">Східноукраїнський національний університет імені В. Даля по вул. Донецькій, 41, м. Сєвєродонецьк – капітальний ремонт будівлі лабораторного корпусу з термомодернізацією 
</t>
  </si>
  <si>
    <t xml:space="preserve">Луганський національний університет імені Тараса Шевченка на площі Гоголя, 1, м. Старобільськ – капітальний ремонт гуртожитку (М-5) 
</t>
  </si>
  <si>
    <t xml:space="preserve">Східноукраїнський національний університет імені В. Даля по вул. Донецькій, 41, м. Сєвєродонецьк – капітальний ремонт будівлі навчального корпусу з термомодернізацією 
</t>
  </si>
  <si>
    <t xml:space="preserve">Луганський національний університет імені Тараса Шевченка по вул. Померанчука, 15, м. Рубіжне – капітальний ремонт будівлі навчального корпусу 
</t>
  </si>
  <si>
    <t xml:space="preserve">Покращення якості надання адміністративних послуг у м. Лисичанську (придбання обладнання) 
</t>
  </si>
  <si>
    <t>акт №ОУ-0001645 від 21.12.2017</t>
  </si>
  <si>
    <t xml:space="preserve">Автодорога по вул. Миру (від вул. Іванова до вул. Будівельників), м. Рубіжне – реконструкція 
</t>
  </si>
  <si>
    <t xml:space="preserve">Проект землеустрою щодо встановлення (зміни) меж м. Рубіжного – розробка 
</t>
  </si>
  <si>
    <t>висновок держекспер-тизи земле-впорядної документації від 28.12.17 №2400-17</t>
  </si>
  <si>
    <t xml:space="preserve">Автодорога по вул. Підгірній, смт Білокуракине – капітальний ремонт 
</t>
  </si>
  <si>
    <t>№1 від 02.11.2017</t>
  </si>
  <si>
    <t>Декларація від 24.10.17 №ЛГ 141172980546</t>
  </si>
  <si>
    <t xml:space="preserve">Біловодський комунальний дошкільний навчальний заклад загального розвитку (ясла-садок № 3) “Джерельце” по вул. Шкільній, 4, смт Біловодськ – капітальний ремонт 
</t>
  </si>
  <si>
    <t>№10 від 26.12.2017</t>
  </si>
  <si>
    <t xml:space="preserve">Генеральний план, план зонування території та цифрова (векторна) оновлена картографічна основа м. Кремінної – розробка 
</t>
  </si>
  <si>
    <t>№А1012-7, №А1112-17, №А1712-17, №А1812-17 від 18.12.17</t>
  </si>
  <si>
    <t xml:space="preserve">Комунальний навчальний дошкільний заклад (ясла-садок) “Надія”, с. Курячівка Марківського району – капітальний ремонт 
</t>
  </si>
  <si>
    <t>Декларація від 27.12.17 №ЛГ 141173612077</t>
  </si>
  <si>
    <t xml:space="preserve">Комунальна дорога з твердим покриттям по вул. Богдана Хмельницкого, смт Новопсков – будівництво 
</t>
  </si>
  <si>
    <t xml:space="preserve">Вуличне освітлення в Новопсковській громаді, смт Новопсков – капітальний ремонт 
</t>
  </si>
  <si>
    <t>№1 від 07.11.2017; №2 від 01.12.2017; №3 від 21.12.2017</t>
  </si>
  <si>
    <t xml:space="preserve">Асфальтобетонне покриття автомобільної дороги по вул. Кошевого, м. Попасна – капітальний ремонт 
</t>
  </si>
  <si>
    <t>№1 від 30.11.2017</t>
  </si>
  <si>
    <t xml:space="preserve">Асфальтобетонне покриття автомобільних доріг по вулицях Красних партизан, Нагорній, м. Попасна – капітальний ремонт 
</t>
  </si>
  <si>
    <t>№1 від 09.11.2017</t>
  </si>
  <si>
    <t xml:space="preserve">Асфальтобетонне покриття автомобільної дороги по вул. Первомайській, м. Попасна – капітальний ремонт 
</t>
  </si>
  <si>
    <t xml:space="preserve">Топографічний, генеральний план та план зонування території м. Попасної – розробка 
</t>
  </si>
  <si>
    <t>№6 від 19.12.2017</t>
  </si>
  <si>
    <t xml:space="preserve">Генеральний план, плану зонування та детальний план території м. Гірське Попаснянського району – підтримка розроблення 
</t>
  </si>
  <si>
    <t>№66 від 19.12.2017</t>
  </si>
  <si>
    <t xml:space="preserve">Забезпечення рівного доступу до якісної освіти дітей, які мешкають у сільській місцевості, шляхом придбання шкільного автобусу для Містківської загальноосвітньої школи I–III ступеня, с. Містки Сватівського району 
</t>
  </si>
  <si>
    <t>накл.№АГ 0000057 від 13.12.2017</t>
  </si>
  <si>
    <t xml:space="preserve">Будівля Топольської загальноосвітньої школи І–ІІІ ступеня по вул. Радянській, 24, с. Тополі Троїцького району – капітальний ремонт 
</t>
  </si>
  <si>
    <t>№1 від 04.12.2017; №2, 3 від 22.12.2017; №4, 5 від 27.12.2017</t>
  </si>
  <si>
    <t xml:space="preserve">Комунальний заклад “Кремінська обласна загальноосвітня школа — інтернат I–III ступеня” по вул. Мічуріна, 18, м. Кремінна – капітальний ремонт 
</t>
  </si>
  <si>
    <t xml:space="preserve">Центральна амбулаторія загальної практики сімейної медицини по вул. Чапаєва, 72 в смт Білокуракино Білокуракинського району – капітальний ремонт 
</t>
  </si>
  <si>
    <t>№1 від 20.12.2017</t>
  </si>
  <si>
    <t xml:space="preserve">Майданчики для збору твердих побутових відходів на території м. Сватове – нове будівництво 
</t>
  </si>
  <si>
    <t>№№1-35 від 24.11.17</t>
  </si>
  <si>
    <t xml:space="preserve">Заплавний міст № 2, м. Сєвєродонецьк - реконструкція 
</t>
  </si>
  <si>
    <t xml:space="preserve">Михайлюківська загальноосвітня школа I—III ступеня по вул. Центральна площа, 1, в с. Михайлюки Новоайдарського району — капітальний ремонт спортивної зали 
</t>
  </si>
  <si>
    <t xml:space="preserve">Великоцька загальноосвітня школа I—III ступеня по вул. Красногорській, 1, в с. Великоцьк Міловського району — капітальний ремонт спортивної зали 
</t>
  </si>
  <si>
    <t xml:space="preserve">Гуртожиток комунального закладу “Сєвєродонецькеобласне музичне училище імені С. С. Прокоф’єва”, бульв. Дружби Народів, 33д, в м. Сєвєродонецьку— капітальний ремонт внутрішніх приміщень 
</t>
  </si>
  <si>
    <t xml:space="preserve">Вузли знезараження води і стоків на насосних станціях та очисних спорудах Лисичанського комунального спеціалізованого підприємства “Лисичанськводоканал” (водонасосна станція “Борівська”) — реконструкція 
</t>
  </si>
  <si>
    <t xml:space="preserve">Вузли знезараження води і стоків на насосних станціях та очисних спорудах Лисичанського комунального спеціалізованого підприємства “Лисичанськводоканал” (міські очисні споруди—3, м. Привілля) — реконструкція 
</t>
  </si>
  <si>
    <t xml:space="preserve">Мобільний асфальтний завод для капітального ремонту доріг комунальної власності Рубіжанської міської ради — придбання  
</t>
  </si>
  <si>
    <t xml:space="preserve">Електрообладнання та електромережі інфекційного відділення № 1 по вул. Побєди, 1а, в м. Кремінній — капітальний ремонт 
</t>
  </si>
  <si>
    <t xml:space="preserve">Мобільний асфальтовий завод для капітального ремонту доріг комунальної власності Сватівської міської ради — придбання 
</t>
  </si>
  <si>
    <t xml:space="preserve">Придбання комунальної (спеціалізованої) техніки для потреб Станично-Луганського району 
</t>
  </si>
  <si>
    <t xml:space="preserve">Спортивний майданчик Білокуракинської районної комунальної установи “Фізкультурно-спортивний комплекс “Здоров’я” по вул. Історичній, 32б, в смт Білокуракино — реконструкція 
</t>
  </si>
  <si>
    <t>ЛЬВІВСЬКА</t>
  </si>
  <si>
    <t xml:space="preserve">Школа № 41 по вул. Макаренка, 19, смт Брюховичі – реконструкція з розширенням 
</t>
  </si>
  <si>
    <t xml:space="preserve">Пологове відділення на 30 ліжок Бродівської центральної районної лікарні, м. Броди – реконструкція 
</t>
  </si>
  <si>
    <t>2016-2019</t>
  </si>
  <si>
    <t xml:space="preserve">Терапевтичний корпус на 50 ліжок Городоцької центральної районної лікарні по вул. Коцюбинського, 18, у тому числі проектно-кошторисна документація – добудова до існуючих корпусів 
</t>
  </si>
  <si>
    <t xml:space="preserve">Дошкільний навчальний заклад (ясла-садок) на 150 місць, смт Великий Любінь Городоцького району – будівництво 
</t>
  </si>
  <si>
    <t xml:space="preserve">Народний дім, с. Великі Грибовичі Жовківського району – будівництво 
</t>
  </si>
  <si>
    <t xml:space="preserve">Будинок механізатора та лазні у с. Лавриків Жовківського району під дитячий садок на дві групи (20 дітей) – реконструкція 
</t>
  </si>
  <si>
    <t xml:space="preserve">2016-2017
</t>
  </si>
  <si>
    <t>№7 від 25.09.2017</t>
  </si>
  <si>
    <t xml:space="preserve">Загальноосвітня школа I—III ступеня на 300 учнівських місць, с. Батятичі Кам’янка-Бузького району – добудова 
</t>
  </si>
  <si>
    <t xml:space="preserve">Загальноосвітня школа I—II ступеня по вул. Річній, 1, с. Бортятин Мостиського району – реконструкція з добудовою 
</t>
  </si>
  <si>
    <t xml:space="preserve">Дитячий навчальний заклад “Сонечко” у с. Звенигород, 1454, Звенигородської сільської ради Пустомитівського району – реконструкція 
</t>
  </si>
  <si>
    <t xml:space="preserve">2016-2017 </t>
  </si>
  <si>
    <t xml:space="preserve"> №19 вiд 27.12.2017</t>
  </si>
  <si>
    <t xml:space="preserve">Друга черга загальноосвітньої школи I–III ступеня на 400 учнівських місць по вул. Шевченка, с. Чишки Пустомитівського району – будівництво 
</t>
  </si>
  <si>
    <t xml:space="preserve">Народний дім на 100 місць, с. Чорнушовичі Пустомитівського району – будівництво 
</t>
  </si>
  <si>
    <t>№11 вiд 27.12.2017</t>
  </si>
  <si>
    <t xml:space="preserve">Школа, с. Наварія Пустомитівського району – будівництво 
</t>
  </si>
  <si>
    <t>серпень 2017 р.</t>
  </si>
  <si>
    <t>№39 вiд 20.12.2017</t>
  </si>
  <si>
    <t>Сертифікат серія ЛВ № 162172301186 від 18.08.2017</t>
  </si>
  <si>
    <t xml:space="preserve">Загальноосвітня школа по вул. Княгині Ольги, с. Кротошин Пустомитівського району – будівництво добудови 
</t>
  </si>
  <si>
    <t xml:space="preserve">Дитячий садок, с. Милятичі Пустомитівського району – реконструкція 
</t>
  </si>
  <si>
    <t xml:space="preserve">Середня загальноосвітня школа I–III ступеня, с. Воютичі Самбірського району – реконструкція з добудовою спортивного залу 
</t>
  </si>
  <si>
    <t>№9/22-17 від 22.09.17</t>
  </si>
  <si>
    <t xml:space="preserve">Середня загальноосвітня школа I–II ступеня на 150 учнів з двома дошкільними групами по 15 дітей і фельдшерським пунктом, с. Пристань Сокальського району – завершення будівництва 
</t>
  </si>
  <si>
    <t>№5,6,6.1,7,8 від 27.12.17</t>
  </si>
  <si>
    <t xml:space="preserve">Нежитлова будівля колишнього дитячого садка під дитячий садок на 45 місць, с. Лисятичі Стрийського району – реконструкція 
</t>
  </si>
  <si>
    <t>№1 за грудень 2017 р.</t>
  </si>
  <si>
    <t xml:space="preserve">Загальноосвітня школа I–III ступеня на 480 учнівських місць, с. Либохора Турківського району – будівництво 
</t>
  </si>
  <si>
    <t xml:space="preserve">Загальноосвітня школа І–ІІІ ступеня на 360 учнівських місць в с. Нижня Яблунька Турківського району – будівництво 
</t>
  </si>
  <si>
    <t>№18,19,20,21,21/1 від 22.12.2017</t>
  </si>
  <si>
    <t xml:space="preserve">Школа на 500 учнів в с. Бірки Яворівського району – будівництво 
</t>
  </si>
  <si>
    <t xml:space="preserve">Комплекс плавального басейну школи, с. Домажир Яворівського району – реконструкція під дошкільний заклад і плавальний басейн 
</t>
  </si>
  <si>
    <t xml:space="preserve">Площа Ринок у м. Дрогобичі – реконструкція 
</t>
  </si>
  <si>
    <t xml:space="preserve">Облаштування безпечного міського простору вулиці І. Франка в м. Моршин (реконструкція) 
</t>
  </si>
  <si>
    <t>№6  від 15.12.2017</t>
  </si>
  <si>
    <t xml:space="preserve">Народний дім у с. Ріпнів Буського району – реконструкція з заміною несучих конструкцій даху 
</t>
  </si>
  <si>
    <t xml:space="preserve">Нежитлова будівля в с. Ожидів Буського району – реконструкція під амбулаторію сімейної медицини 
</t>
  </si>
  <si>
    <t>№10 від 27.12.2017</t>
  </si>
  <si>
    <t xml:space="preserve">Загальноосвітня школа І–ІІІ ступеня в с. Суховоля Городоцького району – будівництво 
</t>
  </si>
  <si>
    <t xml:space="preserve">Загальноосвітня школа І–ІІ ступеня в с. Братковичі Городоцького району – будівництво 
</t>
  </si>
  <si>
    <t xml:space="preserve">Народний дім на площі Степана Бандери, 23, в смт Журавно Жидачівського району – реконструкція покрівлі та опорядження фасадів 
</t>
  </si>
  <si>
    <t xml:space="preserve">Дошкільний навчальний заклад по вул. Робітничій, 15а, в с. Мервичі Куликівської селищної ради Жовківського району – реконструкція з добудовою та надбудовою 
</t>
  </si>
  <si>
    <t xml:space="preserve">Народний дім по вул. Львівській, 27, в с. Червоне Золочівського району – реконструкція з влаштуванням шатрового даху 
</t>
  </si>
  <si>
    <t xml:space="preserve">Добротвірська загальноосвітня школа І–ІІІ ступеня в смт Добротвір Кам’янка-Бузького району – реконструкція з добудовою критого басейну 
</t>
  </si>
  <si>
    <t xml:space="preserve">Дитячий садок в с. Колодруби Миколаївського району – капітальний ремонт 
</t>
  </si>
  <si>
    <t>№5 від 14.12.2017</t>
  </si>
  <si>
    <t xml:space="preserve">Рудківська районна лікарня Самбірського району – реконструкція поліклінічного відділення 
</t>
  </si>
  <si>
    <t xml:space="preserve">Дошкільний навчальний заклад “Казка” по вул. Галицькій, 49, в м. Добромилі Старосамбірського району – реконструкція 
</t>
  </si>
  <si>
    <t>№8 від 27.12.2017</t>
  </si>
  <si>
    <t xml:space="preserve">Дошкільний навчальний заклад № 20 по вул. Коваліва, 72, в м. Бориславі – капітальний ремонт в частині заміни вікон (в рамках впровадження комплексних заходів з енергозбереження) 
</t>
  </si>
  <si>
    <t>№3 від 07.12.2017</t>
  </si>
  <si>
    <t xml:space="preserve">Буська загальноосвітня школа І–ІІІ ступеня № 2 по вул. Шкільній, 15, в м. Буську – реконструкція західного корпусу та проведення енергозберігаючих заходів 
</t>
  </si>
  <si>
    <t xml:space="preserve">Загальноосвітня школа І–ІІІ ступеня в с. Добряни Городоцького району – реконструкція (впровадження енергозберігаючих заходів) 
</t>
  </si>
  <si>
    <t xml:space="preserve">Унятицька середня загальноосвітня школа І–ІІ ступеня в с. Унятичі Дрогобицького району – реконструкція системи теплопостачання в рамках впровадження комплексних заходів з енергоефективності 
</t>
  </si>
  <si>
    <t>№11 від 28.12.2017</t>
  </si>
  <si>
    <t xml:space="preserve">Новострілищанська загальноосвітня школа І–ІІІ ступеня Жидачівського району – капітальний ремонт системи опалення та утеплення фасаду 
</t>
  </si>
  <si>
    <t>№3 від 14.12.2017</t>
  </si>
  <si>
    <t xml:space="preserve">Рава-Руська загальноосвітня школа І–ІІІ ступеня № 2 по вул. Є. Коновальця, 17, в м. Рава-Руській Жовківського району – реконструкція з добудовою 
</t>
  </si>
  <si>
    <t>№6, №7 від 26.12.2017</t>
  </si>
  <si>
    <t xml:space="preserve">Загальноосвітня школа І–ІІІ ступеня № 2 імені Г. Тютюнника в м. Кам’янка-Бузька – енергоефективна реновація (капітальний ремонт даху з утепленням горища) 
</t>
  </si>
  <si>
    <t>№12 від 27.12.2017</t>
  </si>
  <si>
    <t xml:space="preserve">Великоглібовицька загальноосвітня школа І–ІІІ ступеня імені Юліана Головінського Перемишлянського району (заміна віконних блоків – в рамках впровадження комплексних заходів з енергоефективності) 
</t>
  </si>
  <si>
    <t xml:space="preserve">Перемишлянська загальноосвітня школа І–ІІІ ступеня № 2 імені О. Ковча по вул. Галицькій, 32, в м. Перемишляни – реконструкція даху в рамках впровадження комплексних заходів з енергоефективності 
</t>
  </si>
  <si>
    <t xml:space="preserve">Дублянський дошкільний навчальний заклад “Ранок” по вул. Молодіжній, 7, в смт Дубляни Самбірського району – реконструкція (впровадження енергозберігаючих заходів) 
</t>
  </si>
  <si>
    <t>№1 від 26.12.2017</t>
  </si>
  <si>
    <t xml:space="preserve">Викотівська середня загальноосвітня школа І–ІІІ ступеня Самбірського району – добудова школи та реконструкція системи опалення 
</t>
  </si>
  <si>
    <t xml:space="preserve">Лосинецька загальноосвітня школа І–ІІ ступеня Турківського району – реконструкція навчального корпусу з будівництвом котельні 
</t>
  </si>
  <si>
    <t xml:space="preserve">Красненська міська лікарня по вул. Золочівській, 10, в смт Красне Буського району – реконструкція 
</t>
  </si>
  <si>
    <t xml:space="preserve">Львівський обласний клінічний діагностичний центр по вул. Пекарській, 69б, в м. Львові – реконструкція  будівель з метою енергозбереження 
</t>
  </si>
  <si>
    <t>№1, №2 від 27.12.2017</t>
  </si>
  <si>
    <t xml:space="preserve">Впровадження комплексних заходів з енергоефектив-ності Комунального закладу Львівської обласної ради “Західноукраїнський спеціалізований дитячий медичний центр” по вул. Дністерській, 27, в м. Львові, у тому числі: 
</t>
  </si>
  <si>
    <t xml:space="preserve">реконструкція системи теплопостачання та теплового пункту 
</t>
  </si>
  <si>
    <t>№2 від 21.12.2017</t>
  </si>
  <si>
    <t xml:space="preserve">реконструкція лікарні, поліклініки та гаражів з метою енергозбереження 
</t>
  </si>
  <si>
    <t xml:space="preserve">Комплексний спортивний майданчик зі штучним покриттям для комунального підприємства “Спортивно-оздоровчий комплекс “Нафтовик” по вул. Коновальця, 6, в м. Бориславі – будівництво 
</t>
  </si>
  <si>
    <t xml:space="preserve">Покращення надання послуг з фізичної культури шляхом будівництва спортивного багатофункційного комплексного майданчика по вул. Сахарова, 2а, в м. Дрогобичі 
</t>
  </si>
  <si>
    <t xml:space="preserve">Спортивний майданчик по вул. Лесі Українки в м. Моршині – реконструкція 
</t>
  </si>
  <si>
    <t xml:space="preserve">Навчально-виховний комплекс "Середня загальноосвітня школа №2–гімназія" на вул. Данилишиних, 19, в м. Трускавці – реконструкція спортивного майданчика 
</t>
  </si>
  <si>
    <t>№1 від 05.12.2017</t>
  </si>
  <si>
    <t xml:space="preserve">Спортивний майданчик із штучним покриттям у м. Червонограді – будівництво 
</t>
  </si>
  <si>
    <t xml:space="preserve">Бродівська загальноосвітня школа І–ІІІ ступеня № 4 в м. Бродах – реконструкція спортивного майданчика 
</t>
  </si>
  <si>
    <t xml:space="preserve">Спортивний майданчик по вул. Воїнів УПА в м. Жовкві – будівництво 
</t>
  </si>
  <si>
    <t>№6, №7 від 22.12.2017</t>
  </si>
  <si>
    <t xml:space="preserve">Спортивні майданчики із штучним покриттям у с. Наварія Пустомитівського району – будівництво 
</t>
  </si>
  <si>
    <t>№4 вiд 23.08.2017</t>
  </si>
  <si>
    <t xml:space="preserve">Спортивний майданчик на території спортивно-туристичного оздоровчого комплексу “Прикарпаття” у с. Сприня Самбірського району – реконструкція 
</t>
  </si>
  <si>
    <t xml:space="preserve">Самбірська дитячо-юнацька спортивна школа по вул. Стебельського, 30а, у м. Самборі – реконструкція боксерського залу 
</t>
  </si>
  <si>
    <t xml:space="preserve">Спортивний майданчик по вул. Європейській, 31, у с. Козьова Сколіського району – реконструкція 
</t>
  </si>
  <si>
    <t xml:space="preserve">Давидівський дитячий дошкільний заклад по вул. Галицькій, 5, в с. Давидів Пустомитівського району — капітальний ремонт фасаду із заміною вікон та дверей 
</t>
  </si>
  <si>
    <t>№11-1/1 вiд 27.12.2017</t>
  </si>
  <si>
    <t xml:space="preserve">Львівська обласна клінічна лікарня по вул. Некрасова, 4, у м. Львові — реконструкція будівлі пологового корпусу із впровадженням енергозберігаючих заходів 
</t>
  </si>
  <si>
    <t>№4 від 26.12.2017</t>
  </si>
  <si>
    <t>МИКОЛАЇВСЬКА</t>
  </si>
  <si>
    <t xml:space="preserve">Дошкільний навчальний заклад «Теремок» по вул. Миру, 176, смт Казанка – реконструкція системи опалення 
(погашення кредиторської заборгованості) 
</t>
  </si>
  <si>
    <t>липень 2017 р.</t>
  </si>
  <si>
    <t>б/н від 22.12.2016</t>
  </si>
  <si>
    <t xml:space="preserve">Декларація від 31.05.17 №МК 143171513182 </t>
  </si>
  <si>
    <t xml:space="preserve">Схема планування території Миколаївської області – внесення змін 
</t>
  </si>
  <si>
    <t xml:space="preserve">дог.№38-01-2016 від 01.11.2016 </t>
  </si>
  <si>
    <t xml:space="preserve">Водопровідна мережа від очисних споруд водопроводу—2 до проспекту Праці, м. Первомайськ – будівництво 
</t>
  </si>
  <si>
    <t xml:space="preserve">Корпус центру дитячої реабілітації та корпус хоспісу Баштанської центральної районної лікарні по вул. Ювілейній, 3, м. Баштанка – реконструкція з добудовою під хоспіс 
</t>
  </si>
  <si>
    <t>2015-2019</t>
  </si>
  <si>
    <t xml:space="preserve">Єланецька гуманітарна гімназія по вул. Горького, 25, смт Єланець – реконструкція з впровадженням енергозберігаючих заходів з теплосанації будівлі та встановлення електричного теплоакумулюючого опалення 
</t>
  </si>
  <si>
    <t xml:space="preserve">Кривоозерська центральна районна лікарня по вул. Шевченка, 59, смт Криве Озеро – реконструкція існуючої системи електроопалення на енергозберігаючу систему 
</t>
  </si>
  <si>
    <t>2014-2017</t>
  </si>
  <si>
    <t xml:space="preserve">“Електронна Миколаївщина» – впровадження на території Миколаївської області “Системи електронного урядування та електронної демократії” 
</t>
  </si>
  <si>
    <t>накл.№СНК -17138, №СНК-17138.1 від 20.12.2017, акт №СНК-17208 від 21.12.2017</t>
  </si>
  <si>
    <t xml:space="preserve">Обласний будинок дитини по вул. Бутоми, 7б, у м. Миколаєві – реконструкція 
</t>
  </si>
  <si>
    <t xml:space="preserve">Ліквідація наслідків підтоплення житлового масиву Тернівка – будівництво дренажного колектора для захисту від підтоплення житлового масиву Тернівка в м. Миколаєві 
</t>
  </si>
  <si>
    <t>2014-2018</t>
  </si>
  <si>
    <t xml:space="preserve">Насосні станції систем водопостачання ІІ та ІІІ підйому у м. Баштанці та селах Добре та Новоєгорівка – переоснащення 
</t>
  </si>
  <si>
    <t xml:space="preserve">Впровадження інноваційної моделі поводження з твердими побутовими відходами на території Баштанської міської ради 
</t>
  </si>
  <si>
    <t>дог.№436 від 20.10.17, накл.№77 від 14.11.17, №89, №90, №92, №96 від 15.12.17</t>
  </si>
  <si>
    <t xml:space="preserve">Амбулаторії загальної практики сімейної медицини та фельдшерські пункти Новоодеського району – матеріально-технічне оснащення 
</t>
  </si>
  <si>
    <t>дог.№85, №86, №87, №88 від 20.10.2017</t>
  </si>
  <si>
    <t xml:space="preserve">Миколаївська загальноосвітня школа-інтернат № 3 І–ІІІ ступеня Миколаївської обласної ради по вул. 1 Слобідській, 74, у м. Миколаєві – реконструкція 
</t>
  </si>
  <si>
    <t xml:space="preserve">Спортивні майданчики Миколаївської обласної школи вищої спортивної майстерності по вул. Спортивній, 17, у м. Миколаєві – будівництво 
</t>
  </si>
  <si>
    <t xml:space="preserve">Комунальна установа “Вознесенська центральна районна лікарня” по вул. 228-ої Стрілецької дивізії, 26, в м. Вознесенську — капітальний ремонт системи опалення будівлі поліклініки та капітальний ремонт системи опалення будівлі педіатричного відділення (зниження рівня енергоспоживання в будівлях лікарні в м. Вознесенську) 
</t>
  </si>
  <si>
    <t xml:space="preserve">Амбулаторія загальної практики сімейної медицини в смт Первомайське Вітовського району — капітальний ремонт лікувального корпусу (утеплення фасадів та ремонт покрівлі) 
</t>
  </si>
  <si>
    <t>І півріч. 2018 р.</t>
  </si>
  <si>
    <t xml:space="preserve">Казанківська центральна районна лікарня по вул. Аненка, 42, в смт Казанка — реконструкція лікувального корпусу № 1 із впровадженням енергозберігаючих заходів 
</t>
  </si>
  <si>
    <t xml:space="preserve">Насосна станція третього підйому з резервуарами запасу води по вул. Кам’яномостівській в м. Первомайську — будівництво 
</t>
  </si>
  <si>
    <t xml:space="preserve">Мережа водопостачання с. Лепетиха Березнегуватськогорайону — реконструкція 
</t>
  </si>
  <si>
    <t xml:space="preserve">Снігурівська центральна районна лікарня по вул. Жовтневій № 1 в м. Снігурівка — реконструкція покрівлі хірургічного корпусу 
</t>
  </si>
  <si>
    <t>ОДЕСЬКА</t>
  </si>
  <si>
    <t xml:space="preserve">Гімназія № 1 по вул. Шевченка, 8, в м. Іллічівську – реконструкція території з будівництвом навчально-виховного комплексу початкової школи і гімназії на 660 учнів 
</t>
  </si>
  <si>
    <t xml:space="preserve">Маяківська загальноосвітня школа І–ІІІ ступеня по вул. Преображенській, 69а, с. Маяки Біляївського району – прибудова корпусу початкової школи 
</t>
  </si>
  <si>
    <t xml:space="preserve">Незавершене будівництво загальноосвітньої школи по вул. І. Франка, м. Ізмаїл – реконструкція під спортивну школу 
</t>
  </si>
  <si>
    <t xml:space="preserve">Спортивний зал дитячо-юнацької спортивної школи по вул. Уварова, 4, м. Балта – будівництво 
</t>
  </si>
  <si>
    <t xml:space="preserve">Автомобільна дорога загального користування місцевого значення С162102 Саврань — Кам’яне — кордон Кіровоградської області, км 3 + 343 —км 6 + 870 (окремими ділянками) – поточний середній ремонт 
</t>
  </si>
  <si>
    <t>б/н від 29.12.2017</t>
  </si>
  <si>
    <t xml:space="preserve">Автомобільна дорога загального користування державного значення Т-16-06 КПП “Виноградівка” — Болград — /М-15/, км 30 + 700 — км 48+831 (окремими ділянками) – поточний середній ремонт 
</t>
  </si>
  <si>
    <t xml:space="preserve">Фельдшерсько-акушерський пункт по вул. Грушевського, 108, с. Саф’яни Ізмаїльського району – реконструкція під амбулаторію загальної практики сімейної медицини 
</t>
  </si>
  <si>
    <t xml:space="preserve">Стадіон по вул. Шкільній, 56д, с. Маяки Біляївського району - реконструкція 
</t>
  </si>
  <si>
    <t xml:space="preserve">Комунальний заклад Тузлівський навчально-виховний комплекс, загальноосвітня школа I-III ступеня, школа-ліцей, с. Тузли Татарбунарського району - реконструкція покрівлі та термомодернізація будівлі 
</t>
  </si>
  <si>
    <t xml:space="preserve">Дошкільний навчальний заклад комбінованого типу ясла-садок “Веселка” Біляївської об’єднаної територіальної громади, м. Біляївка - енергомодернізація за технологією часткового заміщення потреби в електроенергії енергопродукуючою мережевою сонячною станцією 
</t>
  </si>
  <si>
    <t xml:space="preserve">Будівля Савранської загальноосвітньої школи I-III ступеня по вул. Миру, 68, смт Саврань - капітальний ремонт 
</t>
  </si>
  <si>
    <t xml:space="preserve">Дмитрівська загальноосвітня школа I-III ступеня Кілійської районної ради, с. Дмитрівка Кілійського району - капітальний ремонт 
</t>
  </si>
  <si>
    <t xml:space="preserve">Загальноосвітня школа № 11, м. Білгород-Дністровський - капітальний ремонт із запровадженням енергоефективних заходів та нових дизайнерських рішень 
</t>
  </si>
  <si>
    <t xml:space="preserve">Поточний середній ремонт автомобільної дороги загального користування місцевого значення С161009 Суворове — Першотравневе, км 0 + 000 — км 11 + 300 
</t>
  </si>
  <si>
    <t xml:space="preserve">Поточний середній ремонт автомобільної дороги загального користування державного значення Т-16-38 КПП “Станіславка” — Станіславка-Мурована, км 15 + 600 — км 20 + 200 (окремими ділянками) 
</t>
  </si>
  <si>
    <t>ПОЛТАВСЬКА</t>
  </si>
  <si>
    <t xml:space="preserve">Полтавський обласний клінічний кардіологічний диспансер по вул. Макаренка, 1а, 1б, у м. Полтаві (корпус інтервенційної кардіології та реабілітації) - реконструкція 
</t>
  </si>
  <si>
    <t xml:space="preserve">Будівля по вул. Гагаріна, 14, м. Кременчук – реконструкція під центр муніципальних послуг 
</t>
  </si>
  <si>
    <t xml:space="preserve">Міст через р. Хорол загальною довжиною 116 метрів по вул. Гоголя, м. Миргород – реконструкція 
</t>
  </si>
  <si>
    <t>№23, 23/1, 23/2 від 20.12.2017</t>
  </si>
  <si>
    <t>Сертифікат серія IV № 163173490507 від 15.12.2017</t>
  </si>
  <si>
    <t xml:space="preserve">Школа по вул. Шкільній, 1, у м. Заводському Лохвицького району – будівництво 
</t>
  </si>
  <si>
    <t xml:space="preserve">Фізкультурно-оздоровчий басейн по вул. Шкільній, 18, в с. Розсошенці Полтавського району – будівництво 
</t>
  </si>
  <si>
    <t xml:space="preserve">Спортивний майданчик загальноосвітньої школи І—ІІІ ступеня № 5 імені Л. І. Бугаєвської, м. Горішні Плавні – реконструкція 
</t>
  </si>
  <si>
    <t xml:space="preserve">Піщанська гімназія по вул. Шкільній, 1, с. Піщане, Кременчуцького району – термомодернізація 
</t>
  </si>
  <si>
    <t xml:space="preserve">Загальноосвітня школа І–ІІІ ступеня ім. Ф. П. Борідька по вул. Миру, 1, в с. Яреськи Шишацького району – реконструкція (термомодернізація) 
</t>
  </si>
  <si>
    <t xml:space="preserve">Горбанівський геріатричний пансіонат ветеранів війни та праці – термомодернізація будівель та реконструкція системи теплопостачання (блок № 3 та № 4) 
</t>
  </si>
  <si>
    <t>березень 2018 р.</t>
  </si>
  <si>
    <t>№1, №2, №3, №4 від 26.12.2017</t>
  </si>
  <si>
    <t xml:space="preserve">Диканська гімназія імені М. В. Гоголя в смт. Диканька, вул. Шкільній, 2, Диканського району – капітальний ремонт (блок № 3) 
</t>
  </si>
  <si>
    <t xml:space="preserve">Фельдшерсько-акушерський пункт по вул. Вишневій, 11, в с. Кустолово-Суходілка Машівського району – капітальний ремонт 
</t>
  </si>
  <si>
    <t>№1 від 21.12.2017</t>
  </si>
  <si>
    <t xml:space="preserve">Хорольська центральна лікарня по вул. Комсомольській, 11/1, корпус № 3 – реконструкція приміщення пологового відділення з прибудовою окремої вхідної групи 
</t>
  </si>
  <si>
    <t xml:space="preserve">Дошкільний навчальний заклад по вул. Радянській, 14, в с. Великі Сорочинці Миргородського району – будівництво 
</t>
  </si>
  <si>
    <t>1999-2018</t>
  </si>
  <si>
    <t xml:space="preserve">Пожежний автомобіль для Шишацької об’єднаної територіальної громади – придбання 
</t>
  </si>
  <si>
    <t>№10-13/139 від 22.12.17</t>
  </si>
  <si>
    <t xml:space="preserve">Зіньківський дитячий будинок-інтернат імені О. В. Синяговського за адресою вул. Соборності, 91, в м. Зіньків – термомодернізація будівлі та реконструкція системи теплопостачання спального корпусу сьомої групи 
</t>
  </si>
  <si>
    <t xml:space="preserve">Решетилівська центральна районна лікарня по вул. Грушевського, 76, в смт Решетилівка – реконструкція будівлі колишнього терапевтичного відділення під п’ятиквартирний будинок з службовими квартирами 
</t>
  </si>
  <si>
    <t xml:space="preserve">Приміщення колишньої загальноосвітньої школи в с. Вереміївка, Семенівського району – реконструкція під адміністративно-культурний центр 
</t>
  </si>
  <si>
    <t xml:space="preserve">Ліцей майбутнього в Омельницькій об’єднаній територіальній громаді на Полтавщині 
</t>
  </si>
  <si>
    <t xml:space="preserve">Сільський клуб в с. Комендантівка Кобеляцького району – реконструкція під бібліотечно-музейний центр з патріотичного виховання молоді із впровадженням енергозберігаючих заходів 
</t>
  </si>
  <si>
    <t>РІВНЕНСЬКА</t>
  </si>
  <si>
    <t xml:space="preserve">Незавершене будівництво школи по вул. Шкільній, 15, с. Горбаків Гощанського району – реконструкція під загальноосвітню школу І-ІІІ ступенів 
</t>
  </si>
  <si>
    <t>1985-2017</t>
  </si>
  <si>
    <t>№20/1 від 06.10.2017</t>
  </si>
  <si>
    <t>Сертифікат серія IV № 163172411148 від 29.08.2017</t>
  </si>
  <si>
    <t xml:space="preserve">Школа на 226 учнівських місць по вул. Шевченка, 45, с. Пісків Костопільського району – будівництво 
</t>
  </si>
  <si>
    <t>№69/1 від 22.12.2017</t>
  </si>
  <si>
    <t>Сертифікат серія IV № 162173532016 від 22.12.2017</t>
  </si>
  <si>
    <t xml:space="preserve">Добудова до ясел-садка “Малятко” по вул. Першотравневій, 5, у смт Гоща – реконструкція 
</t>
  </si>
  <si>
    <t>№68/1 від 27.12.2017</t>
  </si>
  <si>
    <t>Сертифікат серія IV № 162173560676 від 22.12.2017</t>
  </si>
  <si>
    <t xml:space="preserve">Комунальний заклад "Рівненський обласний центр з надання соціальних послуг" Рівненської обласної ради по вул. Ж.Кюрі, 21 в м. Рівне - реконструкція складських будівель під відділення обліку бездомних осіб, які не мають житла, та надання послуг з харчування та облаштування на нічліг 
</t>
  </si>
  <si>
    <t xml:space="preserve">Очисні споруди продуктивністю 1500 м3/добу в м.Березне – реконструкція 
</t>
  </si>
  <si>
    <t xml:space="preserve">Степангородська загальноосвітня школа І-ІІІ ступеню по вул. Шевченка, 59 в с. Степангород Володимирецького району – реконструкція під Степангородський навчально-виховний комплекс "Загальноосвітня школа І-ІІІ ступеню - дошкільний навчальний заклад (ДНЗ)" Володимирецької районної ради 
</t>
  </si>
  <si>
    <t xml:space="preserve">Модернізація окремих складових системи теплопостачання Бугринської територіальної громади на основі лінії з виробництва паливних пелет і брикетів 
</t>
  </si>
  <si>
    <t xml:space="preserve">Дитячий будинок-інтернат в с. Мирогоща Друга Дубенського району – реконструкція спального корпусу 
</t>
  </si>
  <si>
    <t xml:space="preserve">Нежитлове приміщення в с. Новий Корець Корецького району – реконструкція під дитячий садок 
</t>
  </si>
  <si>
    <t>№28/1 від 31.10.2017</t>
  </si>
  <si>
    <t>Сертифікат серія IV № 163173032072 від 30.10.2017</t>
  </si>
  <si>
    <t xml:space="preserve">Школа по вул. Шосейна, 16 в с. Залав'я Млинівського району – реконструкція під комунальний заклад "Залав'єцький ДНЗ ясла-садочок "Казка" 
</t>
  </si>
  <si>
    <t xml:space="preserve">Реконструкція благоустрою під облаштування місця відпочинку туристів по вул. Космонавтів в смт Клевань Рівненського району ("Тунель Кохання") 
</t>
  </si>
  <si>
    <t>№62/1 від 21.12.2017</t>
  </si>
  <si>
    <t xml:space="preserve">Декларація від 27.12.17 №РВ 141173611227 </t>
  </si>
  <si>
    <t xml:space="preserve">Дошкільний навчальний заклад по вул. Шкільній, 54 в с. Обарів Рівненського району – будівництво 
</t>
  </si>
  <si>
    <t>№73/1 від 27.12.2017</t>
  </si>
  <si>
    <t>Сертифікат серія IV № 162173563243 від 22.12.2017</t>
  </si>
  <si>
    <t xml:space="preserve">Центральна районна лікарня в смт Рокитне – будівництво терапевтичного корпусу (другий пусковий комплекс) 
</t>
  </si>
  <si>
    <t>№41/1 від 22.12.2017</t>
  </si>
  <si>
    <t>Сертифікат серія IV № 163173492422 від 15.12.2017</t>
  </si>
  <si>
    <t xml:space="preserve">Спортивний комплекс по вул. Я.Мудрого, 1 в м. Сарни – будівництво 
</t>
  </si>
  <si>
    <t>СУМСЬКА</t>
  </si>
  <si>
    <t xml:space="preserve">Каналізаційна мережа центральної частини (вул. Соборна), м. Ромни – будівництво 
</t>
  </si>
  <si>
    <t>№2 від 05.10.2017</t>
  </si>
  <si>
    <t xml:space="preserve">Стадіон “Авангард”, м. Суми – реконструкція 
</t>
  </si>
  <si>
    <t xml:space="preserve">Будівля обласного комунального закладу Сумської обласної дитячо-юнацької спортивної школи по вул. 20 років Перемоги, 9а, в м. Суми – капітальний ремонт 
</t>
  </si>
  <si>
    <t>№4, 4-1 від 20.12.2017; №2 від 26.12.2017</t>
  </si>
  <si>
    <t xml:space="preserve">Плавальний басейн по вул. Шевченка, 10, м. Шостка – реконструкція (утеплення фасадів, заміна вікон, влаштування системи протипожежного захисту) 
</t>
  </si>
  <si>
    <t>№6.1 від 26.12.2017</t>
  </si>
  <si>
    <t xml:space="preserve">Спортивний майданчик у міському парку із встановленням штучного покриття, м. Буринь – реконструкція 
</t>
  </si>
  <si>
    <t xml:space="preserve">Каналізаційний залізобетонний самотічний колектор Д600-1000 по вулицях Пушкіна, Садовій, Засумській, Я. Мудрого (Пролетарській) до каналізаційної насосної станції № 2 від вул. Степана Бандери (Баумана) до вул. Лугової, м. Суми – реконструкція 
</t>
  </si>
  <si>
    <t xml:space="preserve">Глухівська загальноосвітня школа І–ІІІ ступеня № 6 Глухівської міської ради по вул. Героїв Крут, 5, м. Глухів – капітальний ремонт м'якої покрівлі 
</t>
  </si>
  <si>
    <t>№4 від 18.12.2017</t>
  </si>
  <si>
    <t xml:space="preserve">Центральна районна лікарня по вул. Петровського, 15, м. Охтирка – будівництво (розширення) 
</t>
  </si>
  <si>
    <t>1990-2018</t>
  </si>
  <si>
    <t xml:space="preserve">Роменська загальноосвітня школа І–ІІІ ступеня № 7 по вул. Полтавській, 32, м. Ромни – капітальний ремонт (елементи енергозбереження) 
</t>
  </si>
  <si>
    <t xml:space="preserve">Дорога по вул. Спортивній, м. Шостка – реконструкція 
</t>
  </si>
  <si>
    <t>№2 від 26.10.2017; №4 від 17.11.2017</t>
  </si>
  <si>
    <t>Декларація від 11.2017 №СМ 141173322034</t>
  </si>
  <si>
    <t xml:space="preserve">Стадіон “Зірка”, м. Шостка – реконструкція 
</t>
  </si>
  <si>
    <t xml:space="preserve">Проект регіонального розвитку “Реконструкція теплових мереж м. Шостка”, у тому числі: 
</t>
  </si>
  <si>
    <t>завершено</t>
  </si>
  <si>
    <t xml:space="preserve">теплова мережа на гуртожиток Шосткинського хіміко-технологічного коледжу по вул. І. Кожедуба від вузла теплового 184А, м. Шостка – реконструкція 
</t>
  </si>
  <si>
    <t xml:space="preserve">квартальна теплова мережа від вузла теплового 327 до вузла теплового 330 та вводу до житлового будинку по вул. Горького, 3а, м. Шостка – реконструкція 
</t>
  </si>
  <si>
    <t xml:space="preserve">ділянка квартальної теплової мережі від вузла теплового 544 до вузла теплового 549 по пров. Марата, м. Шостка – реконструкція 
</t>
  </si>
  <si>
    <t xml:space="preserve">ділянка квартальної тепломережі від вузла теплового 35 до вузла теплового 46а по вул. Грушевського, 7, м. Шостка – реконструкція 
</t>
  </si>
  <si>
    <t xml:space="preserve">система теплопостачання житлових будинків  по вул. Робочій, 17, та по пров. Марата, 7б, від вузла теплового 554, м. Шостка – реконструкція 
</t>
  </si>
  <si>
    <t xml:space="preserve">Шосткинський навчально-виховний комплекс: спеціалізована школа І–ІІ ступеня – ліцей по вул. Свободи, 33, м. Шостка – реконструкція з утепленням фасадів, заміною вікон, дверей 
</t>
  </si>
  <si>
    <t xml:space="preserve">Миколаївська спеціалізована школа І–ІІІ ступеня по вул. Шкільній, 6, смт Миколаївка Білопільського району – капітальний ремонт (елементи енергозбереження) 
</t>
  </si>
  <si>
    <t xml:space="preserve">Будівля сільської ради по вул. Шкільній, 18, в с. Слоут Березівської об’єднаної територіальної громади Глухівського району – реконструкція для розміщення центру безпеки 
</t>
  </si>
  <si>
    <t>№3 від 22.12.2017</t>
  </si>
  <si>
    <t xml:space="preserve">Будівля Слоутського навчально-виховного комплексу по вул. Шкільній, 15, с. Слоут Глухівського району – реконструкція будівлі (заміна вікон, внутрішнє опорядження) 
</t>
  </si>
  <si>
    <t xml:space="preserve">Водогін від вул. Красная, 1 до вул. 40 років Перемоги, 110, смт Шалигине Глухівського району – реконструкція 
</t>
  </si>
  <si>
    <t>№2 від 14.12.2017</t>
  </si>
  <si>
    <t xml:space="preserve">Розвиток первинної медико-санітарної допомоги в Шалигинській об’єднаній територіальній громаді (придбання спеціалізованого санітарного автомобіля для надання первинної медичної допомоги для амбулаторії загальної практики сімейної медицини селища Шалигине, сіл Ємадикине, Ходине, Вовківка, Гудове, Старикове, Соснівка, Катеринівка, Сваркове на території Шалигинської об’єднаної територіальної громади) 
</t>
  </si>
  <si>
    <t>накл.№18 від 08.12.17</t>
  </si>
  <si>
    <t xml:space="preserve">Проект регіонального розвитку “Забезпечення централізованим водопостачанням Глухівського району”, у тому числі: 
</t>
  </si>
  <si>
    <t xml:space="preserve">водогін від вул. Садової, 1, до вул. Миру, 4, в смт Есмань Глухівського району – реконструкція 
</t>
  </si>
  <si>
    <t xml:space="preserve">водопровідна мережа по вулицях Перемоги, Лузанівській, Осадчого, Петрусів Яр, с. Уздиця Глухівського району – капітальний ремонт 
</t>
  </si>
  <si>
    <t>№1 від 01.11.2017; №2 від 01.12.2017</t>
  </si>
  <si>
    <t>Декларація від 22.12.17 №СМ 141173560533</t>
  </si>
  <si>
    <t xml:space="preserve">водопровідна мережа по вулицях Гоголя та Садовій в с. Вікторове Уздицької сільської ради Глухівського району – капітальний ремонт 
</t>
  </si>
  <si>
    <t>№2 від 04.10.2017; №2 від 01.11.2017</t>
  </si>
  <si>
    <t>Декларація від 17.11.17 №СМ 141173211978</t>
  </si>
  <si>
    <t xml:space="preserve">Заводська загальноосвітня школа І–ІІІ ступеня по вул. Правдинській, 26, смт Кириківка Великописарівського району – капітальний ремонт з утепленням огороджувальних конструкцій будівлі 
</t>
  </si>
  <si>
    <t>№6 від 29.11.2017</t>
  </si>
  <si>
    <t xml:space="preserve">Будівля фельдшерсько-акушерського пункту по вул. Миколаївській, с. Сваркове Глухівського району – реконструкція 
</t>
  </si>
  <si>
    <t>№1 від 22.12.2017</t>
  </si>
  <si>
    <t xml:space="preserve">Дорога по вул. Набережній, с. Козацьке Конотопського району – капітальний ремонт 
</t>
  </si>
  <si>
    <t>№10 від 27.10.2017</t>
  </si>
  <si>
    <t xml:space="preserve">Водопровідні мережі, с. Сахни Конотопського району – будівництво 
</t>
  </si>
  <si>
    <t xml:space="preserve">Водогін, с. Запсілля Краснопільського району – реконструкція 
</t>
  </si>
  <si>
    <t>№6 від 20.12.2017</t>
  </si>
  <si>
    <t xml:space="preserve">Миропільський навчально-виховний комплекс по вул. Сумській, 38, с. Миропілля Краснопільського району – капітальний ремонт покрівлі 
</t>
  </si>
  <si>
    <t>№1 від 26.10.2017</t>
  </si>
  <si>
    <t xml:space="preserve">Краснопільська загальноосвітня школа І–ІІІ ступеня Краснопільської районної ради по вул. Перемоги, 1, смт Краснопілля – реконструкція 
 </t>
  </si>
  <si>
    <t xml:space="preserve">Котельня Алтинівської загальноосвітньої школи І–ІІІ ступеня по вул. Чайківка, 19, с. Алтинівка Кролевецького району – реконструкція 
</t>
  </si>
  <si>
    <t xml:space="preserve">Будівля Кролевецької спеціалізованої школи № 1 по пл. Миру, 2, м. Кролевець – реконструкція (утеплення фасадів, горищ, заміна вікон) 
</t>
  </si>
  <si>
    <t>№1, 2 від 26.12.2017</t>
  </si>
  <si>
    <t xml:space="preserve">Недригайлівська спеціалізована загальноосвітня школа І–ІІІ ступеня по вул. Незалежності, 25, смт Недригайлів – реконструкція 
</t>
  </si>
  <si>
    <t xml:space="preserve">Будівля Вільшанської загальноосвітньої школи І–ІІІ ступеня Недригайлівської районної ради, с. Вільшана Недригайлівського району – реконструкція (утеплення фасадів, горищ, заміна вікон) 
</t>
  </si>
  <si>
    <t xml:space="preserve">Будівля Коровинської загальноосвітньої школи І–ІІІ ступеня по вул. Київській, 70, с. Коровинці Недригайлівського району – реконструкція (утеплення фасадів та горищ, заміна вікон та дверей) 
</t>
  </si>
  <si>
    <t xml:space="preserve">Придбання шкільного автобуса для Грунської загальноосвітньої школи І–ІІІ ступеня Грунської сільської ради, с. Грунь Охтирського району 
</t>
  </si>
  <si>
    <t>накл.№48 від 26.12.17</t>
  </si>
  <si>
    <t xml:space="preserve">Будівля Будинку культури Зноб-Новгородської селищної ради по вул. Плановій, 11, смт Зноб-Новгородське Середино-Будського району – капітальний ремонт 
</t>
  </si>
  <si>
    <t xml:space="preserve">Створення об’єднаного комунального підприємства для обслуговування мереж водогонів, благоустрою, збору та утилізації твердих побутових відходів, надання ритуальних послуг у сільській місцевості на базі комунального підприємства “Середино-Будське” в м. Середина-Буда Середино-Будського району (придбання транспортних засобів та обладнання) 
</t>
  </si>
  <si>
    <t xml:space="preserve">Водогін по вул. Першотравневій, с. Миколаївка Сумського району – будівництво 
</t>
  </si>
  <si>
    <t xml:space="preserve">№3 від 26.10.2017         </t>
  </si>
  <si>
    <t>Декларація від 11.2017 №СМ 141173191873</t>
  </si>
  <si>
    <t xml:space="preserve">Водогін по вулицях Сумській, Палійова, провулках Сумський, Першотравневий, с. Нижня Сироватка Сумського району – реконструкція 
</t>
  </si>
  <si>
    <t xml:space="preserve">Бездрицька загальноосвітня школа І—ІІІ ступеня по вул. Жовтневій, 37, с. Бездрик Сумського району – реконструкція приміщень та будівель 
</t>
  </si>
  <si>
    <t xml:space="preserve">Хотінська спеціалізована школа І–ІІІ ступеня, по вул. Шкільній, 10, смт Хотінь Сумського району – реконструкція будівель, приміщень та теплотраси 
</t>
  </si>
  <si>
    <t xml:space="preserve">Дошкільний навчальний заклад “Казка”, с. Старе Село Сумського району – капітальний ремонт (ремонт покрівлі, утеплення зовнішніх стін) 
</t>
  </si>
  <si>
    <t xml:space="preserve">Каналізаційні мережі та споруди, с. Ковтунове Шосткинського району – капітальний ремонт з впровадженням енергозберігаючих заходів 
</t>
  </si>
  <si>
    <t xml:space="preserve">Ображіївський будинок культури по вул. Кожедуба, 105, с. Ображіївка Шосткинського району – реконструкція опалювальної системи 
</t>
  </si>
  <si>
    <t>№1 від 12.09.17 №2 від 04.10.17 №3 від 26.10.2017</t>
  </si>
  <si>
    <t>Декларація від 17.11.17 №СМ 141173211906</t>
  </si>
  <si>
    <t xml:space="preserve">Клишківський навчально-виховний комплекс по вул. Калиновій, 1, с. Клишки Шосткинського району – капітальний ремонт інженерних мереж 
</t>
  </si>
  <si>
    <t>№3, 4 від 18.12.2017</t>
  </si>
  <si>
    <t xml:space="preserve">Проект регіонального розвитку “Забезпечення централізованим водопостачанням Шосткинського району”, у тому числі: </t>
  </si>
  <si>
    <t xml:space="preserve">водогін та водонатискна вежа по вул. Бедненка, с. Макове Шосткинського району – капітальний ремонт 
</t>
  </si>
  <si>
    <t xml:space="preserve">водопровідна мережа по вулицях Заозерній, Меліораторів, с. Миронівка Шосткинського району – капітальний ремонт 
</t>
  </si>
  <si>
    <t xml:space="preserve">Миронівський навчально-виховний комплекс по вул. Миру, 5, с. Миронівка Шосткинського району – капітальний ремонт для підвищення енергоефективності (відновлення покрівлі та утеплення) 
</t>
  </si>
  <si>
    <t>№2 від 27.10.2017; №3 від 15.11.2017</t>
  </si>
  <si>
    <t xml:space="preserve">Система водопостачання (водогін) по вулицях Травневій, Центральній, Шевченка та Кості Яніна, с. Чуйківка Ямпільського району – будівництво 
</t>
  </si>
  <si>
    <t>№1 від 20.11.2017</t>
  </si>
  <si>
    <t xml:space="preserve">Дорога по вул. Кожедуба, перехрестя вулиць Кожедуба, Шкільній, С. Гнібеди та М. Шарапова, м. Дружба Ямпільського району – капітальний ремонт 
</t>
  </si>
  <si>
    <t>№1 від 27.09.2017</t>
  </si>
  <si>
    <t xml:space="preserve">Вуличне освітлення по вулицях С. Гнібеди, Заводській, м. Дружба Ямпільського району – капітальний ремонт 
</t>
  </si>
  <si>
    <t xml:space="preserve">Водогін по вулицях Жовткова, С. Сугоняко, Студентській, Садовій, Черненка та провулках Миру, Садовому, с. Воздвиженське Ямпільського району – будівництво 
</t>
  </si>
  <si>
    <t>№1 від 01.11.2017</t>
  </si>
  <si>
    <t>Сертифікат серія IV № 16217314205 від 11.2017</t>
  </si>
  <si>
    <t xml:space="preserve">Дорога по бульв. Ювілейний, смт Ямпіль – капітальний ремонт 
</t>
  </si>
  <si>
    <t>№1 від 21.11.2017</t>
  </si>
  <si>
    <t xml:space="preserve">Проект регіонального розвитку “Модернізація вуличного освітлення Ямпільського району”, 
у тому числі: 
</t>
  </si>
  <si>
    <t xml:space="preserve">вуличне освітлення, с. Білиця Ямпільського району – реконструкція 
</t>
  </si>
  <si>
    <t>№256, 257 від 04.12.17</t>
  </si>
  <si>
    <t xml:space="preserve">Декларації від 27.12.17 №СМ 141173612407, №СМ 141173612415 </t>
  </si>
  <si>
    <t xml:space="preserve">вуличне освітлення по вулицях Шевченка, Гагаріна, Джерельній, Живописній, Корольова від комплектної трансформаторної підстанції № 54, с. Марчихина Буда Ямпільського району – будівництво 
</t>
  </si>
  <si>
    <t>№271, 272 від 20.12.17</t>
  </si>
  <si>
    <t>Декларація від 29.12.17 №СМ 141173630466</t>
  </si>
  <si>
    <t xml:space="preserve">Футбольне поле та бігові доріжки спортивного комплексу по вул. Степанівській, 57, смт Степанівка Сумського району — реконструкція 
</t>
  </si>
  <si>
    <t xml:space="preserve">Будівля Путивльської загальноосвітньої школи I—IIIступеня № 2 імені Г. Я. Базими Путивльської районної ради, м. Путивль — реконструкція (утеплення фасадів, покрівлі, заміна вікон) 
</t>
  </si>
  <si>
    <t xml:space="preserve">Будинок культури, с. Мала Рибиця Краснопільського району — реконструкція з улаштуванням опалення 
</t>
  </si>
  <si>
    <t xml:space="preserve">Водогін в с. Хильчичі Середино-Будського району — капітальний ремонт 
</t>
  </si>
  <si>
    <t xml:space="preserve">Вуличний водогін по вулицях Мезенській, Калієвській, Вовнянській в с. Нововасилівка Середино-Будськогорайону — реконструкція 
</t>
  </si>
  <si>
    <t>ТЕРНОПІЛЬСЬКА</t>
  </si>
  <si>
    <t xml:space="preserve">Загальноосвітня школа I-II ступеня на 180 учнівських місць, с. Горигляди Монастириського району – будівництво 
</t>
  </si>
  <si>
    <t>1990-2017</t>
  </si>
  <si>
    <t>I кварт. 2018 р.</t>
  </si>
  <si>
    <t xml:space="preserve">Чортківський державний медичний коледж  по вул. Млинарській, 14-А, м.Чортків – реконструкція  гуртожитку з утепленням фасадів та влаштуванням шатрового даху 
</t>
  </si>
  <si>
    <t>б/н від 18.11.2017</t>
  </si>
  <si>
    <t xml:space="preserve">Приміщення колишньої школи, с. Стінка Бучацького району – реконструкція з добудовою під дошкільний заклад на 40 місць 
</t>
  </si>
  <si>
    <t xml:space="preserve">Гідротехнічні споруди веслувального каналу центру веслування та водних видів спорту з інфраструктурою “Водна арена Тернопіль” у м. Тернополі та на території Тернопільського району — будівництво 
</t>
  </si>
  <si>
    <t xml:space="preserve">Лікувальний корпус комунальної установи Тернопільської обласної ради "Тернопільський обласний протитуберкульозний диспансер" по вул. Підлісна, 26-А у с. Великі Гаї Тернопільського району – реконструкція (енергозбереження) 
</t>
  </si>
  <si>
    <t xml:space="preserve">Лікувальний корпус № 2 комунальної установи Тернопільської обласної ради "Тернопільський обласний наркологічний диспансер" по вул. Тролейбусна, 14 у м. Тернопіль – реконструкція з добудовою приймального відділення для покращення надання медичної допомоги демобілізованим та учасникам АТО 
</t>
  </si>
  <si>
    <t xml:space="preserve">Будівля Тернопільської обласної комунальної протитуберкульозної лікарні у с. Плотича Тернопільського району – капітальний ремонт даху будівлі (перша черга) 
</t>
  </si>
  <si>
    <t>б/н від 28.12.2017</t>
  </si>
  <si>
    <t xml:space="preserve">Комунальна установа Тернопільської обласної ради "Більче-Золотецька обласна фізіотерапевтична лікарня" – реконструкція існуючої системи гарячого постачання води та підігріву басейну з використанням закритої геліосистеми для гарячого постачання води та незакипаючої зливної системи для підігріву басейну на основі всесезонних вакуумних колекторів 
</t>
  </si>
  <si>
    <t xml:space="preserve">Будинок по вул. Личакова, 2а у с. Саранчуки Бережанського району – реконструкція під фельдшерсько-акушерський пункт із заміною покриття даху, утеплення стін, заміною вікон та встановленням котла на альтернативний вид палива 
</t>
  </si>
  <si>
    <t xml:space="preserve">Амбулаторія загальної практики сімейної медицини по вул. Ясна, 9 у с. Увисла Гусятинського району – реконструкція даху з утепленням горищного перекриття та фасаду із застосуванням інноваційних технологій 
</t>
  </si>
  <si>
    <t>б/н від 21.12.2017</t>
  </si>
  <si>
    <t xml:space="preserve">Енергоефективний проект розвитку Вербівської загальноосвітньої школи І-ІІ ступеня по вул. Мазепи, 40 у с. Вербів Бережанського району – реконструкція системи опалення з встановленням енергоефективних котлів на альтернативних видах палива та заміна покрівлі з утепленням фасаду 
</t>
  </si>
  <si>
    <t xml:space="preserve">Бучацька загальноосвітня школа І-ІІІ ступеня № 2 по вул. Лисенка, 2 у м. Бучач, Бучацького району – капітальний ремонт по впровадженню енергозберігаючих технологій з утепленням фасадів 
</t>
  </si>
  <si>
    <t xml:space="preserve">Оліївська загальноосвітня школа І-ІІІ ступеня у с. Оліїв Зборівського району – капітальний ремонт (утеплення фасадів, перекриття; заміна покрівлі, влаштування дашків входу) 
</t>
  </si>
  <si>
    <t>б/н від 15.11.2017</t>
  </si>
  <si>
    <t xml:space="preserve">Шумська загальноосвітня школа І-ІІІ ступеня №1 по вул. Українській, 47 у м. Шумськ – капітальний ремонт з заміною вікон та вхідних дверей 
</t>
  </si>
  <si>
    <t xml:space="preserve">Теребовлянський навчально-реабілітаційний центр Тернопільської обласної ради по вул. Залізничній, 8 у м. Теребовлі – реконструкція корпусу "А" і корпусу "Б" 
</t>
  </si>
  <si>
    <t>№4 від 21.12. 2017</t>
  </si>
  <si>
    <t xml:space="preserve">Коханівська загальноосвітня школа І-ІІ ступеня по вул. Миру 19, Збаразького району – капітальний ремонт із заміною покрівлі даху з проведенням відповідних ремонтно-будівельних робіт 
</t>
  </si>
  <si>
    <t>б/н від 09.10.2017</t>
  </si>
  <si>
    <t xml:space="preserve">Дошкільний навчальний заклад "Калинонька" по вул. Гайворонського, 8 у м. Заліщики Заліщицького району – капітальний ремонт даху та фасаду 
</t>
  </si>
  <si>
    <t xml:space="preserve">Загальноосвітня школа  І-ІІ ступеня по вул. Озерна, 95 у с. Ренів Зборівського району – реконструкція 
</t>
  </si>
  <si>
    <t xml:space="preserve">Козівська загальноосвітня школа І-ІІІ ступеня №1 по вул. Гвардійська, 9 у смт Козова – реконструкція даху корпусу старших класів 
</t>
  </si>
  <si>
    <t xml:space="preserve">Навчально-виховний комплекс "Лановецька загальноосвітня школа І-ІІІ ступеня № 2 - гімназія" – капітальний ремонт з впровадженням енергозберігаючих технологій (утеплення зовнішніх стін будівлі школи і заміна покрівлі) 
</t>
  </si>
  <si>
    <t xml:space="preserve">Тернопільська Українська гімназія ім. І. Франка по вул. Коперніка, 14 у м. Тернополі – реконструкція фасаду та даху 
</t>
  </si>
  <si>
    <t>№5 28.12.2017</t>
  </si>
  <si>
    <t xml:space="preserve">Підволочиська загальноосвітня школа І-ІІІ ступеня по вул. Д. Галицького, 90 у смт Підволочиськ – реконструкція 
</t>
  </si>
  <si>
    <t>б/н від 14.12.2017</t>
  </si>
  <si>
    <t xml:space="preserve">Спортзал Збаразької районної дитячо-юнацької спортивної школи по вул. Д. Вишневецького, 2 на території Базаринецької сільської ради Збаразького району – будівництво 
</t>
  </si>
  <si>
    <t xml:space="preserve">Спортивна площадка Підволочиської загальноосвітньої школи І-ІІІ ступеня по вул. Морозенка, 8 у смт Підволочиськ – реконструкція 
</t>
  </si>
  <si>
    <t xml:space="preserve">Майданчик із встановленням штучного рулонного покриття по вул. Центральна, 74 у с. Великі Дедеркали Шумського району на території Великодедеркальської загальноосвітньої школи І-ІІІ ступеня – будівництво 
</t>
  </si>
  <si>
    <t xml:space="preserve">Будівля по вул. Галицька 16 у смт Козлів Козівського району – реконструкція під центр надання адміністративних послуг 
</t>
  </si>
  <si>
    <t xml:space="preserve">Гуртожиток по вул. Млинарська, 14-Б в м. Чорткові – реконструкція даху нежитлової будівлі в рамках реалізації проекту комплексної  термомодернізації будівлі 
</t>
  </si>
  <si>
    <t xml:space="preserve">Петриківський обласний комунальний дитячий будинок інтернат – капітальний ремонт фасадів будівлі в рамках реалізації проекту комплексної термомодернізації будівлі 
</t>
  </si>
  <si>
    <t>б/н від 23.11.2017</t>
  </si>
  <si>
    <t xml:space="preserve">Петриківський обласний геріатричний пансіонат по вул. Зеленій, 15 в с. Петриків Тернопільського району – реконструкція котельні з встановленням двох твердопаливних котлів потужністю 630 кВт та 160 кВт 
</t>
  </si>
  <si>
    <t>№2 від 20.11.2017</t>
  </si>
  <si>
    <t xml:space="preserve">Почаївський психоневрологічний будинок-інтернат  на вул. Шкільній, 36 в м. Почаїв Кременецького району – реконструкція системи опалення в житловому корпусі №1 та часткова  заміна зовнішніх мереж теплотраси в рамках реалізації проекту комплексної термомодернізації будівлі 
</t>
  </si>
  <si>
    <t>№15 від 20.11.2017</t>
  </si>
  <si>
    <t xml:space="preserve">Система каналізації селища Товсте Заліщицького району – реконструкція 
</t>
  </si>
  <si>
    <t xml:space="preserve">Загальноосвітня школа І-ІІІ ступеня по вул. Шкільна, 1 в с. Почапинці Тернопільського району – реконструкція 
</t>
  </si>
  <si>
    <t xml:space="preserve">Будівля колишньої котельні по вул. Шевченка, 1А в с. Ангелівка Тернопільського району – реконструкція під народний дім на 100 місць 
</t>
  </si>
  <si>
    <t xml:space="preserve">Водопровідні споруди смт. Мельниця-Подільська – будівництво 
</t>
  </si>
  <si>
    <t xml:space="preserve">Загальноосвітня школа І-ІІІ ступеня №2 по вул. Січових Стрільців, 23 в м. Теребовлі – реконструкція частини цокольного поверху головного корпусу під шкільну їдальню, заміна вікон і дахового покриття 
</t>
  </si>
  <si>
    <t xml:space="preserve">Хоростківська загальноосвітня школа І-ІІІ ступеня №2 по вул. Незалежності, 17 в м. Хоростків Гусятинського району – капітальний ремонт даху в рамках реалізації проекту комплексної термомодернізації будівлі 
</t>
  </si>
  <si>
    <t xml:space="preserve">Школа в с. Нижбірок Гусятинського району – капітальний ремонт (утеплення стін)  в рамках реалізації проекту комплексної термомодернізації будівлі 
</t>
  </si>
  <si>
    <t>№5 від 20.12.2017</t>
  </si>
  <si>
    <t xml:space="preserve">Комунальне підприємство "Гусятинська бальнеологічна лікарня" по вул. Незалежності, 46 А в смт. Гусятин – реконструкція корпусу 
</t>
  </si>
  <si>
    <t xml:space="preserve">Козівська дитячо-юнацька спортивна школа по вул. Гвардійської, 11 в смт. Козова – реконструкція з добудовою 
</t>
  </si>
  <si>
    <t xml:space="preserve">Частина адміністративного будинку на вул. Варшавській, 23 в с. Лосятин Кременецького району – реконструкція під амбулаторію з використанням інноваційних енергозберігаючих технологій (влаштування паливної з котлом піролізного типу, заміна віконних та дверних блоків) в рамках реалізації проекту комплексної термомодернізації будівлі 
</t>
  </si>
  <si>
    <t xml:space="preserve">Навчально-виховний комплекс Кременецької міської ради “Кременецька загальноосвітня школа I-III ступеня № 5 - дошкільний навчальний заклад” по вул. 107 Кременецької дивізії, 4, у м. Кременці - капітальний ремонт (заміна вікон та утеплення фасадів) в рамках реалізації проекту комплексної термомодернізації будівлі  
</t>
  </si>
  <si>
    <t xml:space="preserve">Каналізаційна мережа і каналізаційна насосна станція по вул. Незалежності в м. Ланівці – реконструкція 
</t>
  </si>
  <si>
    <t>б/н від 11.12.2017</t>
  </si>
  <si>
    <t xml:space="preserve">Каналізаційна мережа м. Монастириська – реконструкція 
</t>
  </si>
  <si>
    <t>IV кварт. 2019 р.</t>
  </si>
  <si>
    <t xml:space="preserve">Завалівська загальноосвітня школа І-ІІІ ступеня Підгаєцької  районної ради – енергоефективний проект розвитку, капітальний ремонт (утеплення фасадів, заміна вікон) в рамках реалізації проекту комплексної термомодернізації будівлі 
</t>
  </si>
  <si>
    <t xml:space="preserve">Центральна районна бібліотека в м. Теребовля – капітальний ремонт приміщень 
</t>
  </si>
  <si>
    <t>№4 від 21.12.2017</t>
  </si>
  <si>
    <t xml:space="preserve">Ласковецька загальноосвітня школа І-ІІІ ступеня в с. Ласківці Теребовлянського району – капітальний ремонт 
</t>
  </si>
  <si>
    <t xml:space="preserve">Корпус міської дитячої лікарні по вул. Р. Купчинського, 14 в м. Тернополі – капітальний ремонт інфекційного відділення 
</t>
  </si>
  <si>
    <t xml:space="preserve">Вулиця Проектна Бічна від будинку №15А до будинку №28 в с. Байківці Тернопільського району – капітальний ремонт (коригування кошторисної документації) 
</t>
  </si>
  <si>
    <t xml:space="preserve">Вулиця Проектна Бічна від будинку №1 до будинку №14 в с. Байківці Тернопільського району – капітальний ремонт (коригування кошторисної документації) 
</t>
  </si>
  <si>
    <t xml:space="preserve">Фельдшерсько-акушерський пункт по вул. Галицька,113 в с. Великі Гаї Тернопільського району – реконструкція під амбулаторію загальної практики - сімейної медицини 
</t>
  </si>
  <si>
    <t xml:space="preserve">Загальноосвітня школа І-ІІІ ступеня по вул. Відродження, 1 в с. Острів Тернопільського району – капітальний ремонт  огороджуючих конструкцій (заміна вікон та дверних блоків) в рамках реалізації проекту комплексної термомодернізації будівлі 
</t>
  </si>
  <si>
    <t xml:space="preserve">Будинок культури (будинок надання послуг) по вул. Центральна, 23 в с. Звиняч Чортківського району – капітальний ремонт 
</t>
  </si>
  <si>
    <t xml:space="preserve">Будинок культури в с. Косів Чортківського району – реконструкція 
</t>
  </si>
  <si>
    <t xml:space="preserve">Будинок по наданню платних послуг населенню по вул. Незалежності, 4Б в с. Росохач Чортківського району – реконструкція 
</t>
  </si>
  <si>
    <t xml:space="preserve">Центральна  комунальна районна лікарня по вул. Галицька, 7 в смт. Заводське Чортківського району – реконструкція шатрового даху в рамках реалізації проекту  комплексної термомодернізації будівлі 
</t>
  </si>
  <si>
    <t xml:space="preserve">Дошкільний навчальний заклад с. Нагірянка Чортківського району – реконструкція будівлі 
</t>
  </si>
  <si>
    <t xml:space="preserve">Вілійський навчально-виховний комплекс  в с. Вілія Шумського району – реконструкція з встановленням двох твердопалиних котлів в паливній та влаштування системи опалення 
</t>
  </si>
  <si>
    <t xml:space="preserve">Шумська центральна районна лікарня по вул. Енергетична, 1 в м. Шумськ – реконструкція будівлі (покрівлі) в рамках реалізації проекту комплексної термомодернізації будівлі 
</t>
  </si>
  <si>
    <t xml:space="preserve">Великодедеркальська районна комунальна лікарня в с. Великі Дедеркали Шумського району –  капітальний ремонт даху стаціонарного корпусу в рамках реалізації проекту комплексної термомодернізації будівлі 
</t>
  </si>
  <si>
    <t>ХАРКІВСЬКА</t>
  </si>
  <si>
    <t xml:space="preserve">Пам’ятникоохоронні роботи на будівлі - пам’ятці архітектури по вул. Римарській, 21, у м. Харкові (комунальне підприємство “Харківська обласна філармонія”) (реконструкція) (коригування у зв’язку з виділенням пускових комплексів) 
</t>
  </si>
  <si>
    <t xml:space="preserve">Водовід від водопровідної насосної станції другого підйому Букінського водозабору до контррезервуарів, розташованих на вул. Аеродромній, м. Ізюм – реконструкція 
</t>
  </si>
  <si>
    <t xml:space="preserve">Школа у мікрорайоні "Мобіль" по вул. Кушнарьова Є.П., 1-б в смт Пісочин Харківського району – нове будівництво 
</t>
  </si>
  <si>
    <t xml:space="preserve">№2, №6, №7 від 01.08.2017, №№ 08-25 від 02.08.17 </t>
  </si>
  <si>
    <t>Сертифікат серія IV № 163172160061 від 04.08.2017</t>
  </si>
  <si>
    <t xml:space="preserve">Стадіон "Авангард" по вул. Вернигоренко, 1/Пушкарьова, 36 в м. Зміїв Зміївського району – реконструкція 
</t>
  </si>
  <si>
    <t>№1/1, 1/2, 1/3 від 19.12.2017</t>
  </si>
  <si>
    <t xml:space="preserve">Золочівська дитячо-юнацька спортивна школа Золочівської районної державної адміністрації по вулиці 8 Березня, 5, в смт. Золочів – реконструкція з прибудовою фізкультурно-оздоровчого комплексу 
</t>
  </si>
  <si>
    <t>ІV кварт. 2019 р.</t>
  </si>
  <si>
    <t xml:space="preserve">Фізкультурно-оздоровчий комплекс в мікрорайоні “Мобіль”, смт Пісочин Харківського району – будівництво 
</t>
  </si>
  <si>
    <t xml:space="preserve">Будівля обласного комунального закладу Харківського історичного музею – пам’ятка архітектури місцевого значення (охоронний номер 432) по вул. Університетській, 5,м. Харків – проведення робіт з реабілітації, пов'язаних із реконструкцією 
</t>
  </si>
  <si>
    <t xml:space="preserve">Будівля стаціонарного корпусу відділення Ізюмської центральної міської лікарні, м. Ізюм – капітальний ремонт 
</t>
  </si>
  <si>
    <t xml:space="preserve">Гуртожиток по вул. Пушкіна, 1, корпуси № 4 і 5 в м. Вовчанську – реконструкція під житло для внутрішньо переміщених осіб та центру надання адміністративних послуг, відділення ДФС, відділень райдержадміністрації та інших служб району 
</t>
  </si>
  <si>
    <t xml:space="preserve">Реалізація комплексу заходів, спрямованих на забезпечення сталого соціально-економічного розвитку Старосалтівської об’єднаної територіальної громади, шляхом зміцнення матеріально-технічної бази 
</t>
  </si>
  <si>
    <t xml:space="preserve"> накл.від 12.12.2017 №ХкРНк-005248, від 20.12.2017 №83, від 21.12.2017 №84</t>
  </si>
  <si>
    <t xml:space="preserve">Закупівля Зачепилівською райдержадміністрацією фізіотерапевтичного та діагностичного обладнання для амбулаторій загальної практики сімейної медицини смт Зачепилівка, сіл Миколаївка, Нове Мажарове, Леб’яже, Новоселівка, Рунівщина, Бердянка, фельдшерсько-акушерських пунктів сіл Зіньківщина, Чернещина, та фельдшерських пунктів сіл Семенівка, Забарине, Зачепилівського району 
</t>
  </si>
  <si>
    <t xml:space="preserve">накл.від 05.10.2017 № П-45,від 15.11.2017 № П-50, від 04.12.2017 № П-52 </t>
  </si>
  <si>
    <t xml:space="preserve">Краснокутська гімназія по вул. Пролетарській, 6, в смт Краснокутськ – реконструкція корпусу № 2 під дитячий садок 
</t>
  </si>
  <si>
    <t>ХЕРСОНСЬКА</t>
  </si>
  <si>
    <t xml:space="preserve">Загальноосвітня школа I-III ступеня № 46 по вул. Фрітаун, 82, м. Херсон – реконструкція басейну з влаштуванням прибудованої опалювальної на твердому паливі 
</t>
  </si>
  <si>
    <t>№18 від 26.12.2017</t>
  </si>
  <si>
    <t xml:space="preserve">Відновлювальні роботи покриття, рульових доріжок 1 і 2, перону аеропорту "Херсон" – реконструкція 
</t>
  </si>
  <si>
    <t>№1 від 08.12.2017; №1 від 27.12.2017</t>
  </si>
  <si>
    <t xml:space="preserve">Тягинський дошкільний навчальний заклад по вул. Поштовій, 5в, с. Тягинка Бериславського району – реконструкція (утеплення фасаду, заміна вікон та зовнішніх дверей) 
</t>
  </si>
  <si>
    <t>№4 від 30.11.2017</t>
  </si>
  <si>
    <t xml:space="preserve">Ясла-садок, с. Томина Балка Білозерського району – капітальний ремонт 
</t>
  </si>
  <si>
    <t>№1 від 23.11.2017</t>
  </si>
  <si>
    <t xml:space="preserve">Нововоронцовський дошкільний навчальний заклад ясла-садок № 2 "Колосок" по вул. Комсомольській, 10, смт Нововоронцовка – капітальний ремонт даху та утеплення горища 
</t>
  </si>
  <si>
    <t xml:space="preserve">Нововоронцовський дошкільний навчальний заклад ясла-садок № 1 "Сонечко" по вул. Гагаріна, 46, смт Нововоронцовка – капітальний ремонт фасаду та горища 
</t>
  </si>
  <si>
    <t xml:space="preserve">Великоолександрівський дошкільний навчальний заклад № 2, смт Велика Олександрівка – проведення санації будівлі 
</t>
  </si>
  <si>
    <t xml:space="preserve">Система водопостачання, с. Нововасилівка Іванівського району – капітальний ремонт 
</t>
  </si>
  <si>
    <t xml:space="preserve">Олешківська гімназія Олешківської районної ради по вул. Пароходній, 27, м. Олешки – реконструкція покрівлі та фасаду 
</t>
  </si>
  <si>
    <t xml:space="preserve">Мирненська загальноосвітня  школа І—ІІІ ступеня Мирненської селищної ради по вул. Шевченка, 34, в смт Мирне Каланчацького району – реконструкція покрівлі та фасаду 
</t>
  </si>
  <si>
    <t xml:space="preserve">Костянтинівська загальноосвітня школа І—ІІІ ступеня Горностаївської районної ради по вул. Шевченка, 55а, в с Костянтинівка Горностаївського району – реконструкція покрівлі та фасаду 
</t>
  </si>
  <si>
    <t xml:space="preserve">Іванівська гімназія (опорний заклад) освітнього округу Іванівського району по вул. Таврійська, 1б, в смт Іванівка – реконструкція покрівлі та фасаду 
</t>
  </si>
  <si>
    <t xml:space="preserve">Верхньорогачицька загальноосвітня школа І—ІІІ ступеня № 1 по вул. Леніна (Центральній), 53, в смт Верхній Рогачик – будівництво спортивних майданчиків та малих архітектурних форм 
</t>
  </si>
  <si>
    <t xml:space="preserve">Каналізаційні очисні споруди в м. Генічеську – реконструкція 
</t>
  </si>
  <si>
    <t xml:space="preserve">Комунальний заклад “Обласна лікарня відновного лікування” Херсонської обласної ради – створення Центру високоспеціалізованої медичної реабілітації 
</t>
  </si>
  <si>
    <t xml:space="preserve">Водопостачання смт Комишани Комсомольського району м. Херсона – будівництво 
</t>
  </si>
  <si>
    <t>№15 від 26.12.2017; №1 від 28.12.2017</t>
  </si>
  <si>
    <t xml:space="preserve">Шляхопровід по проспекту Адмірала Сенявина — вул. Залаегерсег у м. Херсоні – будівництво 
</t>
  </si>
  <si>
    <t xml:space="preserve">Екстрена медична допомога – придбання санітарних автомобілів 
</t>
  </si>
  <si>
    <t xml:space="preserve">Ділянки напірного каналізаційного колектору по вул. Меліораторів та вул. Грушевського в смт Чаплинка – капітальний ремонт 
</t>
  </si>
  <si>
    <t xml:space="preserve">Дитячий садок  у с.Музиківка Білозерського району – реконструкція (з доведенням до 180 місць) 
</t>
  </si>
  <si>
    <t xml:space="preserve">Мережа водопостачання в смт Горностаївка – капітальний ремонт 
</t>
  </si>
  <si>
    <t xml:space="preserve">Розвиток в області мережі сучасних спортивних споруд, у тому числі: </t>
  </si>
  <si>
    <t xml:space="preserve">спортивний майданчик із штучним покриттям по вул. Каштановій, 92, смт Новотроїцьке Новотроїцького району – будівництво 
</t>
  </si>
  <si>
    <t xml:space="preserve">спортивний майданчик із штучним покриттям по просп. 200-річчя Херсона, 19, в м. Херсоні – будівництво 
</t>
  </si>
  <si>
    <t xml:space="preserve">спортивний майданчик із штучним покриттям по вул. Свободи, 4, с. Станіслав Білозерського району — будівництво 
</t>
  </si>
  <si>
    <t>№1 від 16.11.2017</t>
  </si>
  <si>
    <t xml:space="preserve">спортивний майданчик із штучним покриттям по вул. Бериславській в с. Милове Бериславського району — будівництво 
</t>
  </si>
  <si>
    <t xml:space="preserve">спортивний майданчик із штучним покриттям по вул. Софіївській, 78, в м. Олешках — будівництво 
</t>
  </si>
  <si>
    <t>№1 від 29.11.2017</t>
  </si>
  <si>
    <t xml:space="preserve">спортивний майданчик із штучним покриттям по вул. Соборній в с. Дар’ївка Білозерського району — будівництво 
</t>
  </si>
  <si>
    <t>№1 від 29.12.2017</t>
  </si>
  <si>
    <t xml:space="preserve">спортивний майданчик із штучним покриттям по вул. Покровській в с. Чорнобаївка Білозерського району — будівництво 
</t>
  </si>
  <si>
    <t xml:space="preserve">спортивний майданчик із штучним покриттям по вул. Гагаріна, 61, в м. Скадовську — будівництво 
</t>
  </si>
  <si>
    <t xml:space="preserve">спортивний майданчик із штучним покриттям по вул. Гагаріна в с. Чулаківка Голопристанського району - будівництво 
</t>
  </si>
  <si>
    <t xml:space="preserve">спортивний майданчик із штучним покриттям по вул. Текстильній, 1, на території загальноосвітнього навчального закладу I-III ступеня № 39 у м. Херсоні - будівництво 
</t>
  </si>
  <si>
    <t>№2 від 18.12.2017</t>
  </si>
  <si>
    <t xml:space="preserve">спортивний майданчик із штучним покриттям по вул. Освіти, 2, м. Каховка - будівництво 
</t>
  </si>
  <si>
    <t xml:space="preserve">спортивний майданчик із штучним покриттям по вул. Миру, 169, смт Сиваське Новотроїцького району - будівництво 
</t>
  </si>
  <si>
    <t xml:space="preserve">спортивний майданчик із штучним покриттям по вул. Соборній, 57, в с. Приморське Скадовського району — будівництво  
</t>
  </si>
  <si>
    <t>ХМЕЛЬНИЦЬКА</t>
  </si>
  <si>
    <t xml:space="preserve">Очисні споруди, смт Летичів – реконструкція 
(погашення кредиторської заборгованості) 
</t>
  </si>
  <si>
    <t xml:space="preserve">Лікувальний корпус на 120 ліжок та харчоблок по вул. Шевченка, 40, м. Городок – будівництво 
</t>
  </si>
  <si>
    <t>№6 від  27.12 2017</t>
  </si>
  <si>
    <t xml:space="preserve">Школа на 274 учні та сільський клуб на 400 відвідувачів, с. Новолабунь Полонського району – будівництво 
</t>
  </si>
  <si>
    <t>1991-2018</t>
  </si>
  <si>
    <t>№16 від 14.12 2017</t>
  </si>
  <si>
    <t xml:space="preserve">Дитяче відділення на 60 ліжок з поліклінікою на 300 відвідувачів на добу по вул. В. Котика, 85 у м. Шепетівці – завершення будівництва 
</t>
  </si>
  <si>
    <t>1998-2018</t>
  </si>
  <si>
    <t>№18 від 20.12 2017</t>
  </si>
  <si>
    <t xml:space="preserve">Котельня по вул. Тимірязєва, 123, м. Кам’янець-Подільський – реконструкція з встановленням твердопаливного котла 
</t>
  </si>
  <si>
    <t>б/н від 08.2017 р.</t>
  </si>
  <si>
    <t>Сертифікат від 24.11.17 №ХМ 162173270300</t>
  </si>
  <si>
    <t xml:space="preserve">Музичне училище в комплексі з музичною школою по вул. Прибузькій, 8, у м. Хмельницькому – будівництво 
</t>
  </si>
  <si>
    <t>1991-2017</t>
  </si>
  <si>
    <t>Сертифікат від 28.07.2017 № 163172411658 на окремий пусковий комплекс</t>
  </si>
  <si>
    <t xml:space="preserve">Підвідний газопровід середнього тиску до сіл Суржа, Нагоряни, Лісківці, Рихта, Слобідка-Рихтівська, Вільне, Залісся Перше, Параївка, Чорнокозинці, Мілівці, Кудринці, Кізя-Кудринецька, Завалля, Червона Діброва, Вітківці, Добровілля, Кізя, Адамівка, Нововолодимирівка, Шустівці, Ніверка, Підпилип’я, Подоляни, Кам’янець-Подільський район – будівництво 
</t>
  </si>
  <si>
    <t>№13 від 21.12.2017</t>
  </si>
  <si>
    <t xml:space="preserve">Ярмолинецький навчально-виховний комплекс "Загальноосвітня школа І-ІІІ ступенів №1 і гімназія" по вул. Пушкіна, 6, смт Ярмолинці – капітальний ремонт фасаду 
</t>
  </si>
  <si>
    <t>№8 від 26.12.2017</t>
  </si>
  <si>
    <t xml:space="preserve">Хірургічний корпус Волочиської центральної районної лікарні по вул. Незалежності, 68, м. Волочиськ – реконструкція з влаштуванням шатрової покрівлі над приймальним відділенням та перехідною галереєю 
</t>
  </si>
  <si>
    <t>б/н від 10.2017 р.</t>
  </si>
  <si>
    <t>Декларація від 02.10.17 №ХМ 141172750483</t>
  </si>
  <si>
    <t xml:space="preserve">Водопровідні мережі по вул. Пушкіна та вул. Медвецького, смт Чемерівці – реконструкція 
</t>
  </si>
  <si>
    <t xml:space="preserve">Спортивний комплекс на території школи по вул. Б. Хмельницького, 44, в смт Сатанів Городоцького району – будівництво 
</t>
  </si>
  <si>
    <t>№4 від 28.12.2017</t>
  </si>
  <si>
    <t xml:space="preserve">Парк культури та відпочинку по вул. Миру в м. Деражня – реконструкція та влаштування спортивного сектору 
</t>
  </si>
  <si>
    <t xml:space="preserve">Спортивний майданчик по вул. Лермонтова, 13 в смт Дунаївці Дунаєвецького району – будівництво 
</t>
  </si>
  <si>
    <t xml:space="preserve">Котельня по вул. Партизанській, 3, в м. Красилові – реконструкція під спортивно-реабілітаційний центр з добудовою 
</t>
  </si>
  <si>
    <t>№20 від 26.12.2017</t>
  </si>
  <si>
    <t xml:space="preserve">Стадіон по вул. Стадіонній в с. Требухівці Летичівського району – капітальний ремонт 
</t>
  </si>
  <si>
    <t xml:space="preserve">№2 від 23.11.2017 </t>
  </si>
  <si>
    <t xml:space="preserve">Стадіон “Товтри” по вул. Центральній, 50 в смт Чемерівці – реконструкція 
</t>
  </si>
  <si>
    <t>№3 від 20.11.2017</t>
  </si>
  <si>
    <t xml:space="preserve">Стадіон “Центральний”, по вул. Острозького, 43, м. Старокостянтинів – реконструкція бігових доріжок 
</t>
  </si>
  <si>
    <t xml:space="preserve">Летичівський навчально-виховний комплекс №2 — загальноосвітня школа І–ІІІ ступеня гімназія по вул. Радянській, 1, в смт Летичів – реконструкція 
</t>
  </si>
  <si>
    <t xml:space="preserve">Навчально-виховний комплекс по вул. Гагаріна, 23, в с. Попівці Старокостянтинівського району – будівництво паливної із встановленням твердопаливних котлів потужністю 0,172 Гкал/год для опалення 
</t>
  </si>
  <si>
    <t xml:space="preserve">Дошкільний навчальний заклад Берездівського навчально-виховного комплексу “дошкільний навчальний заклад - школа І–ІІІ ступеня” Берездівської сільської ради по вул.Суворова, 3. в с. Берездів Славутського району – капітальний ремонт будівлі 
</t>
  </si>
  <si>
    <t xml:space="preserve">Створення умов для надання високоякісних освітніх послуг через реалізацію проекту “Реконструкція та модернізація приміщень Чемеровецького навчально-виховного комплексу № 1 “Загальноосвітня школа І–ІІІ ступеня, ліцей та міжшкільний навчально-виробничий комбінат» в смт Чемерівці по вул. Центральній, 46, в рамках реалізації Концепції “Нова українська школа” 
</t>
  </si>
  <si>
    <t xml:space="preserve">Створення умов для надання високоякісних освітніх послуг через реалізацію проекту “Капітальний ремонт фасадів (утеплення) Судилківської загальноосвітньої школи І–ІІІ ступеня Судилківської сільської ради Шепетівського району” в рамках реалізації концепції “Нова українська школа” 
</t>
  </si>
  <si>
    <t>документація оформляється 
(пусковий комплекс)</t>
  </si>
  <si>
    <t xml:space="preserve">Створення умов для надання високоякісних освітніх послуг через реалізацію проекту “Загальноосвітній навчальний заклад І–ІІІ ступеня № 1 по вул. К. Острозького, 40, в м. Старокостянтинові – капітальний ремонт” в рамках реалізації концепції “Нова українська школа” 
</t>
  </si>
  <si>
    <t>№8 від 28.12.2017</t>
  </si>
  <si>
    <t xml:space="preserve">Віньковецька центральна районна лікарня по вул. Першотравневій, 6, в смт Віньківці – капітальний ремонт хірургічного корпусу (утеплення фасадів, горищного перекриття, заміна покрівлі) 
</t>
  </si>
  <si>
    <t>№4 від 22.12.2017</t>
  </si>
  <si>
    <t xml:space="preserve">Волочиська центральна районна лікарня по вул. Незалежності, 68, в м. Волочиську – капітальний ремонт харчоблоку та допоміжних приміщень 
</t>
  </si>
  <si>
    <t xml:space="preserve">№1 від 26.12.2017 </t>
  </si>
  <si>
    <t xml:space="preserve">Наркевицька амбулаторія загальної практики — сімейної медицини по вул. Лісовій, 1, в смт Наркевичі Волочиського району – капітальний ремонт з впровадженням енергозберігаючих технологій 
</t>
  </si>
  <si>
    <t xml:space="preserve">Комунальна установа Дунаєвецької районної ради “Дунаєвецька центральна районна лікарня” по вул. Горького, 7, в м. Дунаївцях – капітальний ремонт будівлі лабораторії (утеплення фасадів, горищного перекриття, заміна вікон, зовнішніх дверей та заміна опалення) 
</t>
  </si>
  <si>
    <t>Декларація від 22.12.17 №ХМ №1417353162</t>
  </si>
  <si>
    <t xml:space="preserve">Дунаєвецька центральна районна лікарня по вул. Горького, 7, в м. Дунаївцях – капітальний ремонт будівлі цеху дитячого харчування 
</t>
  </si>
  <si>
    <t>Декларація від 22.12.17 №ХМ №1417353165</t>
  </si>
  <si>
    <t xml:space="preserve">Комунальна установа Дунаєвецької районної ради “Дунаєвецька центральна районна лікарня” по вул. Горького, 7, в м. Дунаївцях – капітальний ремонт будівлі пологового відділення та жіночої консультації (утеплення фасадів, горищного перекриття) 
</t>
  </si>
  <si>
    <t>Декларація від 22.12.17 №ХМ №1417353159</t>
  </si>
  <si>
    <t xml:space="preserve">Новоушицька центральна районна лікарня по вул. Гагаріна, 36, в смт Нова Ушиця – реконструкція котельні із встановленням електричного котла потужністю 180 кВт 
</t>
  </si>
  <si>
    <t xml:space="preserve">№4 від 26.10.2017 </t>
  </si>
  <si>
    <t xml:space="preserve">Центральна районна лікарня по вул. Шевченка, 33, в смт Ярмолинці – технічне переоснащення котельні 
</t>
  </si>
  <si>
    <t xml:space="preserve">Міська поліклініка № 1 по вул. І. Франка, 30, в м. Кам'янець-Подільському – реконструкція приміщення під розміщення лікувального діагностично - консультативного центру та фізіотерапевтичного відділення 
</t>
  </si>
  <si>
    <t xml:space="preserve">Зовнішні мережі водопостачання по вулицях Центральній, Вишневій, Шкільній, Набережній, Зеленій в с. Бубнівка Волочиського району – будівництво 
</t>
  </si>
  <si>
    <t>№1 від 25.09.2017</t>
  </si>
  <si>
    <t xml:space="preserve">Декларація від 02.10 17 №ХМ 141172750483 </t>
  </si>
  <si>
    <t xml:space="preserve">Мережі господарсько-питного водопостачання в с. Сарнів Волочиського району – будівництво 
</t>
  </si>
  <si>
    <t xml:space="preserve">Загальноосвітня школа І ступеня по вул. Шевченка, 38, в м. Городку – капітальний ремонт (утеплення фасадів) 
</t>
  </si>
  <si>
    <t xml:space="preserve">Будинок культури по вул. Б. Хмельницького, 43, в смт Сатанів Городоцького району – реконструкція під центр надання соціальних послуг 
</t>
  </si>
  <si>
    <t xml:space="preserve">Водогін в смт Дунаївці Дунаївецького району – реконструкція 
</t>
  </si>
  <si>
    <t xml:space="preserve">Водогін, с.Нове Село Ізяславського району – будівництво 
</t>
  </si>
  <si>
    <t>№8 від 18.12.2017</t>
  </si>
  <si>
    <t xml:space="preserve">Водопровід станції Гуменці, вулиць Зеленої, Першотравневої, Київської в с.Гуменці Кам'янець-Подільського району – будівництво 
</t>
  </si>
  <si>
    <t xml:space="preserve">Каналізаційно-напірна станція та напірний колектор в смт Летичів – реконструкція з під’єднанням житлового масиву 
</t>
  </si>
  <si>
    <t xml:space="preserve">Вуличні мережі водопостачання в смт Меджибіж Летичівського району – реконструкція 
</t>
  </si>
  <si>
    <t xml:space="preserve">Водогін с. Браїлівка — смт Нова Ушиця – завершення будівництва 
</t>
  </si>
  <si>
    <t>1993-2017</t>
  </si>
  <si>
    <t>№5 від 28.12.2017</t>
  </si>
  <si>
    <t xml:space="preserve">Водопровідні мережі по вулицях Пушкіна, Привокзальній, Лесі Українки, Н. С. Говорун, Академіка Герасимчука, Ходякова в м. Полонному та по ділянці Понінківського водоводу (на території м. Полонного) – реконструкція 
</t>
  </si>
  <si>
    <t>№4 від 19.12.2017</t>
  </si>
  <si>
    <t xml:space="preserve">Котельня по вул. Перемоги в смт Понінка Полонського району – реконструкція з добудовою приміщення для встановлення твердопаливного котла 
</t>
  </si>
  <si>
    <t xml:space="preserve">Придбання апарату ультразвукової діагностики для Хмельницької центральної районної лікарні по вул. Львівське шосе, 1, м. Хмельницький 
</t>
  </si>
  <si>
    <t xml:space="preserve">накл.№193 від 14.09.17 </t>
  </si>
  <si>
    <t xml:space="preserve">Водозабірні свердловини в населених пунктах Почапинецької сільської ради Чемеровецького району – будівництво 
</t>
  </si>
  <si>
    <t xml:space="preserve">Самопливний каналізаційний колектор діаметром 800 міліметрів від колодязя № 554а до каналізаційної насосної станції—2 по вул. Парковій, 64, у м. Хмельницькому – реконструкція 
</t>
  </si>
  <si>
    <t>№52 від 26.12.2017</t>
  </si>
  <si>
    <t xml:space="preserve">Каналізаційні очисні споруди за адресою: вул. Маршала Харченка, 2а, в м. Кам’янець-Подільському – реконструкція системи подачі повітря із заміною повітродувки в повітродувній станції 
</t>
  </si>
  <si>
    <t>№2 від 25.12.2017</t>
  </si>
  <si>
    <t xml:space="preserve">Очисні споруди та напірний колектор в м. Дунаївцях – реконструкція (друга черга) 
</t>
  </si>
  <si>
    <t xml:space="preserve">№7,8.9,10 від 26.12.17 </t>
  </si>
  <si>
    <t xml:space="preserve">Водопровід (мережі водопостачання об’єкта цивільного призначення) у садибній забудові, м. Нетішин – будівництво 
</t>
  </si>
  <si>
    <t>2006-2017</t>
  </si>
  <si>
    <t xml:space="preserve">Загальноосвітня школа по вул. Садовій, 1а, в с. Залужжя Білогірського району – будівництво 
</t>
  </si>
  <si>
    <t>1990-2019</t>
  </si>
  <si>
    <t>№7 від 22.12.2017</t>
  </si>
  <si>
    <t xml:space="preserve">Будинок культури на 500 місць в смт Теофіполь (із зменшенням місць до 493) – будівництво 
</t>
  </si>
  <si>
    <t>№27 від 28.12.2017</t>
  </si>
  <si>
    <t xml:space="preserve">Дошкільний навчальний заклад “Капітошка” Веснянської сільської ради по вул. Шкільній, 98, в с. Веснянка Старокостянтинівського району – реконструкція будинку побуту під комунальний заклад 
</t>
  </si>
  <si>
    <t>ЧЕРКАСЬКА</t>
  </si>
  <si>
    <t xml:space="preserve">Черкаський академічний обласний український музично-драматичний театр імені Т.Г. Шевченка по бульв. Шевченка, 234, м. Черкаси – першочергові аварійно-відбудовні роботи, пов’язані з ліквідацією наслідків надзвичайної ситуації, що склалася внаслідок пожежі 1 липня 2015 року 
</t>
  </si>
  <si>
    <t xml:space="preserve">Адміністративна будівля обласної спеціалізованої дитячо-юнацької спортивної школи олімпійського резерву по вул. Пастерівській, 102, у м. Черкасах – реконструкція з надбудовою другого поверху та добудовою спортивних залів 
</t>
  </si>
  <si>
    <t xml:space="preserve">Смілянська загальноосвітня школа І—ІІІ ступеня № 7 Смілянської міської ради по вул. Б. Хмельницького, 51а, у м. Смілі – капітальний ремонт спортивної зали 
</t>
  </si>
  <si>
    <t>січень 2018 р.</t>
  </si>
  <si>
    <t xml:space="preserve">Смілянська центральна районна лікарня імені Софії Бобринської по вул. Софіївській, 2, у м. Смілі – капітальний ремонт п'ятиповерхової будівлі в рамках впровадження комплексних заходів по енергоефективності 
</t>
  </si>
  <si>
    <t xml:space="preserve">Смілянська центральна районна лікарня імені Софії Бобринської по вул. Софіївській, 2, у м. Смілі – капітальний ремонт поліклінічного відділення в рамках впровадження комплексних заходів по енергоефективності 
</t>
  </si>
  <si>
    <t xml:space="preserve">Білозірська загальноосвітня школа І—ІІІ ступеня Білозірської сільської ради по вул. Лесі Українки, 3, у с. Білозір’я Черкаського району – капітальний ремонт котельної (встановлення твердопаливних котлів) в рамках впровадження комплексних заходів по енергоефективності 
</t>
  </si>
  <si>
    <t>№1-3 від 20.11.2017; №1 від 19.12.2017</t>
  </si>
  <si>
    <t>акт готовності об’єкта до експлуатації від 19.12.2017</t>
  </si>
  <si>
    <t xml:space="preserve">Амбулаторія загальної практики сімейної медицини по вул. Нечуя-Левицького, 5, у смт Стеблів Корсунь-Шевченківського району – капітальний ремонт в рамках впровадження комплексних заходів по енергоефективності 
</t>
  </si>
  <si>
    <t>№1 від 14.12.2017</t>
  </si>
  <si>
    <t>Декларація від 26.12.17 №ЧК 141173542455</t>
  </si>
  <si>
    <t xml:space="preserve">Білозірська загальноосвітня школа І ступеня Білозірської сільської ради по вул. Незалежності, 333, у с. Білозір’я Черкаського району – капітальний ремонт топочної (встановлення твердопаливних котлів) в рамках впровадження комплексних заходів по енергоефективності 
</t>
  </si>
  <si>
    <t>№1-2 від 20.11.2017; №1 від 19.12.2017</t>
  </si>
  <si>
    <t xml:space="preserve">Центр надання адміністративних послуг Білозірської об’єднаної територіальної громади – поліпшення якості надання адміністративних послуг шляхом придбання обладнання з виготовлення паспортів 
</t>
  </si>
  <si>
    <t>-</t>
  </si>
  <si>
    <t>акт №ОУ-0001646 від 27.12.2017</t>
  </si>
  <si>
    <t xml:space="preserve">Черкаський академічний обласний український музично-драматичний театр імені Т.Г. Шевченка по бульв. Шевченка, 234, м. Черкасах – реконструкція з метою ліквідації наслідків надзвичайної ситуації техногенного характеру внаслідок пожежі, яка сталася 1 липня 2015 року в приміщенні театру (перша черга) 
</t>
  </si>
  <si>
    <t xml:space="preserve">“Здоров’я жінки” – створення мережі профілактичних скринінгових центрів на базі медичних установ області 
</t>
  </si>
  <si>
    <t>дог.№116/3110, 04.12.17, накл.№РН 0000539 04.12.17</t>
  </si>
  <si>
    <t xml:space="preserve">Інноваційні школи Черкащини – покращення матеріально-технічної бази в рамках Концепції нового освітнього простору 
</t>
  </si>
  <si>
    <t>рах.№85 від 25.09.2017; вид. нак. №118 від 31.10.2017</t>
  </si>
  <si>
    <t>Сільські населені пункти Черкаської області – комплекс заходів із забезпечення якісною питною водою, зокрема:</t>
  </si>
  <si>
    <t xml:space="preserve">водогін в с. Шабастівка Монастирищенського району – будівництво 
</t>
  </si>
  <si>
    <t xml:space="preserve">водогін в с. Шостакове Катеринопільського району – будівництво 
</t>
  </si>
  <si>
    <t xml:space="preserve">№5 від 22.12.2017 </t>
  </si>
  <si>
    <t xml:space="preserve">водозабірна свердловина в с. Лебедівка Кам’янського району – будівництво 
</t>
  </si>
  <si>
    <t xml:space="preserve">водогін в смт Верхнячка Христинівського району – будівництво (третя черга) 
</t>
  </si>
  <si>
    <t xml:space="preserve">водогін в с. Углуватка Христинівського району – будівництво 
</t>
  </si>
  <si>
    <t xml:space="preserve">водогін в с. Леськове Монастирищенського району – будівництво 
</t>
  </si>
  <si>
    <t xml:space="preserve">водогін в с. Матвіїха Монастирищенського району – будівництво 
</t>
  </si>
  <si>
    <t>№2 від 28.12.2017</t>
  </si>
  <si>
    <t xml:space="preserve">водогін в с. Велика Севастянівка Христинівського району – будівництво 
</t>
  </si>
  <si>
    <t xml:space="preserve">водогін в с. Івангород Христинівського району – реконструкція 
</t>
  </si>
  <si>
    <t xml:space="preserve">водопровід по вулицях Ценральній, Горького, Шидловського, Франка в с. Романівка Тальнівського району – капітальний ремонт 
</t>
  </si>
  <si>
    <t>ЧЕРНІВЕЦЬКА</t>
  </si>
  <si>
    <t xml:space="preserve">Дошкільний навчальний заклад, с.Карапчів Вижницького району – будівництво 
</t>
  </si>
  <si>
    <t xml:space="preserve">Зовнішні мережі водопостачання та водовідведення, смт Кельменці – реконструкція 
</t>
  </si>
  <si>
    <t>№6 від 08.12.2017</t>
  </si>
  <si>
    <t xml:space="preserve">Загальноосвітня школа І–ІІІ ступенів на 650 учнів, с. Рідківці Новоселицького району – будівництво 
</t>
  </si>
  <si>
    <t xml:space="preserve">Туристична мультифункціональна база “Перлина гір” по вул. Кобилянської, 90, у с. Банилів-Підгірний Сторожинецького району – реконструкція 
</t>
  </si>
  <si>
    <t xml:space="preserve">Будівля багатопрофільного ліцею для обдарованих дітей по вул. Винниченка, 119, у м. Чернівцях – реконструкція приміщень басейну та його інженерних мереж 
</t>
  </si>
  <si>
    <t xml:space="preserve">Спортивний майданчик у с. Тереблече Глибоцького району – капітальний ремонт 
</t>
  </si>
  <si>
    <t>б/н від 24.11.2017</t>
  </si>
  <si>
    <t xml:space="preserve">Стадіон у с. Перебиківці Хотинського району – капітальний ремонт 
</t>
  </si>
  <si>
    <t>б/н від 18.12.2017</t>
  </si>
  <si>
    <t xml:space="preserve">Дошкільний  навчальний заклад у с. Подвір’ївка Кельменецького району – капітальний ремонт 
</t>
  </si>
  <si>
    <t xml:space="preserve">Кадубовецька загальноосвітня школа І–ІІІ ступеня по вул.28 червня, 2, у с. Кадубівці Заставнівського району – капітальний ремонт будівлі 
</t>
  </si>
  <si>
    <t xml:space="preserve">Киселівський загальноосвітній навчальний заклад І–ІІІ ступеня по вул. Велико-Володимирській, 75 а, у с. Киселів Кіцманського району – реконструкція будівлі школи без зміни зовнішньої конфігурації 
</t>
  </si>
  <si>
    <t xml:space="preserve">Шишківський загальноосвітній навчальний заклад І–ІІІ ступеня по вул. 40 років Перемоги, 8, у с. Шишківці Кіцманського району – реконструкція будівлі школи без зміни зовнішньої конфігурації 
</t>
  </si>
  <si>
    <t xml:space="preserve">Дошкільний навчальний заклад “Колосок” по вул. Незалежності, 82, у с. Ошихліби Кіцманського району – реконструкція будівлі без зміни зовнішньої конфігурації 
</t>
  </si>
  <si>
    <t>б/н від 19.12.2017</t>
  </si>
  <si>
    <t xml:space="preserve">Обласна комунальна установа “Лікарня швидкої медичної допомоги” по вул. Фастівській, 2, у м. Чернівцях – капітальний ремонт приміщень відділень (п’ятий та шостий поверхи) 
</t>
  </si>
  <si>
    <t xml:space="preserve">Кіцманська центральна районна лікарня у м. Кіцмані – капітальний ремонт відділень 
</t>
  </si>
  <si>
    <t xml:space="preserve">Обласна клінічна лікарня у м. Чернівцях – капітальний ремонт фасадів (корпус № 3; № 5; № 6 і 7; № 8; № 12), покрівлі корпусу № 8; сантехнічних мереж та благоустрою території 
</t>
  </si>
  <si>
    <t xml:space="preserve">Мережі водопостачання у смт Кострижівка Заставнівського району – реконструкція 
</t>
  </si>
  <si>
    <t>2007-2017</t>
  </si>
  <si>
    <t xml:space="preserve">Комунальна медична установа “Чернівецький обласний клінічний кардіологічний диспансер” по вул. Героїв Майдану, 230, у  м. Чернівцях – капітальний ремонт стаціонарних відділень 
</t>
  </si>
  <si>
    <t xml:space="preserve">Пологове відділення (акушерський корпус) у м. Хотин – будівництво 
</t>
  </si>
  <si>
    <t xml:space="preserve">Комунальний заклад “Путильська центральна районна лікарня” у смт Путила – капітальний ремонт інфекційного відділення 
</t>
  </si>
  <si>
    <t xml:space="preserve">Перше фтизіатричне відділення по вул. І. Богуна, 16, у м. Чернівцях – капітальний ремонт покрівлі корпусу 
</t>
  </si>
  <si>
    <t xml:space="preserve">Мережа централізованого питного водопостачання у с. Братанівка Сокирянського району – будівництво 
</t>
  </si>
  <si>
    <t xml:space="preserve">Тернавський навчально-виховний комплекс у с. Тернавка Герцаївського району – добудова учбового корпусу 
</t>
  </si>
  <si>
    <t xml:space="preserve">Загальноосвітня школа І–ІІІ ступеня у с. Йорданешти Глибоцького району – будівництво 
</t>
  </si>
  <si>
    <t>б/н від 11.11.2017</t>
  </si>
  <si>
    <t>ЧЕРНІГІВСЬКА</t>
  </si>
  <si>
    <t xml:space="preserve">Приміщення газової котельні по вул Калинова, 1а в с. Криски Коропського району – реконструкція для улаштування спортивного залу "Атлет" для учнів Крисківської ЗОШ І-ІІІ ступенів та молоді сільської громади 
</t>
  </si>
  <si>
    <t xml:space="preserve">Спортивний майданчик із штучним покриттям для міні-футболу у м. Семенівці – будівництво 
</t>
  </si>
  <si>
    <t xml:space="preserve">Кінотеатр "Літній" по вул. Б. Майстренка, 8, м. Новгород-Сіверський – реконструкція під спортивну залу 
</t>
  </si>
  <si>
    <t xml:space="preserve">Спортивний комплекс по вул. Крилова, 4, у м. Мені – реконструкція 
</t>
  </si>
  <si>
    <t>№1 від 12.12.2017, №2 від 27.12.2017</t>
  </si>
  <si>
    <t>документація оформлюється</t>
  </si>
  <si>
    <t xml:space="preserve">Двоповерховий лікувальний корпус по вул. Шевченка, 61а, у м. Мені – реконструкція фасаду 
</t>
  </si>
  <si>
    <t>№1 від 07.09.2017, №1 від 06.10.2017</t>
  </si>
  <si>
    <t xml:space="preserve">Корюківська центральна районна лікарня по вул. Шевченка, 101, у м. Корюківка – реконструкція покрівлі інфекційного відділення 
</t>
  </si>
  <si>
    <t xml:space="preserve">Бахмацька амбулаторія загальної практики сімейної медицини комунального закладу “Бахмацький  районний центр первинної медико – санітарної допомоги” Бахмацької районної ради по вул. Жовтневій, 32, у м. Бахмачі — реконструкція будівлі з впровадженням заходів теплореновації 
</t>
  </si>
  <si>
    <t xml:space="preserve">Комунальний лікувально-профілактичний заклад “Чернігівська центральна районна лікарня” Чернігівської районної ради по вул. Шевченка, 114, у м. Чернігові – реконструкція системи теплозабезпечення, реконструкція існуючої котельні з установленням додаткових котлів 
</t>
  </si>
  <si>
    <t>№2/1 від 22.12.2017</t>
  </si>
  <si>
    <t xml:space="preserve">Перелюбська загальноосвітня школа І—ІІІ ступеня по вул. Шевченка, 6, у с. Перелюб Корюківського району – реконструкція системи теплопостачання з встановленням енергозберігаючих твердопаливних котлів 
</t>
  </si>
  <si>
    <t xml:space="preserve">Бахмацька загальноосвітня школа І—ІІІ ступеня № 1 по вул. Я. Мудрого, 4, у м. Бахмачі – реконструкція будівлі із заміною вікон та віконних блоків 
</t>
  </si>
  <si>
    <t>Забарівська загальноосвітня школа І—ІІ ступеня по вул. Гагаріна, 35, у с. Забарівка Корюківського району – реконструкція системи теплопостачання з встановленням енергозберігаючих твердопаливних котлів</t>
  </si>
  <si>
    <t>січень-лютий 2018 р.</t>
  </si>
  <si>
    <t xml:space="preserve">Кукшинська загальноосвітня школа I—III ступеня по вул. Власенків, 3, у с. Кукшин Ніжинського району – реконструкція системи опалення з встановленням модульної котельні на твердому паливі загальною потужністю 350 кВт 
</t>
  </si>
  <si>
    <t>Декларація від 19.12.17 №ЧГ 141173532519</t>
  </si>
  <si>
    <t xml:space="preserve">Загальноосвітня школа I–II ступеня по вул. Шевченка, 34, у с. Дроздівка Куликівського району – реконструкція існуючої котельні із заміною двох котлів “Універсал” на твердопаливні котли “КПВ-200” сумарною потужністю 400 кВт для опалення приміщення 
</t>
  </si>
  <si>
    <t>№54 від 21.12.2017</t>
  </si>
  <si>
    <t xml:space="preserve">Теплотраса Козелецького геріатричного пансіонату в с. Часнівці Козелецького району – капітальний ремонт 
</t>
  </si>
  <si>
    <t>№1 від 17.10.2017</t>
  </si>
  <si>
    <t xml:space="preserve">Господарсько-побутовий корпус комунального лікувально-профілактичного закладу “Чернігівський обласний протитуберкульозний диспансер” по просп. Миру в м. Чернігові – реконструкція будівлі 
</t>
  </si>
  <si>
    <t>№6 від 06.12.2017</t>
  </si>
  <si>
    <t xml:space="preserve">Чернігівський геріатричний пансіонат по вул. Беспалова, 12, в м. Чернігові – реконструкція (заміна вікон та дверей в першому корпусі, переході (галерея та бібліотека) 
</t>
  </si>
  <si>
    <t>№2 від 12.10.2017</t>
  </si>
  <si>
    <t xml:space="preserve">Школа № 5 на 520 місць по вул. Вокзальній в м. Носівці – будівництво 
</t>
  </si>
  <si>
    <t xml:space="preserve">Ніжинська загальноосвітня школа І–ІІ ступеня по вул. Свободи, 86, у с. Ніжинське – реконструкція будівлі № 2 під дошкільний навчальний заклад “ясла-сад” 
</t>
  </si>
  <si>
    <t xml:space="preserve">Загальноосвітня школа I–III ступеня у с. Грем’яч Новгород-Сіверського району – реконструкція даху і приміщення 
</t>
  </si>
  <si>
    <t xml:space="preserve">Загальноосвітній навчальний заклад № 11 по просп. Миру, 137, м. Чернігів – реконструкція (енергоефективна реновація) 
</t>
  </si>
  <si>
    <t xml:space="preserve">Комунальний заклад “Коропська центральна районна лікарня” у смт Короп – реконструкція (утеплення центрального корпусу із застосуванням енергозберігаючих технологій) 
</t>
  </si>
  <si>
    <t xml:space="preserve">документація оформлюється </t>
  </si>
  <si>
    <t xml:space="preserve">Варвинська районна гімназія по вул. Миру, 54а у смт Варва – реконструкція з заміною віконних та дверних блоків на металопластикові, ремонт внутрішніх приміщень 
</t>
  </si>
  <si>
    <t xml:space="preserve">Талалаївська загальноосвітня школа І–ІІІ ступеня по вул. Радянській, 38, у смт. Талалаївка – реконструкція будівлі з впровадженням теплореновації 
</t>
  </si>
  <si>
    <t xml:space="preserve">Дошкільний навчальний заклад “Сонечко” по вул. Квітковій, 2, у смт. Сосниця – реконструкція системи теплопостачання з встановленням твердопаливних котлів 
</t>
  </si>
  <si>
    <t xml:space="preserve">Костобобрівська загальноосвітня школа I–III ступеня Семенівського району – реконструкція котельні для встановлення двох твердопаливних котлів 
</t>
  </si>
  <si>
    <t xml:space="preserve">Ічнянська гімназія імені Васильченка Ічнянської районної ради по вул. Б. Хмельницького, 6, у м. Ічні – капітальний ремонт в рамках впровадження комплексних заходів з енергозбереження будівлі (заміна вікон та дверей) 
</t>
  </si>
  <si>
    <t xml:space="preserve">Березнянська загальноосвітня школа І–ІІІ ступеня по вул. Домницькій, 18, у смт Березна Менського району – реконструкція даху та фасаду 
</t>
  </si>
  <si>
    <t xml:space="preserve">Медичний лінійний прискорювач з комплексом обладнання для оснащення радіотерапевтичного відділення комунального лікувально-профілактичного закладу “Чернігівський обласний онкологічний диспансер” по просп. Миру, 211, у м. Чернігові – придбання 
</t>
  </si>
  <si>
    <t>накл.№18 від 29.11.17</t>
  </si>
  <si>
    <t xml:space="preserve">Центр екстреної медичної допомоги та медицини катастроф по вул. Шевченка, 160, у м. Чернігові - реконструкція оперативно-диспетчерської служби та її підключення до телекомунікаційної мережі загального користування 
</t>
  </si>
  <si>
    <t xml:space="preserve">Городнянська загальноосвітня школа № 2 по вул. Троїцькій, 4, у м. Городні – реконструкція покрівлі блоку 1 та 2 
</t>
  </si>
  <si>
    <t xml:space="preserve">Борзнянська загальноосвітня школа I–III ступеня імені Алчевської по вул. Б. Хмельницького, 3, у м. Борзна – реконструкція виробничих та допоміжних приміщень їдальні 
</t>
  </si>
  <si>
    <t>№7, №8 від 26.12.2017</t>
  </si>
  <si>
    <t xml:space="preserve">Дільнича лікарня на 100 ліжок з поліклінікою на 200 відвідувань у смт Талалаївка – будівництво 
</t>
  </si>
  <si>
    <t xml:space="preserve">Чернігівський геріатричний пансіонат по вул. Леоніда Пашина, 12, у м. Чернігові – реконструкція покрівлі бібліотеки (в рамках впровадження комплексних заходів з енергозбереження) 
</t>
  </si>
  <si>
    <t xml:space="preserve">Городнянська районна гімназія по вул. Чернігівській, 29, у м. Городня – капітальний ремонт санітарних вузлів (перша черга) та капітальний ремонт кухні (друга черга) 
</t>
  </si>
  <si>
    <t xml:space="preserve">Районний будинок культури у смт Козелець Козелецького району – капітальний ремонт 
</t>
  </si>
  <si>
    <t xml:space="preserve">Чернігівський геріатричний пансіонат по вул. Леоніда Пашина, 12, у м. Чернігові – реконструкція (заміна вікон та дверей в другому корпусі в рамках впровадження комплексних заходів з енергозбереження) 
</t>
  </si>
  <si>
    <t xml:space="preserve">Спеціалізована дитячо-юнацька школа олімпійського резерву з футболу “Юність” по просп. Перемоги, 110, м Чернігів - реконструкція стадіону 
</t>
  </si>
  <si>
    <t xml:space="preserve">Прилуцьке медичне училище по вул. Київській, 243, м. Прилуки - капітальний ремонт даху навчального корпусу № 2. Коригування (в рамках впровадження комплексних заходів з енергозбереження) 
</t>
  </si>
  <si>
    <t xml:space="preserve">Комунальний лікувально-профілактичний заклад “Чернігівська обласна дитяча лікарня” по просп. Миру, 44, м. Чернігів - реконструкція інфекційного відділення (заміна покрівлі, зовнішнє опорядження та система протипожежного захисту). Коригування 
</t>
  </si>
  <si>
    <t xml:space="preserve">Закупівля медичного обладнання для комунального лікувального закладу “Чернігівська міська лікарня № 3” Чернігівської міської ради по вул. 1 травня, 170, в м. Чернігові в рамках реалізації проекту “Stop інсульт” - сучасний рівень діагностично-лікувального процесу в попередженні мозкових катастроф 
</t>
  </si>
  <si>
    <t>накл.№460 від 21.12.17; №SM-0000 104, 105, 106 від 22.12.2017</t>
  </si>
  <si>
    <t>м. КИЇВ</t>
  </si>
  <si>
    <t xml:space="preserve">Друга нитка Головного міського каналізаційного колектора, м. Київ – будівництво 
</t>
  </si>
  <si>
    <t>б/н за 11.2017 р., б/н за 12.2017 р.</t>
  </si>
  <si>
    <t>І ч. - ІV 163172791176 від 06.10.2017;
ІІ ч - ІV 163173001598 від 27.10.2017;
1 ПК ІІІ ч - ІV 163173251454 від 21.11.2017</t>
  </si>
  <si>
    <t xml:space="preserve">Об’єкт по вул. Воровського, 2 – реставрація з пристосуванням під розміщення Державного спеціалізованого мистецького навчального закладу “Київська дитяча школа мистецтв № 2 імені М. І. Вериківського” з прибудовою до нього концертної зали 
</t>
  </si>
  <si>
    <t>2005-2018</t>
  </si>
  <si>
    <t xml:space="preserve">Велика окружна дорога на ділянці від проспекту Маршала Рокосовського до вул. Богатирської з будівництвом транспортної розв’язки в різних рівнях – будівництво 
</t>
  </si>
  <si>
    <t>2013-2019</t>
  </si>
  <si>
    <t xml:space="preserve">Будівля бюджетної сфери — дошкільний навчальний заклад № 300 по вул. Радунській, 22/9а – термомодернізація (реконструкція) 
</t>
  </si>
  <si>
    <t>б/н за 12.2017 р.</t>
  </si>
  <si>
    <t xml:space="preserve">Стадіон із штучним покриттям по вул. Драйзера, 2б в Деснянському районі – реконструкція 
</t>
  </si>
  <si>
    <t xml:space="preserve">Загальноосвітній навчальний заклад № 200 по вул.Семашка, 9, — термомодернізація (реконструкція) 
</t>
  </si>
  <si>
    <t xml:space="preserve">Легкоатлетичний манеж школи вищої спортивної майстерності (із збереженням функції) по просп. Павла Тичини, 18, у Дніпровському районі — реконструкція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</si>
</sst>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6" formatCode="#,##0.00000"/>
  </numFmts>
  <fonts count="36" x14ac:knownFonts="1">
    <font>
      <sz val="11"/>
      <color theme="1"/>
      <name val="Calibri"/>
      <family val="2"/>
      <charset val="204"/>
      <scheme val="minor"/>
    </font>
    <font>
      <sz val="11"/>
      <color theme="1"/>
      <name val="Arial"/>
      <family val="2"/>
      <charset val="204"/>
    </font>
    <font>
      <b/>
      <sz val="26"/>
      <name val="Arial"/>
      <family val="2"/>
      <charset val="204"/>
    </font>
    <font>
      <sz val="26"/>
      <name val="Arial"/>
      <family val="2"/>
      <charset val="204"/>
    </font>
    <font>
      <sz val="11.5"/>
      <name val="Arial"/>
      <family val="2"/>
      <charset val="204"/>
    </font>
    <font>
      <b/>
      <sz val="20"/>
      <name val="Arial"/>
      <family val="2"/>
      <charset val="204"/>
    </font>
    <font>
      <sz val="20"/>
      <name val="Arial"/>
      <family val="2"/>
      <charset val="204"/>
    </font>
    <font>
      <i/>
      <sz val="18"/>
      <name val="Arial"/>
      <family val="2"/>
      <charset val="204"/>
    </font>
    <font>
      <sz val="18"/>
      <name val="Arial"/>
      <family val="2"/>
      <charset val="204"/>
    </font>
    <font>
      <b/>
      <i/>
      <sz val="18"/>
      <name val="Arial"/>
      <family val="2"/>
      <charset val="204"/>
    </font>
    <font>
      <b/>
      <sz val="11"/>
      <color indexed="8"/>
      <name val="Arial"/>
      <family val="2"/>
      <charset val="204"/>
    </font>
    <font>
      <sz val="12"/>
      <name val="Arial"/>
      <family val="2"/>
      <charset val="204"/>
    </font>
    <font>
      <i/>
      <sz val="14"/>
      <name val="Arial"/>
      <family val="2"/>
      <charset val="204"/>
    </font>
    <font>
      <sz val="10"/>
      <name val="Arial"/>
      <family val="2"/>
      <charset val="204"/>
    </font>
    <font>
      <sz val="13.5"/>
      <name val="Arial"/>
      <family val="2"/>
      <charset val="204"/>
    </font>
    <font>
      <sz val="13"/>
      <name val="Arial"/>
      <family val="2"/>
      <charset val="204"/>
    </font>
    <font>
      <b/>
      <sz val="13"/>
      <name val="Arial"/>
      <family val="2"/>
      <charset val="204"/>
    </font>
    <font>
      <sz val="13"/>
      <color theme="1"/>
      <name val="Arial"/>
      <family val="2"/>
      <charset val="204"/>
    </font>
    <font>
      <sz val="12"/>
      <color theme="1"/>
      <name val="Arial"/>
      <family val="2"/>
      <charset val="204"/>
    </font>
    <font>
      <sz val="11"/>
      <name val="Arial"/>
      <family val="2"/>
      <charset val="204"/>
    </font>
    <font>
      <b/>
      <sz val="12"/>
      <name val="Arial"/>
      <family val="2"/>
      <charset val="204"/>
    </font>
    <font>
      <b/>
      <sz val="14"/>
      <name val="Arial"/>
      <family val="2"/>
      <charset val="204"/>
    </font>
    <font>
      <b/>
      <sz val="13.5"/>
      <name val="Arial"/>
      <family val="2"/>
      <charset val="204"/>
    </font>
    <font>
      <sz val="14"/>
      <color theme="1"/>
      <name val="Arial"/>
      <family val="2"/>
      <charset val="204"/>
    </font>
    <font>
      <b/>
      <sz val="12.5"/>
      <name val="Arial"/>
      <family val="2"/>
      <charset val="204"/>
    </font>
    <font>
      <sz val="14"/>
      <color rgb="FF000000"/>
      <name val="Arial"/>
      <family val="2"/>
      <charset val="204"/>
    </font>
    <font>
      <sz val="14"/>
      <name val="Arial"/>
      <family val="2"/>
      <charset val="204"/>
    </font>
    <font>
      <sz val="12.5"/>
      <name val="Arial"/>
      <family val="2"/>
      <charset val="204"/>
    </font>
    <font>
      <sz val="12.5"/>
      <color theme="1"/>
      <name val="Arial"/>
      <family val="2"/>
      <charset val="204"/>
    </font>
    <font>
      <b/>
      <i/>
      <sz val="13.5"/>
      <color rgb="FF000000"/>
      <name val="Arial"/>
      <family val="2"/>
      <charset val="204"/>
    </font>
    <font>
      <b/>
      <i/>
      <sz val="14"/>
      <name val="Arial"/>
      <family val="2"/>
      <charset val="204"/>
    </font>
    <font>
      <b/>
      <i/>
      <sz val="12.5"/>
      <name val="Arial"/>
      <family val="2"/>
      <charset val="204"/>
    </font>
    <font>
      <b/>
      <i/>
      <sz val="12"/>
      <name val="Arial"/>
      <family val="2"/>
      <charset val="204"/>
    </font>
    <font>
      <i/>
      <sz val="12"/>
      <name val="Arial"/>
      <family val="2"/>
      <charset val="204"/>
    </font>
    <font>
      <i/>
      <sz val="14"/>
      <color rgb="FF000000"/>
      <name val="Arial"/>
      <family val="2"/>
      <charset val="204"/>
    </font>
    <font>
      <sz val="11"/>
      <name val="Calibri"/>
      <family val="2"/>
      <charset val="204"/>
      <scheme val="minor"/>
    </font>
  </fonts>
  <fills count="6">
    <fill>
      <patternFill patternType="none"/>
    </fill>
    <fill>
      <patternFill patternType="gray125"/>
    </fill>
    <fill>
      <patternFill patternType="solid">
        <fgColor theme="0"/>
        <bgColor indexed="64"/>
      </patternFill>
    </fill>
    <fill>
      <patternFill patternType="solid">
        <fgColor rgb="FFCC66FF"/>
        <bgColor indexed="64"/>
      </patternFill>
    </fill>
    <fill>
      <patternFill patternType="solid">
        <fgColor rgb="FF9999FF"/>
        <bgColor indexed="64"/>
      </patternFill>
    </fill>
    <fill>
      <patternFill patternType="solid">
        <fgColor theme="9" tint="0.39997558519241921"/>
        <bgColor indexed="64"/>
      </patternFill>
    </fill>
  </fills>
  <borders count="38">
    <border>
      <left/>
      <right/>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93">
    <xf numFmtId="0" fontId="0" fillId="0" borderId="0" xfId="0"/>
    <xf numFmtId="0" fontId="1" fillId="0" borderId="0" xfId="0" applyFont="1" applyAlignment="1">
      <alignment horizontal="center" vertical="center"/>
    </xf>
    <xf numFmtId="0" fontId="7" fillId="0" borderId="0" xfId="0" applyFont="1" applyAlignment="1">
      <alignment horizontal="center"/>
    </xf>
    <xf numFmtId="0" fontId="11" fillId="0" borderId="0" xfId="0" applyFont="1"/>
    <xf numFmtId="0" fontId="12" fillId="0" borderId="0" xfId="0" applyFont="1" applyAlignment="1">
      <alignment horizontal="left"/>
    </xf>
    <xf numFmtId="0" fontId="12" fillId="0" borderId="0" xfId="0" applyFont="1" applyAlignment="1">
      <alignment horizontal="center"/>
    </xf>
    <xf numFmtId="0" fontId="14" fillId="0" borderId="0" xfId="0" applyFont="1"/>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2" borderId="21"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9" fillId="0" borderId="25" xfId="0" applyFont="1" applyBorder="1" applyAlignment="1">
      <alignment horizontal="center" vertical="top" wrapText="1"/>
    </xf>
    <xf numFmtId="0" fontId="19" fillId="0" borderId="26" xfId="0" applyFont="1" applyBorder="1" applyAlignment="1">
      <alignment horizontal="center" vertical="top" wrapText="1"/>
    </xf>
    <xf numFmtId="0" fontId="19" fillId="0" borderId="27" xfId="0" applyFont="1" applyBorder="1" applyAlignment="1">
      <alignment horizontal="center" vertical="top" wrapText="1"/>
    </xf>
    <xf numFmtId="0" fontId="19" fillId="0" borderId="28" xfId="0" applyFont="1" applyBorder="1" applyAlignment="1">
      <alignment horizontal="center" vertical="top" wrapText="1"/>
    </xf>
    <xf numFmtId="3" fontId="20" fillId="3" borderId="18" xfId="0" applyNumberFormat="1" applyFont="1" applyFill="1" applyBorder="1" applyAlignment="1">
      <alignment horizontal="center" vertical="center" wrapText="1"/>
    </xf>
    <xf numFmtId="49" fontId="21" fillId="3" borderId="19" xfId="0" applyNumberFormat="1" applyFont="1" applyFill="1" applyBorder="1" applyAlignment="1">
      <alignment horizontal="left" vertical="center" wrapText="1"/>
    </xf>
    <xf numFmtId="49" fontId="21" fillId="3" borderId="20" xfId="0" applyNumberFormat="1" applyFont="1" applyFill="1" applyBorder="1" applyAlignment="1">
      <alignment horizontal="center" vertical="center" wrapText="1"/>
    </xf>
    <xf numFmtId="164" fontId="16" fillId="3" borderId="18" xfId="0" applyNumberFormat="1" applyFont="1" applyFill="1" applyBorder="1" applyAlignment="1">
      <alignment horizontal="center" vertical="center" wrapText="1"/>
    </xf>
    <xf numFmtId="164" fontId="16" fillId="3" borderId="20" xfId="0" applyNumberFormat="1" applyFont="1" applyFill="1" applyBorder="1" applyAlignment="1">
      <alignment horizontal="center" vertical="center" wrapText="1"/>
    </xf>
    <xf numFmtId="49" fontId="22" fillId="3" borderId="18" xfId="0" applyNumberFormat="1" applyFont="1" applyFill="1" applyBorder="1" applyAlignment="1">
      <alignment horizontal="center" vertical="center" wrapText="1"/>
    </xf>
    <xf numFmtId="1" fontId="16" fillId="3" borderId="19" xfId="0" applyNumberFormat="1" applyFont="1" applyFill="1" applyBorder="1" applyAlignment="1">
      <alignment horizontal="center" vertical="center" wrapText="1"/>
    </xf>
    <xf numFmtId="49" fontId="20" fillId="3" borderId="20" xfId="0" applyNumberFormat="1" applyFont="1" applyFill="1" applyBorder="1" applyAlignment="1">
      <alignment horizontal="center" vertical="center" wrapText="1"/>
    </xf>
    <xf numFmtId="3" fontId="20" fillId="0" borderId="29" xfId="0" applyNumberFormat="1" applyFont="1" applyBorder="1" applyAlignment="1">
      <alignment horizontal="center" vertical="center" wrapText="1"/>
    </xf>
    <xf numFmtId="49" fontId="21" fillId="0" borderId="7" xfId="0" applyNumberFormat="1" applyFont="1" applyBorder="1" applyAlignment="1">
      <alignment horizontal="left" vertical="center" wrapText="1"/>
    </xf>
    <xf numFmtId="49" fontId="21" fillId="0" borderId="30" xfId="0" applyNumberFormat="1" applyFont="1" applyBorder="1" applyAlignment="1">
      <alignment horizontal="center" vertical="center" wrapText="1"/>
    </xf>
    <xf numFmtId="164" fontId="16" fillId="0" borderId="29" xfId="0" applyNumberFormat="1" applyFont="1" applyBorder="1" applyAlignment="1">
      <alignment horizontal="center" vertical="center" wrapText="1"/>
    </xf>
    <xf numFmtId="164" fontId="16" fillId="0" borderId="30" xfId="0" applyNumberFormat="1" applyFont="1" applyBorder="1" applyAlignment="1">
      <alignment horizontal="center" vertical="center" wrapText="1"/>
    </xf>
    <xf numFmtId="49" fontId="22" fillId="0" borderId="29" xfId="0" applyNumberFormat="1" applyFont="1" applyBorder="1" applyAlignment="1">
      <alignment horizontal="center" vertical="center" wrapText="1"/>
    </xf>
    <xf numFmtId="49" fontId="20" fillId="0" borderId="7" xfId="0" applyNumberFormat="1" applyFont="1" applyBorder="1" applyAlignment="1">
      <alignment horizontal="center" vertical="center" wrapText="1"/>
    </xf>
    <xf numFmtId="49" fontId="20" fillId="0" borderId="30" xfId="0" applyNumberFormat="1" applyFont="1" applyBorder="1" applyAlignment="1">
      <alignment horizontal="center" vertical="center" wrapText="1"/>
    </xf>
    <xf numFmtId="3" fontId="20" fillId="0" borderId="21" xfId="0" applyNumberFormat="1" applyFont="1" applyBorder="1" applyAlignment="1">
      <alignment horizontal="center" vertical="center" wrapText="1"/>
    </xf>
    <xf numFmtId="49" fontId="21" fillId="0" borderId="23" xfId="0" applyNumberFormat="1" applyFont="1" applyBorder="1" applyAlignment="1">
      <alignment horizontal="left" vertical="center" wrapText="1"/>
    </xf>
    <xf numFmtId="49" fontId="21" fillId="0" borderId="24" xfId="0" applyNumberFormat="1" applyFont="1" applyBorder="1" applyAlignment="1">
      <alignment horizontal="center" vertical="center" wrapText="1"/>
    </xf>
    <xf numFmtId="164" fontId="16" fillId="0" borderId="21" xfId="0" applyNumberFormat="1" applyFont="1" applyBorder="1" applyAlignment="1">
      <alignment horizontal="center" vertical="center" wrapText="1"/>
    </xf>
    <xf numFmtId="164" fontId="16" fillId="0" borderId="24" xfId="0" applyNumberFormat="1" applyFont="1" applyBorder="1" applyAlignment="1">
      <alignment horizontal="center" vertical="center" wrapText="1"/>
    </xf>
    <xf numFmtId="49" fontId="22" fillId="0" borderId="31" xfId="0" applyNumberFormat="1"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3" xfId="0" applyNumberFormat="1" applyFont="1" applyBorder="1" applyAlignment="1">
      <alignment horizontal="center" vertical="center" wrapText="1"/>
    </xf>
    <xf numFmtId="3" fontId="20" fillId="0" borderId="36" xfId="0" applyNumberFormat="1" applyFont="1" applyBorder="1" applyAlignment="1">
      <alignment horizontal="center" vertical="center" wrapText="1"/>
    </xf>
    <xf numFmtId="49" fontId="21" fillId="2" borderId="34" xfId="0" applyNumberFormat="1" applyFont="1" applyFill="1" applyBorder="1" applyAlignment="1">
      <alignment horizontal="left" vertical="center" wrapText="1"/>
    </xf>
    <xf numFmtId="49" fontId="21" fillId="2" borderId="35" xfId="0" applyNumberFormat="1" applyFont="1" applyFill="1" applyBorder="1" applyAlignment="1">
      <alignment horizontal="center" vertical="center" wrapText="1"/>
    </xf>
    <xf numFmtId="164" fontId="21" fillId="2" borderId="36" xfId="0" applyNumberFormat="1" applyFont="1" applyFill="1" applyBorder="1" applyAlignment="1">
      <alignment horizontal="center" vertical="center" wrapText="1"/>
    </xf>
    <xf numFmtId="164" fontId="21" fillId="2" borderId="35" xfId="0" applyNumberFormat="1" applyFont="1" applyFill="1" applyBorder="1" applyAlignment="1">
      <alignment horizontal="center" vertical="center" wrapText="1"/>
    </xf>
    <xf numFmtId="164" fontId="21" fillId="0" borderId="36" xfId="0" applyNumberFormat="1" applyFont="1" applyBorder="1" applyAlignment="1">
      <alignment horizontal="center" vertical="center" wrapText="1"/>
    </xf>
    <xf numFmtId="164" fontId="21" fillId="0" borderId="35" xfId="0" applyNumberFormat="1" applyFont="1" applyBorder="1" applyAlignment="1">
      <alignment horizontal="center" vertical="center" wrapText="1"/>
    </xf>
    <xf numFmtId="49" fontId="24" fillId="0" borderId="36" xfId="0" applyNumberFormat="1" applyFont="1" applyBorder="1" applyAlignment="1">
      <alignment horizontal="center" vertical="center" wrapText="1"/>
    </xf>
    <xf numFmtId="1" fontId="20" fillId="0" borderId="34" xfId="0" applyNumberFormat="1" applyFont="1" applyBorder="1" applyAlignment="1">
      <alignment horizontal="center" vertical="center" wrapText="1"/>
    </xf>
    <xf numFmtId="49" fontId="20" fillId="0" borderId="35" xfId="0" applyNumberFormat="1" applyFont="1" applyBorder="1" applyAlignment="1">
      <alignment horizontal="center" vertical="center" wrapText="1"/>
    </xf>
    <xf numFmtId="49" fontId="21" fillId="2" borderId="7" xfId="0" applyNumberFormat="1" applyFont="1" applyFill="1" applyBorder="1" applyAlignment="1">
      <alignment horizontal="left" vertical="center" wrapText="1"/>
    </xf>
    <xf numFmtId="49" fontId="21" fillId="2" borderId="30" xfId="0" applyNumberFormat="1" applyFont="1" applyFill="1" applyBorder="1" applyAlignment="1">
      <alignment horizontal="center" vertical="center" wrapText="1"/>
    </xf>
    <xf numFmtId="164" fontId="21" fillId="2" borderId="29" xfId="0" applyNumberFormat="1" applyFont="1" applyFill="1" applyBorder="1" applyAlignment="1">
      <alignment horizontal="center" vertical="center" wrapText="1"/>
    </xf>
    <xf numFmtId="164" fontId="21" fillId="2" borderId="30" xfId="0" applyNumberFormat="1" applyFont="1" applyFill="1" applyBorder="1" applyAlignment="1">
      <alignment horizontal="center" vertical="center" wrapText="1"/>
    </xf>
    <xf numFmtId="164" fontId="21" fillId="0" borderId="29" xfId="0" applyNumberFormat="1" applyFont="1" applyBorder="1" applyAlignment="1">
      <alignment horizontal="center" vertical="center" wrapText="1"/>
    </xf>
    <xf numFmtId="164" fontId="21" fillId="0" borderId="30" xfId="0" applyNumberFormat="1" applyFont="1" applyBorder="1" applyAlignment="1">
      <alignment horizontal="center" vertical="center" wrapText="1"/>
    </xf>
    <xf numFmtId="49" fontId="24" fillId="0" borderId="29" xfId="0" applyNumberFormat="1" applyFont="1" applyBorder="1" applyAlignment="1">
      <alignment horizontal="center" vertical="center" wrapText="1"/>
    </xf>
    <xf numFmtId="3" fontId="11" fillId="2" borderId="29" xfId="0" applyNumberFormat="1" applyFont="1" applyFill="1" applyBorder="1" applyAlignment="1">
      <alignment horizontal="center" vertical="center" wrapText="1"/>
    </xf>
    <xf numFmtId="0" fontId="25" fillId="2" borderId="7" xfId="0" applyFont="1" applyFill="1" applyBorder="1" applyAlignment="1">
      <alignment horizontal="left" vertical="top" wrapText="1"/>
    </xf>
    <xf numFmtId="49" fontId="26" fillId="2" borderId="30" xfId="0" applyNumberFormat="1" applyFont="1" applyFill="1" applyBorder="1" applyAlignment="1">
      <alignment horizontal="center" vertical="center" wrapText="1"/>
    </xf>
    <xf numFmtId="164" fontId="26" fillId="2" borderId="29" xfId="0" applyNumberFormat="1" applyFont="1" applyFill="1" applyBorder="1" applyAlignment="1">
      <alignment horizontal="center" vertical="center" wrapText="1"/>
    </xf>
    <xf numFmtId="164" fontId="26" fillId="2" borderId="30" xfId="0" applyNumberFormat="1" applyFont="1" applyFill="1" applyBorder="1" applyAlignment="1">
      <alignment horizontal="center" vertical="center" wrapText="1"/>
    </xf>
    <xf numFmtId="49" fontId="27" fillId="2" borderId="29" xfId="0" applyNumberFormat="1" applyFont="1" applyFill="1" applyBorder="1" applyAlignment="1">
      <alignment horizontal="center" vertical="center" wrapText="1"/>
    </xf>
    <xf numFmtId="49" fontId="11" fillId="2" borderId="7" xfId="0" applyNumberFormat="1" applyFont="1" applyFill="1" applyBorder="1" applyAlignment="1">
      <alignment horizontal="center" vertical="center" wrapText="1"/>
    </xf>
    <xf numFmtId="49" fontId="11" fillId="2" borderId="30" xfId="0" applyNumberFormat="1" applyFont="1" applyFill="1" applyBorder="1" applyAlignment="1">
      <alignment horizontal="center" vertical="center" wrapText="1"/>
    </xf>
    <xf numFmtId="164" fontId="23" fillId="2" borderId="30" xfId="0" applyNumberFormat="1" applyFont="1" applyFill="1" applyBorder="1" applyAlignment="1">
      <alignment horizontal="center" vertical="center" wrapText="1"/>
    </xf>
    <xf numFmtId="164" fontId="23" fillId="2" borderId="29" xfId="0" applyNumberFormat="1" applyFont="1" applyFill="1" applyBorder="1" applyAlignment="1">
      <alignment horizontal="center" vertical="center" wrapText="1"/>
    </xf>
    <xf numFmtId="49" fontId="23" fillId="2" borderId="30" xfId="0" applyNumberFormat="1" applyFont="1" applyFill="1" applyBorder="1" applyAlignment="1">
      <alignment horizontal="center" vertical="center" wrapText="1"/>
    </xf>
    <xf numFmtId="3" fontId="11" fillId="2" borderId="21" xfId="0" applyNumberFormat="1" applyFont="1" applyFill="1" applyBorder="1" applyAlignment="1">
      <alignment horizontal="center" vertical="center" wrapText="1"/>
    </xf>
    <xf numFmtId="0" fontId="25" fillId="2" borderId="23" xfId="0" applyFont="1" applyFill="1" applyBorder="1" applyAlignment="1">
      <alignment horizontal="left" vertical="top" wrapText="1"/>
    </xf>
    <xf numFmtId="49" fontId="26" fillId="2" borderId="24" xfId="0" applyNumberFormat="1" applyFont="1" applyFill="1" applyBorder="1" applyAlignment="1">
      <alignment horizontal="center" vertical="center" wrapText="1"/>
    </xf>
    <xf numFmtId="164" fontId="23" fillId="2" borderId="21" xfId="0" applyNumberFormat="1" applyFont="1" applyFill="1" applyBorder="1" applyAlignment="1">
      <alignment horizontal="center" vertical="center" wrapText="1"/>
    </xf>
    <xf numFmtId="164" fontId="23" fillId="2" borderId="24" xfId="0" applyNumberFormat="1" applyFont="1" applyFill="1" applyBorder="1" applyAlignment="1">
      <alignment horizontal="center" vertical="center" wrapText="1"/>
    </xf>
    <xf numFmtId="49" fontId="27" fillId="2" borderId="21" xfId="0" applyNumberFormat="1" applyFont="1" applyFill="1" applyBorder="1" applyAlignment="1">
      <alignment horizontal="center" vertical="center" wrapText="1"/>
    </xf>
    <xf numFmtId="49" fontId="11" fillId="2" borderId="23" xfId="0" applyNumberFormat="1" applyFont="1" applyFill="1" applyBorder="1" applyAlignment="1">
      <alignment horizontal="center" vertical="center" wrapText="1"/>
    </xf>
    <xf numFmtId="49" fontId="11" fillId="2" borderId="24" xfId="0" applyNumberFormat="1" applyFont="1" applyFill="1" applyBorder="1" applyAlignment="1">
      <alignment horizontal="center" vertical="center" wrapText="1"/>
    </xf>
    <xf numFmtId="49" fontId="23" fillId="2" borderId="24" xfId="0" applyNumberFormat="1" applyFont="1" applyFill="1" applyBorder="1" applyAlignment="1">
      <alignment horizontal="center" vertical="center" wrapText="1"/>
    </xf>
    <xf numFmtId="49" fontId="28" fillId="2" borderId="21" xfId="0" applyNumberFormat="1" applyFont="1" applyFill="1" applyBorder="1" applyAlignment="1">
      <alignment horizontal="center" vertical="center" wrapText="1"/>
    </xf>
    <xf numFmtId="3" fontId="20" fillId="2" borderId="36" xfId="0" applyNumberFormat="1" applyFont="1" applyFill="1" applyBorder="1" applyAlignment="1">
      <alignment horizontal="center" vertical="center" wrapText="1"/>
    </xf>
    <xf numFmtId="3" fontId="20" fillId="2" borderId="29" xfId="0" applyNumberFormat="1" applyFont="1" applyFill="1" applyBorder="1" applyAlignment="1">
      <alignment horizontal="center" vertical="center" wrapText="1"/>
    </xf>
    <xf numFmtId="164" fontId="26" fillId="2" borderId="21" xfId="0" applyNumberFormat="1" applyFont="1" applyFill="1" applyBorder="1" applyAlignment="1">
      <alignment horizontal="center" vertical="center" wrapText="1"/>
    </xf>
    <xf numFmtId="164" fontId="26" fillId="2" borderId="24" xfId="0" applyNumberFormat="1" applyFont="1" applyFill="1" applyBorder="1" applyAlignment="1">
      <alignment horizontal="center" vertical="center" wrapText="1"/>
    </xf>
    <xf numFmtId="49" fontId="11" fillId="0" borderId="30" xfId="0" applyNumberFormat="1" applyFont="1" applyBorder="1" applyAlignment="1">
      <alignment horizontal="center" vertical="center" wrapText="1"/>
    </xf>
    <xf numFmtId="49" fontId="11" fillId="0" borderId="7" xfId="0" applyNumberFormat="1" applyFont="1" applyBorder="1" applyAlignment="1">
      <alignment horizontal="center" vertical="center" wrapText="1"/>
    </xf>
    <xf numFmtId="3" fontId="11" fillId="2" borderId="31" xfId="0" applyNumberFormat="1" applyFont="1" applyFill="1" applyBorder="1" applyAlignment="1">
      <alignment horizontal="center" vertical="center" wrapText="1"/>
    </xf>
    <xf numFmtId="0" fontId="25" fillId="2" borderId="32" xfId="0" applyFont="1" applyFill="1" applyBorder="1" applyAlignment="1">
      <alignment horizontal="left" vertical="top" wrapText="1"/>
    </xf>
    <xf numFmtId="49" fontId="26" fillId="2" borderId="33" xfId="0" applyNumberFormat="1" applyFont="1" applyFill="1" applyBorder="1" applyAlignment="1">
      <alignment horizontal="center" vertical="center" wrapText="1"/>
    </xf>
    <xf numFmtId="164" fontId="26" fillId="2" borderId="31" xfId="0" applyNumberFormat="1" applyFont="1" applyFill="1" applyBorder="1" applyAlignment="1">
      <alignment horizontal="center" vertical="center" wrapText="1"/>
    </xf>
    <xf numFmtId="164" fontId="26" fillId="2" borderId="33" xfId="0" applyNumberFormat="1" applyFont="1" applyFill="1" applyBorder="1" applyAlignment="1">
      <alignment horizontal="center" vertical="center" wrapText="1"/>
    </xf>
    <xf numFmtId="49" fontId="27" fillId="2" borderId="31" xfId="0" applyNumberFormat="1" applyFont="1" applyFill="1" applyBorder="1" applyAlignment="1">
      <alignment horizontal="center" vertical="center" wrapText="1"/>
    </xf>
    <xf numFmtId="49" fontId="11" fillId="0" borderId="32" xfId="0" applyNumberFormat="1" applyFont="1" applyBorder="1" applyAlignment="1">
      <alignment horizontal="center" vertical="center" wrapText="1"/>
    </xf>
    <xf numFmtId="49" fontId="11" fillId="0" borderId="33" xfId="0" applyNumberFormat="1" applyFont="1" applyBorder="1" applyAlignment="1">
      <alignment horizontal="center" vertical="center" wrapText="1"/>
    </xf>
    <xf numFmtId="49" fontId="11" fillId="2" borderId="29" xfId="0" applyNumberFormat="1" applyFont="1" applyFill="1" applyBorder="1" applyAlignment="1">
      <alignment horizontal="center" vertical="center" wrapText="1"/>
    </xf>
    <xf numFmtId="49" fontId="11" fillId="2" borderId="32" xfId="0" applyNumberFormat="1" applyFont="1" applyFill="1" applyBorder="1" applyAlignment="1">
      <alignment horizontal="center" vertical="center" wrapText="1"/>
    </xf>
    <xf numFmtId="49" fontId="11" fillId="2" borderId="33" xfId="0" applyNumberFormat="1" applyFont="1" applyFill="1" applyBorder="1" applyAlignment="1">
      <alignment horizontal="center" vertical="center" wrapText="1"/>
    </xf>
    <xf numFmtId="49" fontId="24" fillId="2" borderId="36" xfId="0" applyNumberFormat="1" applyFont="1" applyFill="1" applyBorder="1" applyAlignment="1">
      <alignment horizontal="center" vertical="center" wrapText="1"/>
    </xf>
    <xf numFmtId="49" fontId="24" fillId="2" borderId="29" xfId="0" applyNumberFormat="1" applyFont="1" applyFill="1" applyBorder="1" applyAlignment="1">
      <alignment horizontal="center" vertical="center" wrapText="1"/>
    </xf>
    <xf numFmtId="166" fontId="21" fillId="2" borderId="29" xfId="0" applyNumberFormat="1" applyFont="1" applyFill="1" applyBorder="1" applyAlignment="1">
      <alignment horizontal="center" vertical="center" wrapText="1"/>
    </xf>
    <xf numFmtId="3" fontId="11" fillId="5" borderId="29" xfId="0" applyNumberFormat="1" applyFont="1" applyFill="1" applyBorder="1" applyAlignment="1">
      <alignment horizontal="center" vertical="center" wrapText="1"/>
    </xf>
    <xf numFmtId="0" fontId="25" fillId="5" borderId="7" xfId="0" applyFont="1" applyFill="1" applyBorder="1" applyAlignment="1">
      <alignment horizontal="left" vertical="top" wrapText="1"/>
    </xf>
    <xf numFmtId="49" fontId="26" fillId="5" borderId="30" xfId="0" applyNumberFormat="1" applyFont="1" applyFill="1" applyBorder="1" applyAlignment="1">
      <alignment horizontal="center" vertical="center" wrapText="1"/>
    </xf>
    <xf numFmtId="164" fontId="26" fillId="5" borderId="29" xfId="0" applyNumberFormat="1" applyFont="1" applyFill="1" applyBorder="1" applyAlignment="1">
      <alignment horizontal="center" vertical="center" wrapText="1"/>
    </xf>
    <xf numFmtId="164" fontId="26" fillId="5" borderId="30" xfId="0" applyNumberFormat="1" applyFont="1" applyFill="1" applyBorder="1" applyAlignment="1">
      <alignment horizontal="center" vertical="center" wrapText="1"/>
    </xf>
    <xf numFmtId="49" fontId="27" fillId="5" borderId="29" xfId="0" applyNumberFormat="1" applyFont="1" applyFill="1" applyBorder="1" applyAlignment="1">
      <alignment horizontal="center" vertical="center" wrapText="1"/>
    </xf>
    <xf numFmtId="49" fontId="11" fillId="5" borderId="7" xfId="0" applyNumberFormat="1" applyFont="1" applyFill="1" applyBorder="1" applyAlignment="1">
      <alignment horizontal="center" vertical="center" wrapText="1"/>
    </xf>
    <xf numFmtId="49" fontId="11" fillId="5" borderId="30" xfId="0" applyNumberFormat="1" applyFont="1" applyFill="1" applyBorder="1" applyAlignment="1">
      <alignment horizontal="center" vertical="center" wrapText="1"/>
    </xf>
    <xf numFmtId="49" fontId="4" fillId="2" borderId="7" xfId="0" applyNumberFormat="1" applyFont="1" applyFill="1" applyBorder="1" applyAlignment="1">
      <alignment horizontal="center" vertical="center" wrapText="1"/>
    </xf>
    <xf numFmtId="0" fontId="29" fillId="2" borderId="7" xfId="0" applyFont="1" applyFill="1" applyBorder="1" applyAlignment="1">
      <alignment horizontal="left" vertical="top" wrapText="1"/>
    </xf>
    <xf numFmtId="49" fontId="30" fillId="2" borderId="30" xfId="0" applyNumberFormat="1" applyFont="1" applyFill="1" applyBorder="1" applyAlignment="1">
      <alignment horizontal="center" vertical="center" wrapText="1"/>
    </xf>
    <xf numFmtId="164" fontId="30" fillId="2" borderId="29" xfId="0" applyNumberFormat="1" applyFont="1" applyFill="1" applyBorder="1" applyAlignment="1">
      <alignment horizontal="center" vertical="center" wrapText="1"/>
    </xf>
    <xf numFmtId="164" fontId="30" fillId="2" borderId="30" xfId="0" applyNumberFormat="1" applyFont="1" applyFill="1" applyBorder="1" applyAlignment="1">
      <alignment horizontal="center" vertical="center" wrapText="1"/>
    </xf>
    <xf numFmtId="49" fontId="31" fillId="2" borderId="29" xfId="0" applyNumberFormat="1" applyFont="1" applyFill="1" applyBorder="1" applyAlignment="1">
      <alignment horizontal="center" vertical="center" wrapText="1"/>
    </xf>
    <xf numFmtId="49" fontId="32" fillId="2" borderId="23" xfId="0" applyNumberFormat="1" applyFont="1" applyFill="1" applyBorder="1" applyAlignment="1">
      <alignment horizontal="center" vertical="center" wrapText="1"/>
    </xf>
    <xf numFmtId="49" fontId="32" fillId="2" borderId="30" xfId="0" applyNumberFormat="1" applyFont="1" applyFill="1" applyBorder="1" applyAlignment="1">
      <alignment horizontal="center" vertical="center" wrapText="1"/>
    </xf>
    <xf numFmtId="3" fontId="33" fillId="2" borderId="29" xfId="0" applyNumberFormat="1" applyFont="1" applyFill="1" applyBorder="1" applyAlignment="1">
      <alignment horizontal="center" vertical="center" wrapText="1"/>
    </xf>
    <xf numFmtId="0" fontId="34" fillId="2" borderId="7" xfId="0" applyFont="1" applyFill="1" applyBorder="1" applyAlignment="1">
      <alignment horizontal="left" vertical="top" wrapText="1"/>
    </xf>
    <xf numFmtId="49" fontId="12" fillId="2" borderId="30" xfId="0" applyNumberFormat="1" applyFont="1" applyFill="1" applyBorder="1" applyAlignment="1">
      <alignment horizontal="center" vertical="center" wrapText="1"/>
    </xf>
    <xf numFmtId="164" fontId="12" fillId="2" borderId="29" xfId="0" applyNumberFormat="1" applyFont="1" applyFill="1" applyBorder="1" applyAlignment="1">
      <alignment horizontal="center" vertical="center" wrapText="1"/>
    </xf>
    <xf numFmtId="164" fontId="12" fillId="2" borderId="30" xfId="0" applyNumberFormat="1" applyFont="1" applyFill="1" applyBorder="1" applyAlignment="1">
      <alignment horizontal="center" vertical="center" wrapText="1"/>
    </xf>
    <xf numFmtId="49" fontId="21" fillId="0" borderId="34" xfId="0" applyNumberFormat="1" applyFont="1" applyBorder="1" applyAlignment="1">
      <alignment horizontal="left" vertical="center" wrapText="1"/>
    </xf>
    <xf numFmtId="49" fontId="21" fillId="0" borderId="35" xfId="0" applyNumberFormat="1" applyFont="1" applyBorder="1" applyAlignment="1">
      <alignment horizontal="center" vertical="center" wrapText="1"/>
    </xf>
    <xf numFmtId="49" fontId="24" fillId="0" borderId="37" xfId="0" applyNumberFormat="1" applyFont="1" applyBorder="1" applyAlignment="1">
      <alignment horizontal="center" vertical="center" wrapText="1"/>
    </xf>
    <xf numFmtId="49" fontId="24" fillId="0" borderId="6" xfId="0" applyNumberFormat="1" applyFont="1" applyBorder="1" applyAlignment="1">
      <alignment horizontal="center" vertical="center" wrapText="1"/>
    </xf>
    <xf numFmtId="49" fontId="27" fillId="2" borderId="6" xfId="0" applyNumberFormat="1" applyFont="1" applyFill="1" applyBorder="1" applyAlignment="1">
      <alignment horizontal="center" vertical="center" wrapText="1"/>
    </xf>
    <xf numFmtId="49" fontId="4" fillId="2" borderId="23" xfId="0" applyNumberFormat="1" applyFont="1" applyFill="1" applyBorder="1" applyAlignment="1">
      <alignment horizontal="center" vertical="center" wrapText="1"/>
    </xf>
    <xf numFmtId="49" fontId="27" fillId="2" borderId="22" xfId="0" applyNumberFormat="1" applyFont="1" applyFill="1" applyBorder="1" applyAlignment="1">
      <alignment horizontal="center" vertical="center" wrapText="1"/>
    </xf>
    <xf numFmtId="49" fontId="33" fillId="2" borderId="7" xfId="0" applyNumberFormat="1" applyFont="1" applyFill="1" applyBorder="1" applyAlignment="1">
      <alignment horizontal="center" vertical="center" wrapText="1"/>
    </xf>
    <xf numFmtId="49" fontId="33" fillId="2" borderId="30" xfId="0" applyNumberFormat="1" applyFont="1" applyFill="1" applyBorder="1" applyAlignment="1">
      <alignment horizontal="center" vertical="center" wrapText="1"/>
    </xf>
    <xf numFmtId="3" fontId="33" fillId="2" borderId="21" xfId="0" applyNumberFormat="1" applyFont="1" applyFill="1" applyBorder="1" applyAlignment="1">
      <alignment horizontal="center" vertical="center" wrapText="1"/>
    </xf>
    <xf numFmtId="0" fontId="34" fillId="2" borderId="23" xfId="0" applyFont="1" applyFill="1" applyBorder="1" applyAlignment="1">
      <alignment horizontal="left" vertical="top" wrapText="1"/>
    </xf>
    <xf numFmtId="49" fontId="12" fillId="2" borderId="24" xfId="0" applyNumberFormat="1" applyFont="1" applyFill="1" applyBorder="1" applyAlignment="1">
      <alignment horizontal="center" vertical="center" wrapText="1"/>
    </xf>
    <xf numFmtId="164" fontId="12" fillId="2" borderId="21" xfId="0" applyNumberFormat="1" applyFont="1" applyFill="1" applyBorder="1" applyAlignment="1">
      <alignment horizontal="center" vertical="center" wrapText="1"/>
    </xf>
    <xf numFmtId="164" fontId="12" fillId="2" borderId="24" xfId="0" applyNumberFormat="1" applyFont="1" applyFill="1" applyBorder="1" applyAlignment="1">
      <alignment horizontal="center" vertical="center" wrapText="1"/>
    </xf>
    <xf numFmtId="49" fontId="33" fillId="2" borderId="23" xfId="0" applyNumberFormat="1" applyFont="1" applyFill="1" applyBorder="1" applyAlignment="1">
      <alignment horizontal="center" vertical="center" wrapText="1"/>
    </xf>
    <xf numFmtId="49" fontId="33" fillId="2" borderId="24" xfId="0" applyNumberFormat="1" applyFont="1" applyFill="1" applyBorder="1" applyAlignment="1">
      <alignment horizontal="center" vertical="center" wrapText="1"/>
    </xf>
    <xf numFmtId="49" fontId="11" fillId="0" borderId="24" xfId="0" applyNumberFormat="1" applyFont="1" applyBorder="1" applyAlignment="1">
      <alignment horizontal="center" vertical="center" wrapText="1"/>
    </xf>
    <xf numFmtId="3" fontId="33" fillId="2" borderId="31" xfId="0" applyNumberFormat="1" applyFont="1" applyFill="1" applyBorder="1" applyAlignment="1">
      <alignment horizontal="center" vertical="center" wrapText="1"/>
    </xf>
    <xf numFmtId="0" fontId="34" fillId="2" borderId="32" xfId="0" applyFont="1" applyFill="1" applyBorder="1" applyAlignment="1">
      <alignment horizontal="left" vertical="top" wrapText="1"/>
    </xf>
    <xf numFmtId="49" fontId="12" fillId="2" borderId="33" xfId="0" applyNumberFormat="1" applyFont="1" applyFill="1" applyBorder="1" applyAlignment="1">
      <alignment horizontal="center" vertical="center" wrapText="1"/>
    </xf>
    <xf numFmtId="164" fontId="12" fillId="2" borderId="31" xfId="0" applyNumberFormat="1" applyFont="1" applyFill="1" applyBorder="1" applyAlignment="1">
      <alignment horizontal="center" vertical="center" wrapText="1"/>
    </xf>
    <xf numFmtId="164" fontId="12" fillId="2" borderId="33" xfId="0" applyNumberFormat="1" applyFont="1" applyFill="1" applyBorder="1" applyAlignment="1">
      <alignment horizontal="center" vertical="center" wrapText="1"/>
    </xf>
    <xf numFmtId="49" fontId="20" fillId="2" borderId="7" xfId="0" applyNumberFormat="1" applyFont="1" applyFill="1" applyBorder="1" applyAlignment="1">
      <alignment horizontal="center" vertical="center" wrapText="1"/>
    </xf>
    <xf numFmtId="49" fontId="20" fillId="2" borderId="30" xfId="0" applyNumberFormat="1" applyFont="1" applyFill="1" applyBorder="1" applyAlignment="1">
      <alignment horizontal="center" vertical="center" wrapText="1"/>
    </xf>
    <xf numFmtId="49" fontId="4" fillId="2" borderId="30" xfId="0" applyNumberFormat="1" applyFont="1" applyFill="1" applyBorder="1" applyAlignment="1">
      <alignment horizontal="center" vertical="center" wrapText="1"/>
    </xf>
    <xf numFmtId="49" fontId="4" fillId="0" borderId="30" xfId="0" applyNumberFormat="1" applyFont="1" applyBorder="1" applyAlignment="1">
      <alignment horizontal="center" vertical="center" wrapText="1"/>
    </xf>
    <xf numFmtId="0" fontId="35" fillId="0" borderId="0" xfId="0" applyFont="1"/>
    <xf numFmtId="0" fontId="0" fillId="2" borderId="0" xfId="0" applyFill="1"/>
    <xf numFmtId="0" fontId="25" fillId="2" borderId="0" xfId="0" applyFont="1" applyFill="1" applyAlignment="1">
      <alignment horizontal="left" vertical="top" wrapText="1"/>
    </xf>
    <xf numFmtId="164" fontId="0" fillId="0" borderId="0" xfId="0" applyNumberFormat="1"/>
    <xf numFmtId="0" fontId="21" fillId="4" borderId="18" xfId="0" applyFont="1" applyFill="1" applyBorder="1" applyAlignment="1">
      <alignment horizontal="left" vertical="center" wrapText="1"/>
    </xf>
    <xf numFmtId="0" fontId="23" fillId="4" borderId="19" xfId="0" applyFont="1" applyFill="1" applyBorder="1" applyAlignment="1">
      <alignment horizontal="left" vertical="center"/>
    </xf>
    <xf numFmtId="0" fontId="23" fillId="4" borderId="20" xfId="0" applyFont="1" applyFill="1" applyBorder="1" applyAlignment="1">
      <alignment horizontal="left" vertical="center"/>
    </xf>
    <xf numFmtId="0" fontId="4" fillId="0" borderId="18" xfId="0" applyFont="1" applyBorder="1" applyAlignment="1">
      <alignment horizontal="center" vertical="center" wrapText="1"/>
    </xf>
    <xf numFmtId="0" fontId="4" fillId="0" borderId="21" xfId="0" applyFont="1" applyBorder="1"/>
    <xf numFmtId="0" fontId="4" fillId="0" borderId="20" xfId="0" applyFont="1" applyBorder="1" applyAlignment="1">
      <alignment horizontal="center" vertical="center" wrapText="1"/>
    </xf>
    <xf numFmtId="0" fontId="4" fillId="0" borderId="24" xfId="0" applyFont="1" applyBorder="1"/>
    <xf numFmtId="0" fontId="23" fillId="4" borderId="34" xfId="0" applyFont="1" applyFill="1" applyBorder="1" applyAlignment="1">
      <alignment horizontal="left" vertical="center"/>
    </xf>
    <xf numFmtId="0" fontId="23" fillId="4" borderId="35" xfId="0" applyFont="1" applyFill="1" applyBorder="1" applyAlignment="1">
      <alignment horizontal="left" vertical="center"/>
    </xf>
    <xf numFmtId="0" fontId="15" fillId="0" borderId="3"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1" xfId="0" applyFont="1" applyBorder="1"/>
    <xf numFmtId="0" fontId="15"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2" xfId="0" applyFont="1" applyBorder="1" applyAlignment="1">
      <alignment horizontal="center" vertical="center" wrapText="1"/>
    </xf>
    <xf numFmtId="0" fontId="15" fillId="2" borderId="16"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2" fillId="0" borderId="0" xfId="0" applyFont="1" applyAlignment="1">
      <alignment horizontal="center"/>
    </xf>
    <xf numFmtId="0" fontId="3" fillId="0" borderId="0" xfId="0" applyFont="1"/>
    <xf numFmtId="0" fontId="1" fillId="0" borderId="0" xfId="0" applyFont="1"/>
    <xf numFmtId="0" fontId="5" fillId="0" borderId="0" xfId="0" applyFont="1" applyAlignment="1">
      <alignment horizontal="center"/>
    </xf>
    <xf numFmtId="0" fontId="6" fillId="0" borderId="0" xfId="0" applyFont="1"/>
    <xf numFmtId="0" fontId="7" fillId="0" borderId="0" xfId="0" applyFont="1" applyAlignment="1">
      <alignment horizontal="center"/>
    </xf>
    <xf numFmtId="0" fontId="7" fillId="0" borderId="0" xfId="0" applyFont="1"/>
    <xf numFmtId="0" fontId="8" fillId="0" borderId="0" xfId="0" applyFont="1"/>
    <xf numFmtId="0" fontId="9" fillId="0" borderId="0" xfId="0" applyFont="1" applyAlignment="1">
      <alignment horizontal="center"/>
    </xf>
    <xf numFmtId="0" fontId="10" fillId="0" borderId="0" xfId="0" applyFont="1"/>
    <xf numFmtId="0" fontId="13" fillId="0" borderId="1"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3"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5" fillId="0" borderId="5" xfId="0" applyFont="1" applyBorder="1"/>
    <xf numFmtId="0" fontId="15" fillId="0" borderId="11" xfId="0" applyFont="1" applyBorder="1"/>
    <xf numFmtId="0" fontId="15" fillId="0" borderId="12" xfId="0" applyFont="1" applyBorder="1"/>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F382-2591-4114-B8D4-C6C7E43D045C}">
  <sheetPr>
    <tabColor rgb="FFC00000"/>
  </sheetPr>
  <dimension ref="A1:Q958"/>
  <sheetViews>
    <sheetView tabSelected="1" view="pageBreakPreview" zoomScale="58" zoomScaleNormal="100" zoomScaleSheetLayoutView="58" workbookViewId="0">
      <pane xSplit="4" ySplit="12" topLeftCell="E13" activePane="bottomRight" state="frozen"/>
      <selection pane="topRight" activeCell="E1" sqref="E1"/>
      <selection pane="bottomLeft" activeCell="A13" sqref="A13"/>
      <selection pane="bottomRight" activeCell="V20" sqref="V20"/>
    </sheetView>
  </sheetViews>
  <sheetFormatPr defaultRowHeight="15" x14ac:dyDescent="0.25"/>
  <cols>
    <col min="1" max="2" width="3.85546875" customWidth="1"/>
    <col min="3" max="3" width="64.7109375" customWidth="1"/>
    <col min="4" max="4" width="8.5703125" customWidth="1"/>
    <col min="5" max="8" width="18.5703125" customWidth="1"/>
    <col min="9" max="9" width="16.5703125" customWidth="1"/>
    <col min="10" max="10" width="19.140625" customWidth="1"/>
    <col min="11" max="11" width="16.5703125" customWidth="1"/>
    <col min="12" max="12" width="19.140625" customWidth="1"/>
    <col min="13" max="13" width="13.42578125" customWidth="1"/>
    <col min="14" max="14" width="11.85546875" customWidth="1"/>
    <col min="15" max="15" width="13.140625" customWidth="1"/>
    <col min="16" max="16" width="15.140625" customWidth="1"/>
    <col min="17" max="17" width="17.7109375" customWidth="1"/>
    <col min="239" max="240" width="3.85546875" customWidth="1"/>
    <col min="241" max="241" width="64.7109375" customWidth="1"/>
    <col min="242" max="242" width="8.5703125" customWidth="1"/>
    <col min="243" max="246" width="18.5703125" customWidth="1"/>
    <col min="247" max="247" width="16.5703125" customWidth="1"/>
    <col min="248" max="248" width="19.140625" customWidth="1"/>
    <col min="249" max="249" width="16.5703125" customWidth="1"/>
    <col min="250" max="250" width="19.140625" customWidth="1"/>
    <col min="251" max="251" width="13.42578125" customWidth="1"/>
    <col min="252" max="252" width="11.85546875" customWidth="1"/>
    <col min="253" max="253" width="18.85546875" customWidth="1"/>
    <col min="254" max="255" width="18.5703125" customWidth="1"/>
    <col min="256" max="256" width="12.140625" customWidth="1"/>
    <col min="257" max="257" width="16.28515625" customWidth="1"/>
    <col min="258" max="259" width="16" customWidth="1"/>
    <col min="260" max="260" width="13.140625" customWidth="1"/>
    <col min="261" max="261" width="15.140625" customWidth="1"/>
    <col min="262" max="262" width="17.7109375" customWidth="1"/>
    <col min="263" max="263" width="5.7109375" customWidth="1"/>
    <col min="264" max="264" width="14.7109375" customWidth="1"/>
    <col min="265" max="265" width="40.5703125" customWidth="1"/>
    <col min="266" max="266" width="20.5703125" customWidth="1"/>
    <col min="267" max="267" width="59.7109375" customWidth="1"/>
    <col min="268" max="269" width="21.85546875" customWidth="1"/>
    <col min="495" max="496" width="3.85546875" customWidth="1"/>
    <col min="497" max="497" width="64.7109375" customWidth="1"/>
    <col min="498" max="498" width="8.5703125" customWidth="1"/>
    <col min="499" max="502" width="18.5703125" customWidth="1"/>
    <col min="503" max="503" width="16.5703125" customWidth="1"/>
    <col min="504" max="504" width="19.140625" customWidth="1"/>
    <col min="505" max="505" width="16.5703125" customWidth="1"/>
    <col min="506" max="506" width="19.140625" customWidth="1"/>
    <col min="507" max="507" width="13.42578125" customWidth="1"/>
    <col min="508" max="508" width="11.85546875" customWidth="1"/>
    <col min="509" max="509" width="18.85546875" customWidth="1"/>
    <col min="510" max="511" width="18.5703125" customWidth="1"/>
    <col min="512" max="512" width="12.140625" customWidth="1"/>
    <col min="513" max="513" width="16.28515625" customWidth="1"/>
    <col min="514" max="515" width="16" customWidth="1"/>
    <col min="516" max="516" width="13.140625" customWidth="1"/>
    <col min="517" max="517" width="15.140625" customWidth="1"/>
    <col min="518" max="518" width="17.7109375" customWidth="1"/>
    <col min="519" max="519" width="5.7109375" customWidth="1"/>
    <col min="520" max="520" width="14.7109375" customWidth="1"/>
    <col min="521" max="521" width="40.5703125" customWidth="1"/>
    <col min="522" max="522" width="20.5703125" customWidth="1"/>
    <col min="523" max="523" width="59.7109375" customWidth="1"/>
    <col min="524" max="525" width="21.85546875" customWidth="1"/>
    <col min="751" max="752" width="3.85546875" customWidth="1"/>
    <col min="753" max="753" width="64.7109375" customWidth="1"/>
    <col min="754" max="754" width="8.5703125" customWidth="1"/>
    <col min="755" max="758" width="18.5703125" customWidth="1"/>
    <col min="759" max="759" width="16.5703125" customWidth="1"/>
    <col min="760" max="760" width="19.140625" customWidth="1"/>
    <col min="761" max="761" width="16.5703125" customWidth="1"/>
    <col min="762" max="762" width="19.140625" customWidth="1"/>
    <col min="763" max="763" width="13.42578125" customWidth="1"/>
    <col min="764" max="764" width="11.85546875" customWidth="1"/>
    <col min="765" max="765" width="18.85546875" customWidth="1"/>
    <col min="766" max="767" width="18.5703125" customWidth="1"/>
    <col min="768" max="768" width="12.140625" customWidth="1"/>
    <col min="769" max="769" width="16.28515625" customWidth="1"/>
    <col min="770" max="771" width="16" customWidth="1"/>
    <col min="772" max="772" width="13.140625" customWidth="1"/>
    <col min="773" max="773" width="15.140625" customWidth="1"/>
    <col min="774" max="774" width="17.7109375" customWidth="1"/>
    <col min="775" max="775" width="5.7109375" customWidth="1"/>
    <col min="776" max="776" width="14.7109375" customWidth="1"/>
    <col min="777" max="777" width="40.5703125" customWidth="1"/>
    <col min="778" max="778" width="20.5703125" customWidth="1"/>
    <col min="779" max="779" width="59.7109375" customWidth="1"/>
    <col min="780" max="781" width="21.85546875" customWidth="1"/>
    <col min="1007" max="1008" width="3.85546875" customWidth="1"/>
    <col min="1009" max="1009" width="64.7109375" customWidth="1"/>
    <col min="1010" max="1010" width="8.5703125" customWidth="1"/>
    <col min="1011" max="1014" width="18.5703125" customWidth="1"/>
    <col min="1015" max="1015" width="16.5703125" customWidth="1"/>
    <col min="1016" max="1016" width="19.140625" customWidth="1"/>
    <col min="1017" max="1017" width="16.5703125" customWidth="1"/>
    <col min="1018" max="1018" width="19.140625" customWidth="1"/>
    <col min="1019" max="1019" width="13.42578125" customWidth="1"/>
    <col min="1020" max="1020" width="11.85546875" customWidth="1"/>
    <col min="1021" max="1021" width="18.85546875" customWidth="1"/>
    <col min="1022" max="1023" width="18.5703125" customWidth="1"/>
    <col min="1024" max="1024" width="12.140625" customWidth="1"/>
    <col min="1025" max="1025" width="16.28515625" customWidth="1"/>
    <col min="1026" max="1027" width="16" customWidth="1"/>
    <col min="1028" max="1028" width="13.140625" customWidth="1"/>
    <col min="1029" max="1029" width="15.140625" customWidth="1"/>
    <col min="1030" max="1030" width="17.7109375" customWidth="1"/>
    <col min="1031" max="1031" width="5.7109375" customWidth="1"/>
    <col min="1032" max="1032" width="14.7109375" customWidth="1"/>
    <col min="1033" max="1033" width="40.5703125" customWidth="1"/>
    <col min="1034" max="1034" width="20.5703125" customWidth="1"/>
    <col min="1035" max="1035" width="59.7109375" customWidth="1"/>
    <col min="1036" max="1037" width="21.85546875" customWidth="1"/>
    <col min="1263" max="1264" width="3.85546875" customWidth="1"/>
    <col min="1265" max="1265" width="64.7109375" customWidth="1"/>
    <col min="1266" max="1266" width="8.5703125" customWidth="1"/>
    <col min="1267" max="1270" width="18.5703125" customWidth="1"/>
    <col min="1271" max="1271" width="16.5703125" customWidth="1"/>
    <col min="1272" max="1272" width="19.140625" customWidth="1"/>
    <col min="1273" max="1273" width="16.5703125" customWidth="1"/>
    <col min="1274" max="1274" width="19.140625" customWidth="1"/>
    <col min="1275" max="1275" width="13.42578125" customWidth="1"/>
    <col min="1276" max="1276" width="11.85546875" customWidth="1"/>
    <col min="1277" max="1277" width="18.85546875" customWidth="1"/>
    <col min="1278" max="1279" width="18.5703125" customWidth="1"/>
    <col min="1280" max="1280" width="12.140625" customWidth="1"/>
    <col min="1281" max="1281" width="16.28515625" customWidth="1"/>
    <col min="1282" max="1283" width="16" customWidth="1"/>
    <col min="1284" max="1284" width="13.140625" customWidth="1"/>
    <col min="1285" max="1285" width="15.140625" customWidth="1"/>
    <col min="1286" max="1286" width="17.7109375" customWidth="1"/>
    <col min="1287" max="1287" width="5.7109375" customWidth="1"/>
    <col min="1288" max="1288" width="14.7109375" customWidth="1"/>
    <col min="1289" max="1289" width="40.5703125" customWidth="1"/>
    <col min="1290" max="1290" width="20.5703125" customWidth="1"/>
    <col min="1291" max="1291" width="59.7109375" customWidth="1"/>
    <col min="1292" max="1293" width="21.85546875" customWidth="1"/>
    <col min="1519" max="1520" width="3.85546875" customWidth="1"/>
    <col min="1521" max="1521" width="64.7109375" customWidth="1"/>
    <col min="1522" max="1522" width="8.5703125" customWidth="1"/>
    <col min="1523" max="1526" width="18.5703125" customWidth="1"/>
    <col min="1527" max="1527" width="16.5703125" customWidth="1"/>
    <col min="1528" max="1528" width="19.140625" customWidth="1"/>
    <col min="1529" max="1529" width="16.5703125" customWidth="1"/>
    <col min="1530" max="1530" width="19.140625" customWidth="1"/>
    <col min="1531" max="1531" width="13.42578125" customWidth="1"/>
    <col min="1532" max="1532" width="11.85546875" customWidth="1"/>
    <col min="1533" max="1533" width="18.85546875" customWidth="1"/>
    <col min="1534" max="1535" width="18.5703125" customWidth="1"/>
    <col min="1536" max="1536" width="12.140625" customWidth="1"/>
    <col min="1537" max="1537" width="16.28515625" customWidth="1"/>
    <col min="1538" max="1539" width="16" customWidth="1"/>
    <col min="1540" max="1540" width="13.140625" customWidth="1"/>
    <col min="1541" max="1541" width="15.140625" customWidth="1"/>
    <col min="1542" max="1542" width="17.7109375" customWidth="1"/>
    <col min="1543" max="1543" width="5.7109375" customWidth="1"/>
    <col min="1544" max="1544" width="14.7109375" customWidth="1"/>
    <col min="1545" max="1545" width="40.5703125" customWidth="1"/>
    <col min="1546" max="1546" width="20.5703125" customWidth="1"/>
    <col min="1547" max="1547" width="59.7109375" customWidth="1"/>
    <col min="1548" max="1549" width="21.85546875" customWidth="1"/>
    <col min="1775" max="1776" width="3.85546875" customWidth="1"/>
    <col min="1777" max="1777" width="64.7109375" customWidth="1"/>
    <col min="1778" max="1778" width="8.5703125" customWidth="1"/>
    <col min="1779" max="1782" width="18.5703125" customWidth="1"/>
    <col min="1783" max="1783" width="16.5703125" customWidth="1"/>
    <col min="1784" max="1784" width="19.140625" customWidth="1"/>
    <col min="1785" max="1785" width="16.5703125" customWidth="1"/>
    <col min="1786" max="1786" width="19.140625" customWidth="1"/>
    <col min="1787" max="1787" width="13.42578125" customWidth="1"/>
    <col min="1788" max="1788" width="11.85546875" customWidth="1"/>
    <col min="1789" max="1789" width="18.85546875" customWidth="1"/>
    <col min="1790" max="1791" width="18.5703125" customWidth="1"/>
    <col min="1792" max="1792" width="12.140625" customWidth="1"/>
    <col min="1793" max="1793" width="16.28515625" customWidth="1"/>
    <col min="1794" max="1795" width="16" customWidth="1"/>
    <col min="1796" max="1796" width="13.140625" customWidth="1"/>
    <col min="1797" max="1797" width="15.140625" customWidth="1"/>
    <col min="1798" max="1798" width="17.7109375" customWidth="1"/>
    <col min="1799" max="1799" width="5.7109375" customWidth="1"/>
    <col min="1800" max="1800" width="14.7109375" customWidth="1"/>
    <col min="1801" max="1801" width="40.5703125" customWidth="1"/>
    <col min="1802" max="1802" width="20.5703125" customWidth="1"/>
    <col min="1803" max="1803" width="59.7109375" customWidth="1"/>
    <col min="1804" max="1805" width="21.85546875" customWidth="1"/>
    <col min="2031" max="2032" width="3.85546875" customWidth="1"/>
    <col min="2033" max="2033" width="64.7109375" customWidth="1"/>
    <col min="2034" max="2034" width="8.5703125" customWidth="1"/>
    <col min="2035" max="2038" width="18.5703125" customWidth="1"/>
    <col min="2039" max="2039" width="16.5703125" customWidth="1"/>
    <col min="2040" max="2040" width="19.140625" customWidth="1"/>
    <col min="2041" max="2041" width="16.5703125" customWidth="1"/>
    <col min="2042" max="2042" width="19.140625" customWidth="1"/>
    <col min="2043" max="2043" width="13.42578125" customWidth="1"/>
    <col min="2044" max="2044" width="11.85546875" customWidth="1"/>
    <col min="2045" max="2045" width="18.85546875" customWidth="1"/>
    <col min="2046" max="2047" width="18.5703125" customWidth="1"/>
    <col min="2048" max="2048" width="12.140625" customWidth="1"/>
    <col min="2049" max="2049" width="16.28515625" customWidth="1"/>
    <col min="2050" max="2051" width="16" customWidth="1"/>
    <col min="2052" max="2052" width="13.140625" customWidth="1"/>
    <col min="2053" max="2053" width="15.140625" customWidth="1"/>
    <col min="2054" max="2054" width="17.7109375" customWidth="1"/>
    <col min="2055" max="2055" width="5.7109375" customWidth="1"/>
    <col min="2056" max="2056" width="14.7109375" customWidth="1"/>
    <col min="2057" max="2057" width="40.5703125" customWidth="1"/>
    <col min="2058" max="2058" width="20.5703125" customWidth="1"/>
    <col min="2059" max="2059" width="59.7109375" customWidth="1"/>
    <col min="2060" max="2061" width="21.85546875" customWidth="1"/>
    <col min="2287" max="2288" width="3.85546875" customWidth="1"/>
    <col min="2289" max="2289" width="64.7109375" customWidth="1"/>
    <col min="2290" max="2290" width="8.5703125" customWidth="1"/>
    <col min="2291" max="2294" width="18.5703125" customWidth="1"/>
    <col min="2295" max="2295" width="16.5703125" customWidth="1"/>
    <col min="2296" max="2296" width="19.140625" customWidth="1"/>
    <col min="2297" max="2297" width="16.5703125" customWidth="1"/>
    <col min="2298" max="2298" width="19.140625" customWidth="1"/>
    <col min="2299" max="2299" width="13.42578125" customWidth="1"/>
    <col min="2300" max="2300" width="11.85546875" customWidth="1"/>
    <col min="2301" max="2301" width="18.85546875" customWidth="1"/>
    <col min="2302" max="2303" width="18.5703125" customWidth="1"/>
    <col min="2304" max="2304" width="12.140625" customWidth="1"/>
    <col min="2305" max="2305" width="16.28515625" customWidth="1"/>
    <col min="2306" max="2307" width="16" customWidth="1"/>
    <col min="2308" max="2308" width="13.140625" customWidth="1"/>
    <col min="2309" max="2309" width="15.140625" customWidth="1"/>
    <col min="2310" max="2310" width="17.7109375" customWidth="1"/>
    <col min="2311" max="2311" width="5.7109375" customWidth="1"/>
    <col min="2312" max="2312" width="14.7109375" customWidth="1"/>
    <col min="2313" max="2313" width="40.5703125" customWidth="1"/>
    <col min="2314" max="2314" width="20.5703125" customWidth="1"/>
    <col min="2315" max="2315" width="59.7109375" customWidth="1"/>
    <col min="2316" max="2317" width="21.85546875" customWidth="1"/>
    <col min="2543" max="2544" width="3.85546875" customWidth="1"/>
    <col min="2545" max="2545" width="64.7109375" customWidth="1"/>
    <col min="2546" max="2546" width="8.5703125" customWidth="1"/>
    <col min="2547" max="2550" width="18.5703125" customWidth="1"/>
    <col min="2551" max="2551" width="16.5703125" customWidth="1"/>
    <col min="2552" max="2552" width="19.140625" customWidth="1"/>
    <col min="2553" max="2553" width="16.5703125" customWidth="1"/>
    <col min="2554" max="2554" width="19.140625" customWidth="1"/>
    <col min="2555" max="2555" width="13.42578125" customWidth="1"/>
    <col min="2556" max="2556" width="11.85546875" customWidth="1"/>
    <col min="2557" max="2557" width="18.85546875" customWidth="1"/>
    <col min="2558" max="2559" width="18.5703125" customWidth="1"/>
    <col min="2560" max="2560" width="12.140625" customWidth="1"/>
    <col min="2561" max="2561" width="16.28515625" customWidth="1"/>
    <col min="2562" max="2563" width="16" customWidth="1"/>
    <col min="2564" max="2564" width="13.140625" customWidth="1"/>
    <col min="2565" max="2565" width="15.140625" customWidth="1"/>
    <col min="2566" max="2566" width="17.7109375" customWidth="1"/>
    <col min="2567" max="2567" width="5.7109375" customWidth="1"/>
    <col min="2568" max="2568" width="14.7109375" customWidth="1"/>
    <col min="2569" max="2569" width="40.5703125" customWidth="1"/>
    <col min="2570" max="2570" width="20.5703125" customWidth="1"/>
    <col min="2571" max="2571" width="59.7109375" customWidth="1"/>
    <col min="2572" max="2573" width="21.85546875" customWidth="1"/>
    <col min="2799" max="2800" width="3.85546875" customWidth="1"/>
    <col min="2801" max="2801" width="64.7109375" customWidth="1"/>
    <col min="2802" max="2802" width="8.5703125" customWidth="1"/>
    <col min="2803" max="2806" width="18.5703125" customWidth="1"/>
    <col min="2807" max="2807" width="16.5703125" customWidth="1"/>
    <col min="2808" max="2808" width="19.140625" customWidth="1"/>
    <col min="2809" max="2809" width="16.5703125" customWidth="1"/>
    <col min="2810" max="2810" width="19.140625" customWidth="1"/>
    <col min="2811" max="2811" width="13.42578125" customWidth="1"/>
    <col min="2812" max="2812" width="11.85546875" customWidth="1"/>
    <col min="2813" max="2813" width="18.85546875" customWidth="1"/>
    <col min="2814" max="2815" width="18.5703125" customWidth="1"/>
    <col min="2816" max="2816" width="12.140625" customWidth="1"/>
    <col min="2817" max="2817" width="16.28515625" customWidth="1"/>
    <col min="2818" max="2819" width="16" customWidth="1"/>
    <col min="2820" max="2820" width="13.140625" customWidth="1"/>
    <col min="2821" max="2821" width="15.140625" customWidth="1"/>
    <col min="2822" max="2822" width="17.7109375" customWidth="1"/>
    <col min="2823" max="2823" width="5.7109375" customWidth="1"/>
    <col min="2824" max="2824" width="14.7109375" customWidth="1"/>
    <col min="2825" max="2825" width="40.5703125" customWidth="1"/>
    <col min="2826" max="2826" width="20.5703125" customWidth="1"/>
    <col min="2827" max="2827" width="59.7109375" customWidth="1"/>
    <col min="2828" max="2829" width="21.85546875" customWidth="1"/>
    <col min="3055" max="3056" width="3.85546875" customWidth="1"/>
    <col min="3057" max="3057" width="64.7109375" customWidth="1"/>
    <col min="3058" max="3058" width="8.5703125" customWidth="1"/>
    <col min="3059" max="3062" width="18.5703125" customWidth="1"/>
    <col min="3063" max="3063" width="16.5703125" customWidth="1"/>
    <col min="3064" max="3064" width="19.140625" customWidth="1"/>
    <col min="3065" max="3065" width="16.5703125" customWidth="1"/>
    <col min="3066" max="3066" width="19.140625" customWidth="1"/>
    <col min="3067" max="3067" width="13.42578125" customWidth="1"/>
    <col min="3068" max="3068" width="11.85546875" customWidth="1"/>
    <col min="3069" max="3069" width="18.85546875" customWidth="1"/>
    <col min="3070" max="3071" width="18.5703125" customWidth="1"/>
    <col min="3072" max="3072" width="12.140625" customWidth="1"/>
    <col min="3073" max="3073" width="16.28515625" customWidth="1"/>
    <col min="3074" max="3075" width="16" customWidth="1"/>
    <col min="3076" max="3076" width="13.140625" customWidth="1"/>
    <col min="3077" max="3077" width="15.140625" customWidth="1"/>
    <col min="3078" max="3078" width="17.7109375" customWidth="1"/>
    <col min="3079" max="3079" width="5.7109375" customWidth="1"/>
    <col min="3080" max="3080" width="14.7109375" customWidth="1"/>
    <col min="3081" max="3081" width="40.5703125" customWidth="1"/>
    <col min="3082" max="3082" width="20.5703125" customWidth="1"/>
    <col min="3083" max="3083" width="59.7109375" customWidth="1"/>
    <col min="3084" max="3085" width="21.85546875" customWidth="1"/>
    <col min="3311" max="3312" width="3.85546875" customWidth="1"/>
    <col min="3313" max="3313" width="64.7109375" customWidth="1"/>
    <col min="3314" max="3314" width="8.5703125" customWidth="1"/>
    <col min="3315" max="3318" width="18.5703125" customWidth="1"/>
    <col min="3319" max="3319" width="16.5703125" customWidth="1"/>
    <col min="3320" max="3320" width="19.140625" customWidth="1"/>
    <col min="3321" max="3321" width="16.5703125" customWidth="1"/>
    <col min="3322" max="3322" width="19.140625" customWidth="1"/>
    <col min="3323" max="3323" width="13.42578125" customWidth="1"/>
    <col min="3324" max="3324" width="11.85546875" customWidth="1"/>
    <col min="3325" max="3325" width="18.85546875" customWidth="1"/>
    <col min="3326" max="3327" width="18.5703125" customWidth="1"/>
    <col min="3328" max="3328" width="12.140625" customWidth="1"/>
    <col min="3329" max="3329" width="16.28515625" customWidth="1"/>
    <col min="3330" max="3331" width="16" customWidth="1"/>
    <col min="3332" max="3332" width="13.140625" customWidth="1"/>
    <col min="3333" max="3333" width="15.140625" customWidth="1"/>
    <col min="3334" max="3334" width="17.7109375" customWidth="1"/>
    <col min="3335" max="3335" width="5.7109375" customWidth="1"/>
    <col min="3336" max="3336" width="14.7109375" customWidth="1"/>
    <col min="3337" max="3337" width="40.5703125" customWidth="1"/>
    <col min="3338" max="3338" width="20.5703125" customWidth="1"/>
    <col min="3339" max="3339" width="59.7109375" customWidth="1"/>
    <col min="3340" max="3341" width="21.85546875" customWidth="1"/>
    <col min="3567" max="3568" width="3.85546875" customWidth="1"/>
    <col min="3569" max="3569" width="64.7109375" customWidth="1"/>
    <col min="3570" max="3570" width="8.5703125" customWidth="1"/>
    <col min="3571" max="3574" width="18.5703125" customWidth="1"/>
    <col min="3575" max="3575" width="16.5703125" customWidth="1"/>
    <col min="3576" max="3576" width="19.140625" customWidth="1"/>
    <col min="3577" max="3577" width="16.5703125" customWidth="1"/>
    <col min="3578" max="3578" width="19.140625" customWidth="1"/>
    <col min="3579" max="3579" width="13.42578125" customWidth="1"/>
    <col min="3580" max="3580" width="11.85546875" customWidth="1"/>
    <col min="3581" max="3581" width="18.85546875" customWidth="1"/>
    <col min="3582" max="3583" width="18.5703125" customWidth="1"/>
    <col min="3584" max="3584" width="12.140625" customWidth="1"/>
    <col min="3585" max="3585" width="16.28515625" customWidth="1"/>
    <col min="3586" max="3587" width="16" customWidth="1"/>
    <col min="3588" max="3588" width="13.140625" customWidth="1"/>
    <col min="3589" max="3589" width="15.140625" customWidth="1"/>
    <col min="3590" max="3590" width="17.7109375" customWidth="1"/>
    <col min="3591" max="3591" width="5.7109375" customWidth="1"/>
    <col min="3592" max="3592" width="14.7109375" customWidth="1"/>
    <col min="3593" max="3593" width="40.5703125" customWidth="1"/>
    <col min="3594" max="3594" width="20.5703125" customWidth="1"/>
    <col min="3595" max="3595" width="59.7109375" customWidth="1"/>
    <col min="3596" max="3597" width="21.85546875" customWidth="1"/>
    <col min="3823" max="3824" width="3.85546875" customWidth="1"/>
    <col min="3825" max="3825" width="64.7109375" customWidth="1"/>
    <col min="3826" max="3826" width="8.5703125" customWidth="1"/>
    <col min="3827" max="3830" width="18.5703125" customWidth="1"/>
    <col min="3831" max="3831" width="16.5703125" customWidth="1"/>
    <col min="3832" max="3832" width="19.140625" customWidth="1"/>
    <col min="3833" max="3833" width="16.5703125" customWidth="1"/>
    <col min="3834" max="3834" width="19.140625" customWidth="1"/>
    <col min="3835" max="3835" width="13.42578125" customWidth="1"/>
    <col min="3836" max="3836" width="11.85546875" customWidth="1"/>
    <col min="3837" max="3837" width="18.85546875" customWidth="1"/>
    <col min="3838" max="3839" width="18.5703125" customWidth="1"/>
    <col min="3840" max="3840" width="12.140625" customWidth="1"/>
    <col min="3841" max="3841" width="16.28515625" customWidth="1"/>
    <col min="3842" max="3843" width="16" customWidth="1"/>
    <col min="3844" max="3844" width="13.140625" customWidth="1"/>
    <col min="3845" max="3845" width="15.140625" customWidth="1"/>
    <col min="3846" max="3846" width="17.7109375" customWidth="1"/>
    <col min="3847" max="3847" width="5.7109375" customWidth="1"/>
    <col min="3848" max="3848" width="14.7109375" customWidth="1"/>
    <col min="3849" max="3849" width="40.5703125" customWidth="1"/>
    <col min="3850" max="3850" width="20.5703125" customWidth="1"/>
    <col min="3851" max="3851" width="59.7109375" customWidth="1"/>
    <col min="3852" max="3853" width="21.85546875" customWidth="1"/>
    <col min="4079" max="4080" width="3.85546875" customWidth="1"/>
    <col min="4081" max="4081" width="64.7109375" customWidth="1"/>
    <col min="4082" max="4082" width="8.5703125" customWidth="1"/>
    <col min="4083" max="4086" width="18.5703125" customWidth="1"/>
    <col min="4087" max="4087" width="16.5703125" customWidth="1"/>
    <col min="4088" max="4088" width="19.140625" customWidth="1"/>
    <col min="4089" max="4089" width="16.5703125" customWidth="1"/>
    <col min="4090" max="4090" width="19.140625" customWidth="1"/>
    <col min="4091" max="4091" width="13.42578125" customWidth="1"/>
    <col min="4092" max="4092" width="11.85546875" customWidth="1"/>
    <col min="4093" max="4093" width="18.85546875" customWidth="1"/>
    <col min="4094" max="4095" width="18.5703125" customWidth="1"/>
    <col min="4096" max="4096" width="12.140625" customWidth="1"/>
    <col min="4097" max="4097" width="16.28515625" customWidth="1"/>
    <col min="4098" max="4099" width="16" customWidth="1"/>
    <col min="4100" max="4100" width="13.140625" customWidth="1"/>
    <col min="4101" max="4101" width="15.140625" customWidth="1"/>
    <col min="4102" max="4102" width="17.7109375" customWidth="1"/>
    <col min="4103" max="4103" width="5.7109375" customWidth="1"/>
    <col min="4104" max="4104" width="14.7109375" customWidth="1"/>
    <col min="4105" max="4105" width="40.5703125" customWidth="1"/>
    <col min="4106" max="4106" width="20.5703125" customWidth="1"/>
    <col min="4107" max="4107" width="59.7109375" customWidth="1"/>
    <col min="4108" max="4109" width="21.85546875" customWidth="1"/>
    <col min="4335" max="4336" width="3.85546875" customWidth="1"/>
    <col min="4337" max="4337" width="64.7109375" customWidth="1"/>
    <col min="4338" max="4338" width="8.5703125" customWidth="1"/>
    <col min="4339" max="4342" width="18.5703125" customWidth="1"/>
    <col min="4343" max="4343" width="16.5703125" customWidth="1"/>
    <col min="4344" max="4344" width="19.140625" customWidth="1"/>
    <col min="4345" max="4345" width="16.5703125" customWidth="1"/>
    <col min="4346" max="4346" width="19.140625" customWidth="1"/>
    <col min="4347" max="4347" width="13.42578125" customWidth="1"/>
    <col min="4348" max="4348" width="11.85546875" customWidth="1"/>
    <col min="4349" max="4349" width="18.85546875" customWidth="1"/>
    <col min="4350" max="4351" width="18.5703125" customWidth="1"/>
    <col min="4352" max="4352" width="12.140625" customWidth="1"/>
    <col min="4353" max="4353" width="16.28515625" customWidth="1"/>
    <col min="4354" max="4355" width="16" customWidth="1"/>
    <col min="4356" max="4356" width="13.140625" customWidth="1"/>
    <col min="4357" max="4357" width="15.140625" customWidth="1"/>
    <col min="4358" max="4358" width="17.7109375" customWidth="1"/>
    <col min="4359" max="4359" width="5.7109375" customWidth="1"/>
    <col min="4360" max="4360" width="14.7109375" customWidth="1"/>
    <col min="4361" max="4361" width="40.5703125" customWidth="1"/>
    <col min="4362" max="4362" width="20.5703125" customWidth="1"/>
    <col min="4363" max="4363" width="59.7109375" customWidth="1"/>
    <col min="4364" max="4365" width="21.85546875" customWidth="1"/>
    <col min="4591" max="4592" width="3.85546875" customWidth="1"/>
    <col min="4593" max="4593" width="64.7109375" customWidth="1"/>
    <col min="4594" max="4594" width="8.5703125" customWidth="1"/>
    <col min="4595" max="4598" width="18.5703125" customWidth="1"/>
    <col min="4599" max="4599" width="16.5703125" customWidth="1"/>
    <col min="4600" max="4600" width="19.140625" customWidth="1"/>
    <col min="4601" max="4601" width="16.5703125" customWidth="1"/>
    <col min="4602" max="4602" width="19.140625" customWidth="1"/>
    <col min="4603" max="4603" width="13.42578125" customWidth="1"/>
    <col min="4604" max="4604" width="11.85546875" customWidth="1"/>
    <col min="4605" max="4605" width="18.85546875" customWidth="1"/>
    <col min="4606" max="4607" width="18.5703125" customWidth="1"/>
    <col min="4608" max="4608" width="12.140625" customWidth="1"/>
    <col min="4609" max="4609" width="16.28515625" customWidth="1"/>
    <col min="4610" max="4611" width="16" customWidth="1"/>
    <col min="4612" max="4612" width="13.140625" customWidth="1"/>
    <col min="4613" max="4613" width="15.140625" customWidth="1"/>
    <col min="4614" max="4614" width="17.7109375" customWidth="1"/>
    <col min="4615" max="4615" width="5.7109375" customWidth="1"/>
    <col min="4616" max="4616" width="14.7109375" customWidth="1"/>
    <col min="4617" max="4617" width="40.5703125" customWidth="1"/>
    <col min="4618" max="4618" width="20.5703125" customWidth="1"/>
    <col min="4619" max="4619" width="59.7109375" customWidth="1"/>
    <col min="4620" max="4621" width="21.85546875" customWidth="1"/>
    <col min="4847" max="4848" width="3.85546875" customWidth="1"/>
    <col min="4849" max="4849" width="64.7109375" customWidth="1"/>
    <col min="4850" max="4850" width="8.5703125" customWidth="1"/>
    <col min="4851" max="4854" width="18.5703125" customWidth="1"/>
    <col min="4855" max="4855" width="16.5703125" customWidth="1"/>
    <col min="4856" max="4856" width="19.140625" customWidth="1"/>
    <col min="4857" max="4857" width="16.5703125" customWidth="1"/>
    <col min="4858" max="4858" width="19.140625" customWidth="1"/>
    <col min="4859" max="4859" width="13.42578125" customWidth="1"/>
    <col min="4860" max="4860" width="11.85546875" customWidth="1"/>
    <col min="4861" max="4861" width="18.85546875" customWidth="1"/>
    <col min="4862" max="4863" width="18.5703125" customWidth="1"/>
    <col min="4864" max="4864" width="12.140625" customWidth="1"/>
    <col min="4865" max="4865" width="16.28515625" customWidth="1"/>
    <col min="4866" max="4867" width="16" customWidth="1"/>
    <col min="4868" max="4868" width="13.140625" customWidth="1"/>
    <col min="4869" max="4869" width="15.140625" customWidth="1"/>
    <col min="4870" max="4870" width="17.7109375" customWidth="1"/>
    <col min="4871" max="4871" width="5.7109375" customWidth="1"/>
    <col min="4872" max="4872" width="14.7109375" customWidth="1"/>
    <col min="4873" max="4873" width="40.5703125" customWidth="1"/>
    <col min="4874" max="4874" width="20.5703125" customWidth="1"/>
    <col min="4875" max="4875" width="59.7109375" customWidth="1"/>
    <col min="4876" max="4877" width="21.85546875" customWidth="1"/>
    <col min="5103" max="5104" width="3.85546875" customWidth="1"/>
    <col min="5105" max="5105" width="64.7109375" customWidth="1"/>
    <col min="5106" max="5106" width="8.5703125" customWidth="1"/>
    <col min="5107" max="5110" width="18.5703125" customWidth="1"/>
    <col min="5111" max="5111" width="16.5703125" customWidth="1"/>
    <col min="5112" max="5112" width="19.140625" customWidth="1"/>
    <col min="5113" max="5113" width="16.5703125" customWidth="1"/>
    <col min="5114" max="5114" width="19.140625" customWidth="1"/>
    <col min="5115" max="5115" width="13.42578125" customWidth="1"/>
    <col min="5116" max="5116" width="11.85546875" customWidth="1"/>
    <col min="5117" max="5117" width="18.85546875" customWidth="1"/>
    <col min="5118" max="5119" width="18.5703125" customWidth="1"/>
    <col min="5120" max="5120" width="12.140625" customWidth="1"/>
    <col min="5121" max="5121" width="16.28515625" customWidth="1"/>
    <col min="5122" max="5123" width="16" customWidth="1"/>
    <col min="5124" max="5124" width="13.140625" customWidth="1"/>
    <col min="5125" max="5125" width="15.140625" customWidth="1"/>
    <col min="5126" max="5126" width="17.7109375" customWidth="1"/>
    <col min="5127" max="5127" width="5.7109375" customWidth="1"/>
    <col min="5128" max="5128" width="14.7109375" customWidth="1"/>
    <col min="5129" max="5129" width="40.5703125" customWidth="1"/>
    <col min="5130" max="5130" width="20.5703125" customWidth="1"/>
    <col min="5131" max="5131" width="59.7109375" customWidth="1"/>
    <col min="5132" max="5133" width="21.85546875" customWidth="1"/>
    <col min="5359" max="5360" width="3.85546875" customWidth="1"/>
    <col min="5361" max="5361" width="64.7109375" customWidth="1"/>
    <col min="5362" max="5362" width="8.5703125" customWidth="1"/>
    <col min="5363" max="5366" width="18.5703125" customWidth="1"/>
    <col min="5367" max="5367" width="16.5703125" customWidth="1"/>
    <col min="5368" max="5368" width="19.140625" customWidth="1"/>
    <col min="5369" max="5369" width="16.5703125" customWidth="1"/>
    <col min="5370" max="5370" width="19.140625" customWidth="1"/>
    <col min="5371" max="5371" width="13.42578125" customWidth="1"/>
    <col min="5372" max="5372" width="11.85546875" customWidth="1"/>
    <col min="5373" max="5373" width="18.85546875" customWidth="1"/>
    <col min="5374" max="5375" width="18.5703125" customWidth="1"/>
    <col min="5376" max="5376" width="12.140625" customWidth="1"/>
    <col min="5377" max="5377" width="16.28515625" customWidth="1"/>
    <col min="5378" max="5379" width="16" customWidth="1"/>
    <col min="5380" max="5380" width="13.140625" customWidth="1"/>
    <col min="5381" max="5381" width="15.140625" customWidth="1"/>
    <col min="5382" max="5382" width="17.7109375" customWidth="1"/>
    <col min="5383" max="5383" width="5.7109375" customWidth="1"/>
    <col min="5384" max="5384" width="14.7109375" customWidth="1"/>
    <col min="5385" max="5385" width="40.5703125" customWidth="1"/>
    <col min="5386" max="5386" width="20.5703125" customWidth="1"/>
    <col min="5387" max="5387" width="59.7109375" customWidth="1"/>
    <col min="5388" max="5389" width="21.85546875" customWidth="1"/>
    <col min="5615" max="5616" width="3.85546875" customWidth="1"/>
    <col min="5617" max="5617" width="64.7109375" customWidth="1"/>
    <col min="5618" max="5618" width="8.5703125" customWidth="1"/>
    <col min="5619" max="5622" width="18.5703125" customWidth="1"/>
    <col min="5623" max="5623" width="16.5703125" customWidth="1"/>
    <col min="5624" max="5624" width="19.140625" customWidth="1"/>
    <col min="5625" max="5625" width="16.5703125" customWidth="1"/>
    <col min="5626" max="5626" width="19.140625" customWidth="1"/>
    <col min="5627" max="5627" width="13.42578125" customWidth="1"/>
    <col min="5628" max="5628" width="11.85546875" customWidth="1"/>
    <col min="5629" max="5629" width="18.85546875" customWidth="1"/>
    <col min="5630" max="5631" width="18.5703125" customWidth="1"/>
    <col min="5632" max="5632" width="12.140625" customWidth="1"/>
    <col min="5633" max="5633" width="16.28515625" customWidth="1"/>
    <col min="5634" max="5635" width="16" customWidth="1"/>
    <col min="5636" max="5636" width="13.140625" customWidth="1"/>
    <col min="5637" max="5637" width="15.140625" customWidth="1"/>
    <col min="5638" max="5638" width="17.7109375" customWidth="1"/>
    <col min="5639" max="5639" width="5.7109375" customWidth="1"/>
    <col min="5640" max="5640" width="14.7109375" customWidth="1"/>
    <col min="5641" max="5641" width="40.5703125" customWidth="1"/>
    <col min="5642" max="5642" width="20.5703125" customWidth="1"/>
    <col min="5643" max="5643" width="59.7109375" customWidth="1"/>
    <col min="5644" max="5645" width="21.85546875" customWidth="1"/>
    <col min="5871" max="5872" width="3.85546875" customWidth="1"/>
    <col min="5873" max="5873" width="64.7109375" customWidth="1"/>
    <col min="5874" max="5874" width="8.5703125" customWidth="1"/>
    <col min="5875" max="5878" width="18.5703125" customWidth="1"/>
    <col min="5879" max="5879" width="16.5703125" customWidth="1"/>
    <col min="5880" max="5880" width="19.140625" customWidth="1"/>
    <col min="5881" max="5881" width="16.5703125" customWidth="1"/>
    <col min="5882" max="5882" width="19.140625" customWidth="1"/>
    <col min="5883" max="5883" width="13.42578125" customWidth="1"/>
    <col min="5884" max="5884" width="11.85546875" customWidth="1"/>
    <col min="5885" max="5885" width="18.85546875" customWidth="1"/>
    <col min="5886" max="5887" width="18.5703125" customWidth="1"/>
    <col min="5888" max="5888" width="12.140625" customWidth="1"/>
    <col min="5889" max="5889" width="16.28515625" customWidth="1"/>
    <col min="5890" max="5891" width="16" customWidth="1"/>
    <col min="5892" max="5892" width="13.140625" customWidth="1"/>
    <col min="5893" max="5893" width="15.140625" customWidth="1"/>
    <col min="5894" max="5894" width="17.7109375" customWidth="1"/>
    <col min="5895" max="5895" width="5.7109375" customWidth="1"/>
    <col min="5896" max="5896" width="14.7109375" customWidth="1"/>
    <col min="5897" max="5897" width="40.5703125" customWidth="1"/>
    <col min="5898" max="5898" width="20.5703125" customWidth="1"/>
    <col min="5899" max="5899" width="59.7109375" customWidth="1"/>
    <col min="5900" max="5901" width="21.85546875" customWidth="1"/>
    <col min="6127" max="6128" width="3.85546875" customWidth="1"/>
    <col min="6129" max="6129" width="64.7109375" customWidth="1"/>
    <col min="6130" max="6130" width="8.5703125" customWidth="1"/>
    <col min="6131" max="6134" width="18.5703125" customWidth="1"/>
    <col min="6135" max="6135" width="16.5703125" customWidth="1"/>
    <col min="6136" max="6136" width="19.140625" customWidth="1"/>
    <col min="6137" max="6137" width="16.5703125" customWidth="1"/>
    <col min="6138" max="6138" width="19.140625" customWidth="1"/>
    <col min="6139" max="6139" width="13.42578125" customWidth="1"/>
    <col min="6140" max="6140" width="11.85546875" customWidth="1"/>
    <col min="6141" max="6141" width="18.85546875" customWidth="1"/>
    <col min="6142" max="6143" width="18.5703125" customWidth="1"/>
    <col min="6144" max="6144" width="12.140625" customWidth="1"/>
    <col min="6145" max="6145" width="16.28515625" customWidth="1"/>
    <col min="6146" max="6147" width="16" customWidth="1"/>
    <col min="6148" max="6148" width="13.140625" customWidth="1"/>
    <col min="6149" max="6149" width="15.140625" customWidth="1"/>
    <col min="6150" max="6150" width="17.7109375" customWidth="1"/>
    <col min="6151" max="6151" width="5.7109375" customWidth="1"/>
    <col min="6152" max="6152" width="14.7109375" customWidth="1"/>
    <col min="6153" max="6153" width="40.5703125" customWidth="1"/>
    <col min="6154" max="6154" width="20.5703125" customWidth="1"/>
    <col min="6155" max="6155" width="59.7109375" customWidth="1"/>
    <col min="6156" max="6157" width="21.85546875" customWidth="1"/>
    <col min="6383" max="6384" width="3.85546875" customWidth="1"/>
    <col min="6385" max="6385" width="64.7109375" customWidth="1"/>
    <col min="6386" max="6386" width="8.5703125" customWidth="1"/>
    <col min="6387" max="6390" width="18.5703125" customWidth="1"/>
    <col min="6391" max="6391" width="16.5703125" customWidth="1"/>
    <col min="6392" max="6392" width="19.140625" customWidth="1"/>
    <col min="6393" max="6393" width="16.5703125" customWidth="1"/>
    <col min="6394" max="6394" width="19.140625" customWidth="1"/>
    <col min="6395" max="6395" width="13.42578125" customWidth="1"/>
    <col min="6396" max="6396" width="11.85546875" customWidth="1"/>
    <col min="6397" max="6397" width="18.85546875" customWidth="1"/>
    <col min="6398" max="6399" width="18.5703125" customWidth="1"/>
    <col min="6400" max="6400" width="12.140625" customWidth="1"/>
    <col min="6401" max="6401" width="16.28515625" customWidth="1"/>
    <col min="6402" max="6403" width="16" customWidth="1"/>
    <col min="6404" max="6404" width="13.140625" customWidth="1"/>
    <col min="6405" max="6405" width="15.140625" customWidth="1"/>
    <col min="6406" max="6406" width="17.7109375" customWidth="1"/>
    <col min="6407" max="6407" width="5.7109375" customWidth="1"/>
    <col min="6408" max="6408" width="14.7109375" customWidth="1"/>
    <col min="6409" max="6409" width="40.5703125" customWidth="1"/>
    <col min="6410" max="6410" width="20.5703125" customWidth="1"/>
    <col min="6411" max="6411" width="59.7109375" customWidth="1"/>
    <col min="6412" max="6413" width="21.85546875" customWidth="1"/>
    <col min="6639" max="6640" width="3.85546875" customWidth="1"/>
    <col min="6641" max="6641" width="64.7109375" customWidth="1"/>
    <col min="6642" max="6642" width="8.5703125" customWidth="1"/>
    <col min="6643" max="6646" width="18.5703125" customWidth="1"/>
    <col min="6647" max="6647" width="16.5703125" customWidth="1"/>
    <col min="6648" max="6648" width="19.140625" customWidth="1"/>
    <col min="6649" max="6649" width="16.5703125" customWidth="1"/>
    <col min="6650" max="6650" width="19.140625" customWidth="1"/>
    <col min="6651" max="6651" width="13.42578125" customWidth="1"/>
    <col min="6652" max="6652" width="11.85546875" customWidth="1"/>
    <col min="6653" max="6653" width="18.85546875" customWidth="1"/>
    <col min="6654" max="6655" width="18.5703125" customWidth="1"/>
    <col min="6656" max="6656" width="12.140625" customWidth="1"/>
    <col min="6657" max="6657" width="16.28515625" customWidth="1"/>
    <col min="6658" max="6659" width="16" customWidth="1"/>
    <col min="6660" max="6660" width="13.140625" customWidth="1"/>
    <col min="6661" max="6661" width="15.140625" customWidth="1"/>
    <col min="6662" max="6662" width="17.7109375" customWidth="1"/>
    <col min="6663" max="6663" width="5.7109375" customWidth="1"/>
    <col min="6664" max="6664" width="14.7109375" customWidth="1"/>
    <col min="6665" max="6665" width="40.5703125" customWidth="1"/>
    <col min="6666" max="6666" width="20.5703125" customWidth="1"/>
    <col min="6667" max="6667" width="59.7109375" customWidth="1"/>
    <col min="6668" max="6669" width="21.85546875" customWidth="1"/>
    <col min="6895" max="6896" width="3.85546875" customWidth="1"/>
    <col min="6897" max="6897" width="64.7109375" customWidth="1"/>
    <col min="6898" max="6898" width="8.5703125" customWidth="1"/>
    <col min="6899" max="6902" width="18.5703125" customWidth="1"/>
    <col min="6903" max="6903" width="16.5703125" customWidth="1"/>
    <col min="6904" max="6904" width="19.140625" customWidth="1"/>
    <col min="6905" max="6905" width="16.5703125" customWidth="1"/>
    <col min="6906" max="6906" width="19.140625" customWidth="1"/>
    <col min="6907" max="6907" width="13.42578125" customWidth="1"/>
    <col min="6908" max="6908" width="11.85546875" customWidth="1"/>
    <col min="6909" max="6909" width="18.85546875" customWidth="1"/>
    <col min="6910" max="6911" width="18.5703125" customWidth="1"/>
    <col min="6912" max="6912" width="12.140625" customWidth="1"/>
    <col min="6913" max="6913" width="16.28515625" customWidth="1"/>
    <col min="6914" max="6915" width="16" customWidth="1"/>
    <col min="6916" max="6916" width="13.140625" customWidth="1"/>
    <col min="6917" max="6917" width="15.140625" customWidth="1"/>
    <col min="6918" max="6918" width="17.7109375" customWidth="1"/>
    <col min="6919" max="6919" width="5.7109375" customWidth="1"/>
    <col min="6920" max="6920" width="14.7109375" customWidth="1"/>
    <col min="6921" max="6921" width="40.5703125" customWidth="1"/>
    <col min="6922" max="6922" width="20.5703125" customWidth="1"/>
    <col min="6923" max="6923" width="59.7109375" customWidth="1"/>
    <col min="6924" max="6925" width="21.85546875" customWidth="1"/>
    <col min="7151" max="7152" width="3.85546875" customWidth="1"/>
    <col min="7153" max="7153" width="64.7109375" customWidth="1"/>
    <col min="7154" max="7154" width="8.5703125" customWidth="1"/>
    <col min="7155" max="7158" width="18.5703125" customWidth="1"/>
    <col min="7159" max="7159" width="16.5703125" customWidth="1"/>
    <col min="7160" max="7160" width="19.140625" customWidth="1"/>
    <col min="7161" max="7161" width="16.5703125" customWidth="1"/>
    <col min="7162" max="7162" width="19.140625" customWidth="1"/>
    <col min="7163" max="7163" width="13.42578125" customWidth="1"/>
    <col min="7164" max="7164" width="11.85546875" customWidth="1"/>
    <col min="7165" max="7165" width="18.85546875" customWidth="1"/>
    <col min="7166" max="7167" width="18.5703125" customWidth="1"/>
    <col min="7168" max="7168" width="12.140625" customWidth="1"/>
    <col min="7169" max="7169" width="16.28515625" customWidth="1"/>
    <col min="7170" max="7171" width="16" customWidth="1"/>
    <col min="7172" max="7172" width="13.140625" customWidth="1"/>
    <col min="7173" max="7173" width="15.140625" customWidth="1"/>
    <col min="7174" max="7174" width="17.7109375" customWidth="1"/>
    <col min="7175" max="7175" width="5.7109375" customWidth="1"/>
    <col min="7176" max="7176" width="14.7109375" customWidth="1"/>
    <col min="7177" max="7177" width="40.5703125" customWidth="1"/>
    <col min="7178" max="7178" width="20.5703125" customWidth="1"/>
    <col min="7179" max="7179" width="59.7109375" customWidth="1"/>
    <col min="7180" max="7181" width="21.85546875" customWidth="1"/>
    <col min="7407" max="7408" width="3.85546875" customWidth="1"/>
    <col min="7409" max="7409" width="64.7109375" customWidth="1"/>
    <col min="7410" max="7410" width="8.5703125" customWidth="1"/>
    <col min="7411" max="7414" width="18.5703125" customWidth="1"/>
    <col min="7415" max="7415" width="16.5703125" customWidth="1"/>
    <col min="7416" max="7416" width="19.140625" customWidth="1"/>
    <col min="7417" max="7417" width="16.5703125" customWidth="1"/>
    <col min="7418" max="7418" width="19.140625" customWidth="1"/>
    <col min="7419" max="7419" width="13.42578125" customWidth="1"/>
    <col min="7420" max="7420" width="11.85546875" customWidth="1"/>
    <col min="7421" max="7421" width="18.85546875" customWidth="1"/>
    <col min="7422" max="7423" width="18.5703125" customWidth="1"/>
    <col min="7424" max="7424" width="12.140625" customWidth="1"/>
    <col min="7425" max="7425" width="16.28515625" customWidth="1"/>
    <col min="7426" max="7427" width="16" customWidth="1"/>
    <col min="7428" max="7428" width="13.140625" customWidth="1"/>
    <col min="7429" max="7429" width="15.140625" customWidth="1"/>
    <col min="7430" max="7430" width="17.7109375" customWidth="1"/>
    <col min="7431" max="7431" width="5.7109375" customWidth="1"/>
    <col min="7432" max="7432" width="14.7109375" customWidth="1"/>
    <col min="7433" max="7433" width="40.5703125" customWidth="1"/>
    <col min="7434" max="7434" width="20.5703125" customWidth="1"/>
    <col min="7435" max="7435" width="59.7109375" customWidth="1"/>
    <col min="7436" max="7437" width="21.85546875" customWidth="1"/>
    <col min="7663" max="7664" width="3.85546875" customWidth="1"/>
    <col min="7665" max="7665" width="64.7109375" customWidth="1"/>
    <col min="7666" max="7666" width="8.5703125" customWidth="1"/>
    <col min="7667" max="7670" width="18.5703125" customWidth="1"/>
    <col min="7671" max="7671" width="16.5703125" customWidth="1"/>
    <col min="7672" max="7672" width="19.140625" customWidth="1"/>
    <col min="7673" max="7673" width="16.5703125" customWidth="1"/>
    <col min="7674" max="7674" width="19.140625" customWidth="1"/>
    <col min="7675" max="7675" width="13.42578125" customWidth="1"/>
    <col min="7676" max="7676" width="11.85546875" customWidth="1"/>
    <col min="7677" max="7677" width="18.85546875" customWidth="1"/>
    <col min="7678" max="7679" width="18.5703125" customWidth="1"/>
    <col min="7680" max="7680" width="12.140625" customWidth="1"/>
    <col min="7681" max="7681" width="16.28515625" customWidth="1"/>
    <col min="7682" max="7683" width="16" customWidth="1"/>
    <col min="7684" max="7684" width="13.140625" customWidth="1"/>
    <col min="7685" max="7685" width="15.140625" customWidth="1"/>
    <col min="7686" max="7686" width="17.7109375" customWidth="1"/>
    <col min="7687" max="7687" width="5.7109375" customWidth="1"/>
    <col min="7688" max="7688" width="14.7109375" customWidth="1"/>
    <col min="7689" max="7689" width="40.5703125" customWidth="1"/>
    <col min="7690" max="7690" width="20.5703125" customWidth="1"/>
    <col min="7691" max="7691" width="59.7109375" customWidth="1"/>
    <col min="7692" max="7693" width="21.85546875" customWidth="1"/>
    <col min="7919" max="7920" width="3.85546875" customWidth="1"/>
    <col min="7921" max="7921" width="64.7109375" customWidth="1"/>
    <col min="7922" max="7922" width="8.5703125" customWidth="1"/>
    <col min="7923" max="7926" width="18.5703125" customWidth="1"/>
    <col min="7927" max="7927" width="16.5703125" customWidth="1"/>
    <col min="7928" max="7928" width="19.140625" customWidth="1"/>
    <col min="7929" max="7929" width="16.5703125" customWidth="1"/>
    <col min="7930" max="7930" width="19.140625" customWidth="1"/>
    <col min="7931" max="7931" width="13.42578125" customWidth="1"/>
    <col min="7932" max="7932" width="11.85546875" customWidth="1"/>
    <col min="7933" max="7933" width="18.85546875" customWidth="1"/>
    <col min="7934" max="7935" width="18.5703125" customWidth="1"/>
    <col min="7936" max="7936" width="12.140625" customWidth="1"/>
    <col min="7937" max="7937" width="16.28515625" customWidth="1"/>
    <col min="7938" max="7939" width="16" customWidth="1"/>
    <col min="7940" max="7940" width="13.140625" customWidth="1"/>
    <col min="7941" max="7941" width="15.140625" customWidth="1"/>
    <col min="7942" max="7942" width="17.7109375" customWidth="1"/>
    <col min="7943" max="7943" width="5.7109375" customWidth="1"/>
    <col min="7944" max="7944" width="14.7109375" customWidth="1"/>
    <col min="7945" max="7945" width="40.5703125" customWidth="1"/>
    <col min="7946" max="7946" width="20.5703125" customWidth="1"/>
    <col min="7947" max="7947" width="59.7109375" customWidth="1"/>
    <col min="7948" max="7949" width="21.85546875" customWidth="1"/>
    <col min="8175" max="8176" width="3.85546875" customWidth="1"/>
    <col min="8177" max="8177" width="64.7109375" customWidth="1"/>
    <col min="8178" max="8178" width="8.5703125" customWidth="1"/>
    <col min="8179" max="8182" width="18.5703125" customWidth="1"/>
    <col min="8183" max="8183" width="16.5703125" customWidth="1"/>
    <col min="8184" max="8184" width="19.140625" customWidth="1"/>
    <col min="8185" max="8185" width="16.5703125" customWidth="1"/>
    <col min="8186" max="8186" width="19.140625" customWidth="1"/>
    <col min="8187" max="8187" width="13.42578125" customWidth="1"/>
    <col min="8188" max="8188" width="11.85546875" customWidth="1"/>
    <col min="8189" max="8189" width="18.85546875" customWidth="1"/>
    <col min="8190" max="8191" width="18.5703125" customWidth="1"/>
    <col min="8192" max="8192" width="12.140625" customWidth="1"/>
    <col min="8193" max="8193" width="16.28515625" customWidth="1"/>
    <col min="8194" max="8195" width="16" customWidth="1"/>
    <col min="8196" max="8196" width="13.140625" customWidth="1"/>
    <col min="8197" max="8197" width="15.140625" customWidth="1"/>
    <col min="8198" max="8198" width="17.7109375" customWidth="1"/>
    <col min="8199" max="8199" width="5.7109375" customWidth="1"/>
    <col min="8200" max="8200" width="14.7109375" customWidth="1"/>
    <col min="8201" max="8201" width="40.5703125" customWidth="1"/>
    <col min="8202" max="8202" width="20.5703125" customWidth="1"/>
    <col min="8203" max="8203" width="59.7109375" customWidth="1"/>
    <col min="8204" max="8205" width="21.85546875" customWidth="1"/>
    <col min="8431" max="8432" width="3.85546875" customWidth="1"/>
    <col min="8433" max="8433" width="64.7109375" customWidth="1"/>
    <col min="8434" max="8434" width="8.5703125" customWidth="1"/>
    <col min="8435" max="8438" width="18.5703125" customWidth="1"/>
    <col min="8439" max="8439" width="16.5703125" customWidth="1"/>
    <col min="8440" max="8440" width="19.140625" customWidth="1"/>
    <col min="8441" max="8441" width="16.5703125" customWidth="1"/>
    <col min="8442" max="8442" width="19.140625" customWidth="1"/>
    <col min="8443" max="8443" width="13.42578125" customWidth="1"/>
    <col min="8444" max="8444" width="11.85546875" customWidth="1"/>
    <col min="8445" max="8445" width="18.85546875" customWidth="1"/>
    <col min="8446" max="8447" width="18.5703125" customWidth="1"/>
    <col min="8448" max="8448" width="12.140625" customWidth="1"/>
    <col min="8449" max="8449" width="16.28515625" customWidth="1"/>
    <col min="8450" max="8451" width="16" customWidth="1"/>
    <col min="8452" max="8452" width="13.140625" customWidth="1"/>
    <col min="8453" max="8453" width="15.140625" customWidth="1"/>
    <col min="8454" max="8454" width="17.7109375" customWidth="1"/>
    <col min="8455" max="8455" width="5.7109375" customWidth="1"/>
    <col min="8456" max="8456" width="14.7109375" customWidth="1"/>
    <col min="8457" max="8457" width="40.5703125" customWidth="1"/>
    <col min="8458" max="8458" width="20.5703125" customWidth="1"/>
    <col min="8459" max="8459" width="59.7109375" customWidth="1"/>
    <col min="8460" max="8461" width="21.85546875" customWidth="1"/>
    <col min="8687" max="8688" width="3.85546875" customWidth="1"/>
    <col min="8689" max="8689" width="64.7109375" customWidth="1"/>
    <col min="8690" max="8690" width="8.5703125" customWidth="1"/>
    <col min="8691" max="8694" width="18.5703125" customWidth="1"/>
    <col min="8695" max="8695" width="16.5703125" customWidth="1"/>
    <col min="8696" max="8696" width="19.140625" customWidth="1"/>
    <col min="8697" max="8697" width="16.5703125" customWidth="1"/>
    <col min="8698" max="8698" width="19.140625" customWidth="1"/>
    <col min="8699" max="8699" width="13.42578125" customWidth="1"/>
    <col min="8700" max="8700" width="11.85546875" customWidth="1"/>
    <col min="8701" max="8701" width="18.85546875" customWidth="1"/>
    <col min="8702" max="8703" width="18.5703125" customWidth="1"/>
    <col min="8704" max="8704" width="12.140625" customWidth="1"/>
    <col min="8705" max="8705" width="16.28515625" customWidth="1"/>
    <col min="8706" max="8707" width="16" customWidth="1"/>
    <col min="8708" max="8708" width="13.140625" customWidth="1"/>
    <col min="8709" max="8709" width="15.140625" customWidth="1"/>
    <col min="8710" max="8710" width="17.7109375" customWidth="1"/>
    <col min="8711" max="8711" width="5.7109375" customWidth="1"/>
    <col min="8712" max="8712" width="14.7109375" customWidth="1"/>
    <col min="8713" max="8713" width="40.5703125" customWidth="1"/>
    <col min="8714" max="8714" width="20.5703125" customWidth="1"/>
    <col min="8715" max="8715" width="59.7109375" customWidth="1"/>
    <col min="8716" max="8717" width="21.85546875" customWidth="1"/>
    <col min="8943" max="8944" width="3.85546875" customWidth="1"/>
    <col min="8945" max="8945" width="64.7109375" customWidth="1"/>
    <col min="8946" max="8946" width="8.5703125" customWidth="1"/>
    <col min="8947" max="8950" width="18.5703125" customWidth="1"/>
    <col min="8951" max="8951" width="16.5703125" customWidth="1"/>
    <col min="8952" max="8952" width="19.140625" customWidth="1"/>
    <col min="8953" max="8953" width="16.5703125" customWidth="1"/>
    <col min="8954" max="8954" width="19.140625" customWidth="1"/>
    <col min="8955" max="8955" width="13.42578125" customWidth="1"/>
    <col min="8956" max="8956" width="11.85546875" customWidth="1"/>
    <col min="8957" max="8957" width="18.85546875" customWidth="1"/>
    <col min="8958" max="8959" width="18.5703125" customWidth="1"/>
    <col min="8960" max="8960" width="12.140625" customWidth="1"/>
    <col min="8961" max="8961" width="16.28515625" customWidth="1"/>
    <col min="8962" max="8963" width="16" customWidth="1"/>
    <col min="8964" max="8964" width="13.140625" customWidth="1"/>
    <col min="8965" max="8965" width="15.140625" customWidth="1"/>
    <col min="8966" max="8966" width="17.7109375" customWidth="1"/>
    <col min="8967" max="8967" width="5.7109375" customWidth="1"/>
    <col min="8968" max="8968" width="14.7109375" customWidth="1"/>
    <col min="8969" max="8969" width="40.5703125" customWidth="1"/>
    <col min="8970" max="8970" width="20.5703125" customWidth="1"/>
    <col min="8971" max="8971" width="59.7109375" customWidth="1"/>
    <col min="8972" max="8973" width="21.85546875" customWidth="1"/>
    <col min="9199" max="9200" width="3.85546875" customWidth="1"/>
    <col min="9201" max="9201" width="64.7109375" customWidth="1"/>
    <col min="9202" max="9202" width="8.5703125" customWidth="1"/>
    <col min="9203" max="9206" width="18.5703125" customWidth="1"/>
    <col min="9207" max="9207" width="16.5703125" customWidth="1"/>
    <col min="9208" max="9208" width="19.140625" customWidth="1"/>
    <col min="9209" max="9209" width="16.5703125" customWidth="1"/>
    <col min="9210" max="9210" width="19.140625" customWidth="1"/>
    <col min="9211" max="9211" width="13.42578125" customWidth="1"/>
    <col min="9212" max="9212" width="11.85546875" customWidth="1"/>
    <col min="9213" max="9213" width="18.85546875" customWidth="1"/>
    <col min="9214" max="9215" width="18.5703125" customWidth="1"/>
    <col min="9216" max="9216" width="12.140625" customWidth="1"/>
    <col min="9217" max="9217" width="16.28515625" customWidth="1"/>
    <col min="9218" max="9219" width="16" customWidth="1"/>
    <col min="9220" max="9220" width="13.140625" customWidth="1"/>
    <col min="9221" max="9221" width="15.140625" customWidth="1"/>
    <col min="9222" max="9222" width="17.7109375" customWidth="1"/>
    <col min="9223" max="9223" width="5.7109375" customWidth="1"/>
    <col min="9224" max="9224" width="14.7109375" customWidth="1"/>
    <col min="9225" max="9225" width="40.5703125" customWidth="1"/>
    <col min="9226" max="9226" width="20.5703125" customWidth="1"/>
    <col min="9227" max="9227" width="59.7109375" customWidth="1"/>
    <col min="9228" max="9229" width="21.85546875" customWidth="1"/>
    <col min="9455" max="9456" width="3.85546875" customWidth="1"/>
    <col min="9457" max="9457" width="64.7109375" customWidth="1"/>
    <col min="9458" max="9458" width="8.5703125" customWidth="1"/>
    <col min="9459" max="9462" width="18.5703125" customWidth="1"/>
    <col min="9463" max="9463" width="16.5703125" customWidth="1"/>
    <col min="9464" max="9464" width="19.140625" customWidth="1"/>
    <col min="9465" max="9465" width="16.5703125" customWidth="1"/>
    <col min="9466" max="9466" width="19.140625" customWidth="1"/>
    <col min="9467" max="9467" width="13.42578125" customWidth="1"/>
    <col min="9468" max="9468" width="11.85546875" customWidth="1"/>
    <col min="9469" max="9469" width="18.85546875" customWidth="1"/>
    <col min="9470" max="9471" width="18.5703125" customWidth="1"/>
    <col min="9472" max="9472" width="12.140625" customWidth="1"/>
    <col min="9473" max="9473" width="16.28515625" customWidth="1"/>
    <col min="9474" max="9475" width="16" customWidth="1"/>
    <col min="9476" max="9476" width="13.140625" customWidth="1"/>
    <col min="9477" max="9477" width="15.140625" customWidth="1"/>
    <col min="9478" max="9478" width="17.7109375" customWidth="1"/>
    <col min="9479" max="9479" width="5.7109375" customWidth="1"/>
    <col min="9480" max="9480" width="14.7109375" customWidth="1"/>
    <col min="9481" max="9481" width="40.5703125" customWidth="1"/>
    <col min="9482" max="9482" width="20.5703125" customWidth="1"/>
    <col min="9483" max="9483" width="59.7109375" customWidth="1"/>
    <col min="9484" max="9485" width="21.85546875" customWidth="1"/>
    <col min="9711" max="9712" width="3.85546875" customWidth="1"/>
    <col min="9713" max="9713" width="64.7109375" customWidth="1"/>
    <col min="9714" max="9714" width="8.5703125" customWidth="1"/>
    <col min="9715" max="9718" width="18.5703125" customWidth="1"/>
    <col min="9719" max="9719" width="16.5703125" customWidth="1"/>
    <col min="9720" max="9720" width="19.140625" customWidth="1"/>
    <col min="9721" max="9721" width="16.5703125" customWidth="1"/>
    <col min="9722" max="9722" width="19.140625" customWidth="1"/>
    <col min="9723" max="9723" width="13.42578125" customWidth="1"/>
    <col min="9724" max="9724" width="11.85546875" customWidth="1"/>
    <col min="9725" max="9725" width="18.85546875" customWidth="1"/>
    <col min="9726" max="9727" width="18.5703125" customWidth="1"/>
    <col min="9728" max="9728" width="12.140625" customWidth="1"/>
    <col min="9729" max="9729" width="16.28515625" customWidth="1"/>
    <col min="9730" max="9731" width="16" customWidth="1"/>
    <col min="9732" max="9732" width="13.140625" customWidth="1"/>
    <col min="9733" max="9733" width="15.140625" customWidth="1"/>
    <col min="9734" max="9734" width="17.7109375" customWidth="1"/>
    <col min="9735" max="9735" width="5.7109375" customWidth="1"/>
    <col min="9736" max="9736" width="14.7109375" customWidth="1"/>
    <col min="9737" max="9737" width="40.5703125" customWidth="1"/>
    <col min="9738" max="9738" width="20.5703125" customWidth="1"/>
    <col min="9739" max="9739" width="59.7109375" customWidth="1"/>
    <col min="9740" max="9741" width="21.85546875" customWidth="1"/>
    <col min="9967" max="9968" width="3.85546875" customWidth="1"/>
    <col min="9969" max="9969" width="64.7109375" customWidth="1"/>
    <col min="9970" max="9970" width="8.5703125" customWidth="1"/>
    <col min="9971" max="9974" width="18.5703125" customWidth="1"/>
    <col min="9975" max="9975" width="16.5703125" customWidth="1"/>
    <col min="9976" max="9976" width="19.140625" customWidth="1"/>
    <col min="9977" max="9977" width="16.5703125" customWidth="1"/>
    <col min="9978" max="9978" width="19.140625" customWidth="1"/>
    <col min="9979" max="9979" width="13.42578125" customWidth="1"/>
    <col min="9980" max="9980" width="11.85546875" customWidth="1"/>
    <col min="9981" max="9981" width="18.85546875" customWidth="1"/>
    <col min="9982" max="9983" width="18.5703125" customWidth="1"/>
    <col min="9984" max="9984" width="12.140625" customWidth="1"/>
    <col min="9985" max="9985" width="16.28515625" customWidth="1"/>
    <col min="9986" max="9987" width="16" customWidth="1"/>
    <col min="9988" max="9988" width="13.140625" customWidth="1"/>
    <col min="9989" max="9989" width="15.140625" customWidth="1"/>
    <col min="9990" max="9990" width="17.7109375" customWidth="1"/>
    <col min="9991" max="9991" width="5.7109375" customWidth="1"/>
    <col min="9992" max="9992" width="14.7109375" customWidth="1"/>
    <col min="9993" max="9993" width="40.5703125" customWidth="1"/>
    <col min="9994" max="9994" width="20.5703125" customWidth="1"/>
    <col min="9995" max="9995" width="59.7109375" customWidth="1"/>
    <col min="9996" max="9997" width="21.85546875" customWidth="1"/>
    <col min="10223" max="10224" width="3.85546875" customWidth="1"/>
    <col min="10225" max="10225" width="64.7109375" customWidth="1"/>
    <col min="10226" max="10226" width="8.5703125" customWidth="1"/>
    <col min="10227" max="10230" width="18.5703125" customWidth="1"/>
    <col min="10231" max="10231" width="16.5703125" customWidth="1"/>
    <col min="10232" max="10232" width="19.140625" customWidth="1"/>
    <col min="10233" max="10233" width="16.5703125" customWidth="1"/>
    <col min="10234" max="10234" width="19.140625" customWidth="1"/>
    <col min="10235" max="10235" width="13.42578125" customWidth="1"/>
    <col min="10236" max="10236" width="11.85546875" customWidth="1"/>
    <col min="10237" max="10237" width="18.85546875" customWidth="1"/>
    <col min="10238" max="10239" width="18.5703125" customWidth="1"/>
    <col min="10240" max="10240" width="12.140625" customWidth="1"/>
    <col min="10241" max="10241" width="16.28515625" customWidth="1"/>
    <col min="10242" max="10243" width="16" customWidth="1"/>
    <col min="10244" max="10244" width="13.140625" customWidth="1"/>
    <col min="10245" max="10245" width="15.140625" customWidth="1"/>
    <col min="10246" max="10246" width="17.7109375" customWidth="1"/>
    <col min="10247" max="10247" width="5.7109375" customWidth="1"/>
    <col min="10248" max="10248" width="14.7109375" customWidth="1"/>
    <col min="10249" max="10249" width="40.5703125" customWidth="1"/>
    <col min="10250" max="10250" width="20.5703125" customWidth="1"/>
    <col min="10251" max="10251" width="59.7109375" customWidth="1"/>
    <col min="10252" max="10253" width="21.85546875" customWidth="1"/>
    <col min="10479" max="10480" width="3.85546875" customWidth="1"/>
    <col min="10481" max="10481" width="64.7109375" customWidth="1"/>
    <col min="10482" max="10482" width="8.5703125" customWidth="1"/>
    <col min="10483" max="10486" width="18.5703125" customWidth="1"/>
    <col min="10487" max="10487" width="16.5703125" customWidth="1"/>
    <col min="10488" max="10488" width="19.140625" customWidth="1"/>
    <col min="10489" max="10489" width="16.5703125" customWidth="1"/>
    <col min="10490" max="10490" width="19.140625" customWidth="1"/>
    <col min="10491" max="10491" width="13.42578125" customWidth="1"/>
    <col min="10492" max="10492" width="11.85546875" customWidth="1"/>
    <col min="10493" max="10493" width="18.85546875" customWidth="1"/>
    <col min="10494" max="10495" width="18.5703125" customWidth="1"/>
    <col min="10496" max="10496" width="12.140625" customWidth="1"/>
    <col min="10497" max="10497" width="16.28515625" customWidth="1"/>
    <col min="10498" max="10499" width="16" customWidth="1"/>
    <col min="10500" max="10500" width="13.140625" customWidth="1"/>
    <col min="10501" max="10501" width="15.140625" customWidth="1"/>
    <col min="10502" max="10502" width="17.7109375" customWidth="1"/>
    <col min="10503" max="10503" width="5.7109375" customWidth="1"/>
    <col min="10504" max="10504" width="14.7109375" customWidth="1"/>
    <col min="10505" max="10505" width="40.5703125" customWidth="1"/>
    <col min="10506" max="10506" width="20.5703125" customWidth="1"/>
    <col min="10507" max="10507" width="59.7109375" customWidth="1"/>
    <col min="10508" max="10509" width="21.85546875" customWidth="1"/>
    <col min="10735" max="10736" width="3.85546875" customWidth="1"/>
    <col min="10737" max="10737" width="64.7109375" customWidth="1"/>
    <col min="10738" max="10738" width="8.5703125" customWidth="1"/>
    <col min="10739" max="10742" width="18.5703125" customWidth="1"/>
    <col min="10743" max="10743" width="16.5703125" customWidth="1"/>
    <col min="10744" max="10744" width="19.140625" customWidth="1"/>
    <col min="10745" max="10745" width="16.5703125" customWidth="1"/>
    <col min="10746" max="10746" width="19.140625" customWidth="1"/>
    <col min="10747" max="10747" width="13.42578125" customWidth="1"/>
    <col min="10748" max="10748" width="11.85546875" customWidth="1"/>
    <col min="10749" max="10749" width="18.85546875" customWidth="1"/>
    <col min="10750" max="10751" width="18.5703125" customWidth="1"/>
    <col min="10752" max="10752" width="12.140625" customWidth="1"/>
    <col min="10753" max="10753" width="16.28515625" customWidth="1"/>
    <col min="10754" max="10755" width="16" customWidth="1"/>
    <col min="10756" max="10756" width="13.140625" customWidth="1"/>
    <col min="10757" max="10757" width="15.140625" customWidth="1"/>
    <col min="10758" max="10758" width="17.7109375" customWidth="1"/>
    <col min="10759" max="10759" width="5.7109375" customWidth="1"/>
    <col min="10760" max="10760" width="14.7109375" customWidth="1"/>
    <col min="10761" max="10761" width="40.5703125" customWidth="1"/>
    <col min="10762" max="10762" width="20.5703125" customWidth="1"/>
    <col min="10763" max="10763" width="59.7109375" customWidth="1"/>
    <col min="10764" max="10765" width="21.85546875" customWidth="1"/>
    <col min="10991" max="10992" width="3.85546875" customWidth="1"/>
    <col min="10993" max="10993" width="64.7109375" customWidth="1"/>
    <col min="10994" max="10994" width="8.5703125" customWidth="1"/>
    <col min="10995" max="10998" width="18.5703125" customWidth="1"/>
    <col min="10999" max="10999" width="16.5703125" customWidth="1"/>
    <col min="11000" max="11000" width="19.140625" customWidth="1"/>
    <col min="11001" max="11001" width="16.5703125" customWidth="1"/>
    <col min="11002" max="11002" width="19.140625" customWidth="1"/>
    <col min="11003" max="11003" width="13.42578125" customWidth="1"/>
    <col min="11004" max="11004" width="11.85546875" customWidth="1"/>
    <col min="11005" max="11005" width="18.85546875" customWidth="1"/>
    <col min="11006" max="11007" width="18.5703125" customWidth="1"/>
    <col min="11008" max="11008" width="12.140625" customWidth="1"/>
    <col min="11009" max="11009" width="16.28515625" customWidth="1"/>
    <col min="11010" max="11011" width="16" customWidth="1"/>
    <col min="11012" max="11012" width="13.140625" customWidth="1"/>
    <col min="11013" max="11013" width="15.140625" customWidth="1"/>
    <col min="11014" max="11014" width="17.7109375" customWidth="1"/>
    <col min="11015" max="11015" width="5.7109375" customWidth="1"/>
    <col min="11016" max="11016" width="14.7109375" customWidth="1"/>
    <col min="11017" max="11017" width="40.5703125" customWidth="1"/>
    <col min="11018" max="11018" width="20.5703125" customWidth="1"/>
    <col min="11019" max="11019" width="59.7109375" customWidth="1"/>
    <col min="11020" max="11021" width="21.85546875" customWidth="1"/>
    <col min="11247" max="11248" width="3.85546875" customWidth="1"/>
    <col min="11249" max="11249" width="64.7109375" customWidth="1"/>
    <col min="11250" max="11250" width="8.5703125" customWidth="1"/>
    <col min="11251" max="11254" width="18.5703125" customWidth="1"/>
    <col min="11255" max="11255" width="16.5703125" customWidth="1"/>
    <col min="11256" max="11256" width="19.140625" customWidth="1"/>
    <col min="11257" max="11257" width="16.5703125" customWidth="1"/>
    <col min="11258" max="11258" width="19.140625" customWidth="1"/>
    <col min="11259" max="11259" width="13.42578125" customWidth="1"/>
    <col min="11260" max="11260" width="11.85546875" customWidth="1"/>
    <col min="11261" max="11261" width="18.85546875" customWidth="1"/>
    <col min="11262" max="11263" width="18.5703125" customWidth="1"/>
    <col min="11264" max="11264" width="12.140625" customWidth="1"/>
    <col min="11265" max="11265" width="16.28515625" customWidth="1"/>
    <col min="11266" max="11267" width="16" customWidth="1"/>
    <col min="11268" max="11268" width="13.140625" customWidth="1"/>
    <col min="11269" max="11269" width="15.140625" customWidth="1"/>
    <col min="11270" max="11270" width="17.7109375" customWidth="1"/>
    <col min="11271" max="11271" width="5.7109375" customWidth="1"/>
    <col min="11272" max="11272" width="14.7109375" customWidth="1"/>
    <col min="11273" max="11273" width="40.5703125" customWidth="1"/>
    <col min="11274" max="11274" width="20.5703125" customWidth="1"/>
    <col min="11275" max="11275" width="59.7109375" customWidth="1"/>
    <col min="11276" max="11277" width="21.85546875" customWidth="1"/>
    <col min="11503" max="11504" width="3.85546875" customWidth="1"/>
    <col min="11505" max="11505" width="64.7109375" customWidth="1"/>
    <col min="11506" max="11506" width="8.5703125" customWidth="1"/>
    <col min="11507" max="11510" width="18.5703125" customWidth="1"/>
    <col min="11511" max="11511" width="16.5703125" customWidth="1"/>
    <col min="11512" max="11512" width="19.140625" customWidth="1"/>
    <col min="11513" max="11513" width="16.5703125" customWidth="1"/>
    <col min="11514" max="11514" width="19.140625" customWidth="1"/>
    <col min="11515" max="11515" width="13.42578125" customWidth="1"/>
    <col min="11516" max="11516" width="11.85546875" customWidth="1"/>
    <col min="11517" max="11517" width="18.85546875" customWidth="1"/>
    <col min="11518" max="11519" width="18.5703125" customWidth="1"/>
    <col min="11520" max="11520" width="12.140625" customWidth="1"/>
    <col min="11521" max="11521" width="16.28515625" customWidth="1"/>
    <col min="11522" max="11523" width="16" customWidth="1"/>
    <col min="11524" max="11524" width="13.140625" customWidth="1"/>
    <col min="11525" max="11525" width="15.140625" customWidth="1"/>
    <col min="11526" max="11526" width="17.7109375" customWidth="1"/>
    <col min="11527" max="11527" width="5.7109375" customWidth="1"/>
    <col min="11528" max="11528" width="14.7109375" customWidth="1"/>
    <col min="11529" max="11529" width="40.5703125" customWidth="1"/>
    <col min="11530" max="11530" width="20.5703125" customWidth="1"/>
    <col min="11531" max="11531" width="59.7109375" customWidth="1"/>
    <col min="11532" max="11533" width="21.85546875" customWidth="1"/>
    <col min="11759" max="11760" width="3.85546875" customWidth="1"/>
    <col min="11761" max="11761" width="64.7109375" customWidth="1"/>
    <col min="11762" max="11762" width="8.5703125" customWidth="1"/>
    <col min="11763" max="11766" width="18.5703125" customWidth="1"/>
    <col min="11767" max="11767" width="16.5703125" customWidth="1"/>
    <col min="11768" max="11768" width="19.140625" customWidth="1"/>
    <col min="11769" max="11769" width="16.5703125" customWidth="1"/>
    <col min="11770" max="11770" width="19.140625" customWidth="1"/>
    <col min="11771" max="11771" width="13.42578125" customWidth="1"/>
    <col min="11772" max="11772" width="11.85546875" customWidth="1"/>
    <col min="11773" max="11773" width="18.85546875" customWidth="1"/>
    <col min="11774" max="11775" width="18.5703125" customWidth="1"/>
    <col min="11776" max="11776" width="12.140625" customWidth="1"/>
    <col min="11777" max="11777" width="16.28515625" customWidth="1"/>
    <col min="11778" max="11779" width="16" customWidth="1"/>
    <col min="11780" max="11780" width="13.140625" customWidth="1"/>
    <col min="11781" max="11781" width="15.140625" customWidth="1"/>
    <col min="11782" max="11782" width="17.7109375" customWidth="1"/>
    <col min="11783" max="11783" width="5.7109375" customWidth="1"/>
    <col min="11784" max="11784" width="14.7109375" customWidth="1"/>
    <col min="11785" max="11785" width="40.5703125" customWidth="1"/>
    <col min="11786" max="11786" width="20.5703125" customWidth="1"/>
    <col min="11787" max="11787" width="59.7109375" customWidth="1"/>
    <col min="11788" max="11789" width="21.85546875" customWidth="1"/>
    <col min="12015" max="12016" width="3.85546875" customWidth="1"/>
    <col min="12017" max="12017" width="64.7109375" customWidth="1"/>
    <col min="12018" max="12018" width="8.5703125" customWidth="1"/>
    <col min="12019" max="12022" width="18.5703125" customWidth="1"/>
    <col min="12023" max="12023" width="16.5703125" customWidth="1"/>
    <col min="12024" max="12024" width="19.140625" customWidth="1"/>
    <col min="12025" max="12025" width="16.5703125" customWidth="1"/>
    <col min="12026" max="12026" width="19.140625" customWidth="1"/>
    <col min="12027" max="12027" width="13.42578125" customWidth="1"/>
    <col min="12028" max="12028" width="11.85546875" customWidth="1"/>
    <col min="12029" max="12029" width="18.85546875" customWidth="1"/>
    <col min="12030" max="12031" width="18.5703125" customWidth="1"/>
    <col min="12032" max="12032" width="12.140625" customWidth="1"/>
    <col min="12033" max="12033" width="16.28515625" customWidth="1"/>
    <col min="12034" max="12035" width="16" customWidth="1"/>
    <col min="12036" max="12036" width="13.140625" customWidth="1"/>
    <col min="12037" max="12037" width="15.140625" customWidth="1"/>
    <col min="12038" max="12038" width="17.7109375" customWidth="1"/>
    <col min="12039" max="12039" width="5.7109375" customWidth="1"/>
    <col min="12040" max="12040" width="14.7109375" customWidth="1"/>
    <col min="12041" max="12041" width="40.5703125" customWidth="1"/>
    <col min="12042" max="12042" width="20.5703125" customWidth="1"/>
    <col min="12043" max="12043" width="59.7109375" customWidth="1"/>
    <col min="12044" max="12045" width="21.85546875" customWidth="1"/>
    <col min="12271" max="12272" width="3.85546875" customWidth="1"/>
    <col min="12273" max="12273" width="64.7109375" customWidth="1"/>
    <col min="12274" max="12274" width="8.5703125" customWidth="1"/>
    <col min="12275" max="12278" width="18.5703125" customWidth="1"/>
    <col min="12279" max="12279" width="16.5703125" customWidth="1"/>
    <col min="12280" max="12280" width="19.140625" customWidth="1"/>
    <col min="12281" max="12281" width="16.5703125" customWidth="1"/>
    <col min="12282" max="12282" width="19.140625" customWidth="1"/>
    <col min="12283" max="12283" width="13.42578125" customWidth="1"/>
    <col min="12284" max="12284" width="11.85546875" customWidth="1"/>
    <col min="12285" max="12285" width="18.85546875" customWidth="1"/>
    <col min="12286" max="12287" width="18.5703125" customWidth="1"/>
    <col min="12288" max="12288" width="12.140625" customWidth="1"/>
    <col min="12289" max="12289" width="16.28515625" customWidth="1"/>
    <col min="12290" max="12291" width="16" customWidth="1"/>
    <col min="12292" max="12292" width="13.140625" customWidth="1"/>
    <col min="12293" max="12293" width="15.140625" customWidth="1"/>
    <col min="12294" max="12294" width="17.7109375" customWidth="1"/>
    <col min="12295" max="12295" width="5.7109375" customWidth="1"/>
    <col min="12296" max="12296" width="14.7109375" customWidth="1"/>
    <col min="12297" max="12297" width="40.5703125" customWidth="1"/>
    <col min="12298" max="12298" width="20.5703125" customWidth="1"/>
    <col min="12299" max="12299" width="59.7109375" customWidth="1"/>
    <col min="12300" max="12301" width="21.85546875" customWidth="1"/>
    <col min="12527" max="12528" width="3.85546875" customWidth="1"/>
    <col min="12529" max="12529" width="64.7109375" customWidth="1"/>
    <col min="12530" max="12530" width="8.5703125" customWidth="1"/>
    <col min="12531" max="12534" width="18.5703125" customWidth="1"/>
    <col min="12535" max="12535" width="16.5703125" customWidth="1"/>
    <col min="12536" max="12536" width="19.140625" customWidth="1"/>
    <col min="12537" max="12537" width="16.5703125" customWidth="1"/>
    <col min="12538" max="12538" width="19.140625" customWidth="1"/>
    <col min="12539" max="12539" width="13.42578125" customWidth="1"/>
    <col min="12540" max="12540" width="11.85546875" customWidth="1"/>
    <col min="12541" max="12541" width="18.85546875" customWidth="1"/>
    <col min="12542" max="12543" width="18.5703125" customWidth="1"/>
    <col min="12544" max="12544" width="12.140625" customWidth="1"/>
    <col min="12545" max="12545" width="16.28515625" customWidth="1"/>
    <col min="12546" max="12547" width="16" customWidth="1"/>
    <col min="12548" max="12548" width="13.140625" customWidth="1"/>
    <col min="12549" max="12549" width="15.140625" customWidth="1"/>
    <col min="12550" max="12550" width="17.7109375" customWidth="1"/>
    <col min="12551" max="12551" width="5.7109375" customWidth="1"/>
    <col min="12552" max="12552" width="14.7109375" customWidth="1"/>
    <col min="12553" max="12553" width="40.5703125" customWidth="1"/>
    <col min="12554" max="12554" width="20.5703125" customWidth="1"/>
    <col min="12555" max="12555" width="59.7109375" customWidth="1"/>
    <col min="12556" max="12557" width="21.85546875" customWidth="1"/>
    <col min="12783" max="12784" width="3.85546875" customWidth="1"/>
    <col min="12785" max="12785" width="64.7109375" customWidth="1"/>
    <col min="12786" max="12786" width="8.5703125" customWidth="1"/>
    <col min="12787" max="12790" width="18.5703125" customWidth="1"/>
    <col min="12791" max="12791" width="16.5703125" customWidth="1"/>
    <col min="12792" max="12792" width="19.140625" customWidth="1"/>
    <col min="12793" max="12793" width="16.5703125" customWidth="1"/>
    <col min="12794" max="12794" width="19.140625" customWidth="1"/>
    <col min="12795" max="12795" width="13.42578125" customWidth="1"/>
    <col min="12796" max="12796" width="11.85546875" customWidth="1"/>
    <col min="12797" max="12797" width="18.85546875" customWidth="1"/>
    <col min="12798" max="12799" width="18.5703125" customWidth="1"/>
    <col min="12800" max="12800" width="12.140625" customWidth="1"/>
    <col min="12801" max="12801" width="16.28515625" customWidth="1"/>
    <col min="12802" max="12803" width="16" customWidth="1"/>
    <col min="12804" max="12804" width="13.140625" customWidth="1"/>
    <col min="12805" max="12805" width="15.140625" customWidth="1"/>
    <col min="12806" max="12806" width="17.7109375" customWidth="1"/>
    <col min="12807" max="12807" width="5.7109375" customWidth="1"/>
    <col min="12808" max="12808" width="14.7109375" customWidth="1"/>
    <col min="12809" max="12809" width="40.5703125" customWidth="1"/>
    <col min="12810" max="12810" width="20.5703125" customWidth="1"/>
    <col min="12811" max="12811" width="59.7109375" customWidth="1"/>
    <col min="12812" max="12813" width="21.85546875" customWidth="1"/>
    <col min="13039" max="13040" width="3.85546875" customWidth="1"/>
    <col min="13041" max="13041" width="64.7109375" customWidth="1"/>
    <col min="13042" max="13042" width="8.5703125" customWidth="1"/>
    <col min="13043" max="13046" width="18.5703125" customWidth="1"/>
    <col min="13047" max="13047" width="16.5703125" customWidth="1"/>
    <col min="13048" max="13048" width="19.140625" customWidth="1"/>
    <col min="13049" max="13049" width="16.5703125" customWidth="1"/>
    <col min="13050" max="13050" width="19.140625" customWidth="1"/>
    <col min="13051" max="13051" width="13.42578125" customWidth="1"/>
    <col min="13052" max="13052" width="11.85546875" customWidth="1"/>
    <col min="13053" max="13053" width="18.85546875" customWidth="1"/>
    <col min="13054" max="13055" width="18.5703125" customWidth="1"/>
    <col min="13056" max="13056" width="12.140625" customWidth="1"/>
    <col min="13057" max="13057" width="16.28515625" customWidth="1"/>
    <col min="13058" max="13059" width="16" customWidth="1"/>
    <col min="13060" max="13060" width="13.140625" customWidth="1"/>
    <col min="13061" max="13061" width="15.140625" customWidth="1"/>
    <col min="13062" max="13062" width="17.7109375" customWidth="1"/>
    <col min="13063" max="13063" width="5.7109375" customWidth="1"/>
    <col min="13064" max="13064" width="14.7109375" customWidth="1"/>
    <col min="13065" max="13065" width="40.5703125" customWidth="1"/>
    <col min="13066" max="13066" width="20.5703125" customWidth="1"/>
    <col min="13067" max="13067" width="59.7109375" customWidth="1"/>
    <col min="13068" max="13069" width="21.85546875" customWidth="1"/>
    <col min="13295" max="13296" width="3.85546875" customWidth="1"/>
    <col min="13297" max="13297" width="64.7109375" customWidth="1"/>
    <col min="13298" max="13298" width="8.5703125" customWidth="1"/>
    <col min="13299" max="13302" width="18.5703125" customWidth="1"/>
    <col min="13303" max="13303" width="16.5703125" customWidth="1"/>
    <col min="13304" max="13304" width="19.140625" customWidth="1"/>
    <col min="13305" max="13305" width="16.5703125" customWidth="1"/>
    <col min="13306" max="13306" width="19.140625" customWidth="1"/>
    <col min="13307" max="13307" width="13.42578125" customWidth="1"/>
    <col min="13308" max="13308" width="11.85546875" customWidth="1"/>
    <col min="13309" max="13309" width="18.85546875" customWidth="1"/>
    <col min="13310" max="13311" width="18.5703125" customWidth="1"/>
    <col min="13312" max="13312" width="12.140625" customWidth="1"/>
    <col min="13313" max="13313" width="16.28515625" customWidth="1"/>
    <col min="13314" max="13315" width="16" customWidth="1"/>
    <col min="13316" max="13316" width="13.140625" customWidth="1"/>
    <col min="13317" max="13317" width="15.140625" customWidth="1"/>
    <col min="13318" max="13318" width="17.7109375" customWidth="1"/>
    <col min="13319" max="13319" width="5.7109375" customWidth="1"/>
    <col min="13320" max="13320" width="14.7109375" customWidth="1"/>
    <col min="13321" max="13321" width="40.5703125" customWidth="1"/>
    <col min="13322" max="13322" width="20.5703125" customWidth="1"/>
    <col min="13323" max="13323" width="59.7109375" customWidth="1"/>
    <col min="13324" max="13325" width="21.85546875" customWidth="1"/>
    <col min="13551" max="13552" width="3.85546875" customWidth="1"/>
    <col min="13553" max="13553" width="64.7109375" customWidth="1"/>
    <col min="13554" max="13554" width="8.5703125" customWidth="1"/>
    <col min="13555" max="13558" width="18.5703125" customWidth="1"/>
    <col min="13559" max="13559" width="16.5703125" customWidth="1"/>
    <col min="13560" max="13560" width="19.140625" customWidth="1"/>
    <col min="13561" max="13561" width="16.5703125" customWidth="1"/>
    <col min="13562" max="13562" width="19.140625" customWidth="1"/>
    <col min="13563" max="13563" width="13.42578125" customWidth="1"/>
    <col min="13564" max="13564" width="11.85546875" customWidth="1"/>
    <col min="13565" max="13565" width="18.85546875" customWidth="1"/>
    <col min="13566" max="13567" width="18.5703125" customWidth="1"/>
    <col min="13568" max="13568" width="12.140625" customWidth="1"/>
    <col min="13569" max="13569" width="16.28515625" customWidth="1"/>
    <col min="13570" max="13571" width="16" customWidth="1"/>
    <col min="13572" max="13572" width="13.140625" customWidth="1"/>
    <col min="13573" max="13573" width="15.140625" customWidth="1"/>
    <col min="13574" max="13574" width="17.7109375" customWidth="1"/>
    <col min="13575" max="13575" width="5.7109375" customWidth="1"/>
    <col min="13576" max="13576" width="14.7109375" customWidth="1"/>
    <col min="13577" max="13577" width="40.5703125" customWidth="1"/>
    <col min="13578" max="13578" width="20.5703125" customWidth="1"/>
    <col min="13579" max="13579" width="59.7109375" customWidth="1"/>
    <col min="13580" max="13581" width="21.85546875" customWidth="1"/>
    <col min="13807" max="13808" width="3.85546875" customWidth="1"/>
    <col min="13809" max="13809" width="64.7109375" customWidth="1"/>
    <col min="13810" max="13810" width="8.5703125" customWidth="1"/>
    <col min="13811" max="13814" width="18.5703125" customWidth="1"/>
    <col min="13815" max="13815" width="16.5703125" customWidth="1"/>
    <col min="13816" max="13816" width="19.140625" customWidth="1"/>
    <col min="13817" max="13817" width="16.5703125" customWidth="1"/>
    <col min="13818" max="13818" width="19.140625" customWidth="1"/>
    <col min="13819" max="13819" width="13.42578125" customWidth="1"/>
    <col min="13820" max="13820" width="11.85546875" customWidth="1"/>
    <col min="13821" max="13821" width="18.85546875" customWidth="1"/>
    <col min="13822" max="13823" width="18.5703125" customWidth="1"/>
    <col min="13824" max="13824" width="12.140625" customWidth="1"/>
    <col min="13825" max="13825" width="16.28515625" customWidth="1"/>
    <col min="13826" max="13827" width="16" customWidth="1"/>
    <col min="13828" max="13828" width="13.140625" customWidth="1"/>
    <col min="13829" max="13829" width="15.140625" customWidth="1"/>
    <col min="13830" max="13830" width="17.7109375" customWidth="1"/>
    <col min="13831" max="13831" width="5.7109375" customWidth="1"/>
    <col min="13832" max="13832" width="14.7109375" customWidth="1"/>
    <col min="13833" max="13833" width="40.5703125" customWidth="1"/>
    <col min="13834" max="13834" width="20.5703125" customWidth="1"/>
    <col min="13835" max="13835" width="59.7109375" customWidth="1"/>
    <col min="13836" max="13837" width="21.85546875" customWidth="1"/>
    <col min="14063" max="14064" width="3.85546875" customWidth="1"/>
    <col min="14065" max="14065" width="64.7109375" customWidth="1"/>
    <col min="14066" max="14066" width="8.5703125" customWidth="1"/>
    <col min="14067" max="14070" width="18.5703125" customWidth="1"/>
    <col min="14071" max="14071" width="16.5703125" customWidth="1"/>
    <col min="14072" max="14072" width="19.140625" customWidth="1"/>
    <col min="14073" max="14073" width="16.5703125" customWidth="1"/>
    <col min="14074" max="14074" width="19.140625" customWidth="1"/>
    <col min="14075" max="14075" width="13.42578125" customWidth="1"/>
    <col min="14076" max="14076" width="11.85546875" customWidth="1"/>
    <col min="14077" max="14077" width="18.85546875" customWidth="1"/>
    <col min="14078" max="14079" width="18.5703125" customWidth="1"/>
    <col min="14080" max="14080" width="12.140625" customWidth="1"/>
    <col min="14081" max="14081" width="16.28515625" customWidth="1"/>
    <col min="14082" max="14083" width="16" customWidth="1"/>
    <col min="14084" max="14084" width="13.140625" customWidth="1"/>
    <col min="14085" max="14085" width="15.140625" customWidth="1"/>
    <col min="14086" max="14086" width="17.7109375" customWidth="1"/>
    <col min="14087" max="14087" width="5.7109375" customWidth="1"/>
    <col min="14088" max="14088" width="14.7109375" customWidth="1"/>
    <col min="14089" max="14089" width="40.5703125" customWidth="1"/>
    <col min="14090" max="14090" width="20.5703125" customWidth="1"/>
    <col min="14091" max="14091" width="59.7109375" customWidth="1"/>
    <col min="14092" max="14093" width="21.85546875" customWidth="1"/>
    <col min="14319" max="14320" width="3.85546875" customWidth="1"/>
    <col min="14321" max="14321" width="64.7109375" customWidth="1"/>
    <col min="14322" max="14322" width="8.5703125" customWidth="1"/>
    <col min="14323" max="14326" width="18.5703125" customWidth="1"/>
    <col min="14327" max="14327" width="16.5703125" customWidth="1"/>
    <col min="14328" max="14328" width="19.140625" customWidth="1"/>
    <col min="14329" max="14329" width="16.5703125" customWidth="1"/>
    <col min="14330" max="14330" width="19.140625" customWidth="1"/>
    <col min="14331" max="14331" width="13.42578125" customWidth="1"/>
    <col min="14332" max="14332" width="11.85546875" customWidth="1"/>
    <col min="14333" max="14333" width="18.85546875" customWidth="1"/>
    <col min="14334" max="14335" width="18.5703125" customWidth="1"/>
    <col min="14336" max="14336" width="12.140625" customWidth="1"/>
    <col min="14337" max="14337" width="16.28515625" customWidth="1"/>
    <col min="14338" max="14339" width="16" customWidth="1"/>
    <col min="14340" max="14340" width="13.140625" customWidth="1"/>
    <col min="14341" max="14341" width="15.140625" customWidth="1"/>
    <col min="14342" max="14342" width="17.7109375" customWidth="1"/>
    <col min="14343" max="14343" width="5.7109375" customWidth="1"/>
    <col min="14344" max="14344" width="14.7109375" customWidth="1"/>
    <col min="14345" max="14345" width="40.5703125" customWidth="1"/>
    <col min="14346" max="14346" width="20.5703125" customWidth="1"/>
    <col min="14347" max="14347" width="59.7109375" customWidth="1"/>
    <col min="14348" max="14349" width="21.85546875" customWidth="1"/>
    <col min="14575" max="14576" width="3.85546875" customWidth="1"/>
    <col min="14577" max="14577" width="64.7109375" customWidth="1"/>
    <col min="14578" max="14578" width="8.5703125" customWidth="1"/>
    <col min="14579" max="14582" width="18.5703125" customWidth="1"/>
    <col min="14583" max="14583" width="16.5703125" customWidth="1"/>
    <col min="14584" max="14584" width="19.140625" customWidth="1"/>
    <col min="14585" max="14585" width="16.5703125" customWidth="1"/>
    <col min="14586" max="14586" width="19.140625" customWidth="1"/>
    <col min="14587" max="14587" width="13.42578125" customWidth="1"/>
    <col min="14588" max="14588" width="11.85546875" customWidth="1"/>
    <col min="14589" max="14589" width="18.85546875" customWidth="1"/>
    <col min="14590" max="14591" width="18.5703125" customWidth="1"/>
    <col min="14592" max="14592" width="12.140625" customWidth="1"/>
    <col min="14593" max="14593" width="16.28515625" customWidth="1"/>
    <col min="14594" max="14595" width="16" customWidth="1"/>
    <col min="14596" max="14596" width="13.140625" customWidth="1"/>
    <col min="14597" max="14597" width="15.140625" customWidth="1"/>
    <col min="14598" max="14598" width="17.7109375" customWidth="1"/>
    <col min="14599" max="14599" width="5.7109375" customWidth="1"/>
    <col min="14600" max="14600" width="14.7109375" customWidth="1"/>
    <col min="14601" max="14601" width="40.5703125" customWidth="1"/>
    <col min="14602" max="14602" width="20.5703125" customWidth="1"/>
    <col min="14603" max="14603" width="59.7109375" customWidth="1"/>
    <col min="14604" max="14605" width="21.85546875" customWidth="1"/>
    <col min="14831" max="14832" width="3.85546875" customWidth="1"/>
    <col min="14833" max="14833" width="64.7109375" customWidth="1"/>
    <col min="14834" max="14834" width="8.5703125" customWidth="1"/>
    <col min="14835" max="14838" width="18.5703125" customWidth="1"/>
    <col min="14839" max="14839" width="16.5703125" customWidth="1"/>
    <col min="14840" max="14840" width="19.140625" customWidth="1"/>
    <col min="14841" max="14841" width="16.5703125" customWidth="1"/>
    <col min="14842" max="14842" width="19.140625" customWidth="1"/>
    <col min="14843" max="14843" width="13.42578125" customWidth="1"/>
    <col min="14844" max="14844" width="11.85546875" customWidth="1"/>
    <col min="14845" max="14845" width="18.85546875" customWidth="1"/>
    <col min="14846" max="14847" width="18.5703125" customWidth="1"/>
    <col min="14848" max="14848" width="12.140625" customWidth="1"/>
    <col min="14849" max="14849" width="16.28515625" customWidth="1"/>
    <col min="14850" max="14851" width="16" customWidth="1"/>
    <col min="14852" max="14852" width="13.140625" customWidth="1"/>
    <col min="14853" max="14853" width="15.140625" customWidth="1"/>
    <col min="14854" max="14854" width="17.7109375" customWidth="1"/>
    <col min="14855" max="14855" width="5.7109375" customWidth="1"/>
    <col min="14856" max="14856" width="14.7109375" customWidth="1"/>
    <col min="14857" max="14857" width="40.5703125" customWidth="1"/>
    <col min="14858" max="14858" width="20.5703125" customWidth="1"/>
    <col min="14859" max="14859" width="59.7109375" customWidth="1"/>
    <col min="14860" max="14861" width="21.85546875" customWidth="1"/>
    <col min="15087" max="15088" width="3.85546875" customWidth="1"/>
    <col min="15089" max="15089" width="64.7109375" customWidth="1"/>
    <col min="15090" max="15090" width="8.5703125" customWidth="1"/>
    <col min="15091" max="15094" width="18.5703125" customWidth="1"/>
    <col min="15095" max="15095" width="16.5703125" customWidth="1"/>
    <col min="15096" max="15096" width="19.140625" customWidth="1"/>
    <col min="15097" max="15097" width="16.5703125" customWidth="1"/>
    <col min="15098" max="15098" width="19.140625" customWidth="1"/>
    <col min="15099" max="15099" width="13.42578125" customWidth="1"/>
    <col min="15100" max="15100" width="11.85546875" customWidth="1"/>
    <col min="15101" max="15101" width="18.85546875" customWidth="1"/>
    <col min="15102" max="15103" width="18.5703125" customWidth="1"/>
    <col min="15104" max="15104" width="12.140625" customWidth="1"/>
    <col min="15105" max="15105" width="16.28515625" customWidth="1"/>
    <col min="15106" max="15107" width="16" customWidth="1"/>
    <col min="15108" max="15108" width="13.140625" customWidth="1"/>
    <col min="15109" max="15109" width="15.140625" customWidth="1"/>
    <col min="15110" max="15110" width="17.7109375" customWidth="1"/>
    <col min="15111" max="15111" width="5.7109375" customWidth="1"/>
    <col min="15112" max="15112" width="14.7109375" customWidth="1"/>
    <col min="15113" max="15113" width="40.5703125" customWidth="1"/>
    <col min="15114" max="15114" width="20.5703125" customWidth="1"/>
    <col min="15115" max="15115" width="59.7109375" customWidth="1"/>
    <col min="15116" max="15117" width="21.85546875" customWidth="1"/>
    <col min="15343" max="15344" width="3.85546875" customWidth="1"/>
    <col min="15345" max="15345" width="64.7109375" customWidth="1"/>
    <col min="15346" max="15346" width="8.5703125" customWidth="1"/>
    <col min="15347" max="15350" width="18.5703125" customWidth="1"/>
    <col min="15351" max="15351" width="16.5703125" customWidth="1"/>
    <col min="15352" max="15352" width="19.140625" customWidth="1"/>
    <col min="15353" max="15353" width="16.5703125" customWidth="1"/>
    <col min="15354" max="15354" width="19.140625" customWidth="1"/>
    <col min="15355" max="15355" width="13.42578125" customWidth="1"/>
    <col min="15356" max="15356" width="11.85546875" customWidth="1"/>
    <col min="15357" max="15357" width="18.85546875" customWidth="1"/>
    <col min="15358" max="15359" width="18.5703125" customWidth="1"/>
    <col min="15360" max="15360" width="12.140625" customWidth="1"/>
    <col min="15361" max="15361" width="16.28515625" customWidth="1"/>
    <col min="15362" max="15363" width="16" customWidth="1"/>
    <col min="15364" max="15364" width="13.140625" customWidth="1"/>
    <col min="15365" max="15365" width="15.140625" customWidth="1"/>
    <col min="15366" max="15366" width="17.7109375" customWidth="1"/>
    <col min="15367" max="15367" width="5.7109375" customWidth="1"/>
    <col min="15368" max="15368" width="14.7109375" customWidth="1"/>
    <col min="15369" max="15369" width="40.5703125" customWidth="1"/>
    <col min="15370" max="15370" width="20.5703125" customWidth="1"/>
    <col min="15371" max="15371" width="59.7109375" customWidth="1"/>
    <col min="15372" max="15373" width="21.85546875" customWidth="1"/>
    <col min="15599" max="15600" width="3.85546875" customWidth="1"/>
    <col min="15601" max="15601" width="64.7109375" customWidth="1"/>
    <col min="15602" max="15602" width="8.5703125" customWidth="1"/>
    <col min="15603" max="15606" width="18.5703125" customWidth="1"/>
    <col min="15607" max="15607" width="16.5703125" customWidth="1"/>
    <col min="15608" max="15608" width="19.140625" customWidth="1"/>
    <col min="15609" max="15609" width="16.5703125" customWidth="1"/>
    <col min="15610" max="15610" width="19.140625" customWidth="1"/>
    <col min="15611" max="15611" width="13.42578125" customWidth="1"/>
    <col min="15612" max="15612" width="11.85546875" customWidth="1"/>
    <col min="15613" max="15613" width="18.85546875" customWidth="1"/>
    <col min="15614" max="15615" width="18.5703125" customWidth="1"/>
    <col min="15616" max="15616" width="12.140625" customWidth="1"/>
    <col min="15617" max="15617" width="16.28515625" customWidth="1"/>
    <col min="15618" max="15619" width="16" customWidth="1"/>
    <col min="15620" max="15620" width="13.140625" customWidth="1"/>
    <col min="15621" max="15621" width="15.140625" customWidth="1"/>
    <col min="15622" max="15622" width="17.7109375" customWidth="1"/>
    <col min="15623" max="15623" width="5.7109375" customWidth="1"/>
    <col min="15624" max="15624" width="14.7109375" customWidth="1"/>
    <col min="15625" max="15625" width="40.5703125" customWidth="1"/>
    <col min="15626" max="15626" width="20.5703125" customWidth="1"/>
    <col min="15627" max="15627" width="59.7109375" customWidth="1"/>
    <col min="15628" max="15629" width="21.85546875" customWidth="1"/>
    <col min="15855" max="15856" width="3.85546875" customWidth="1"/>
    <col min="15857" max="15857" width="64.7109375" customWidth="1"/>
    <col min="15858" max="15858" width="8.5703125" customWidth="1"/>
    <col min="15859" max="15862" width="18.5703125" customWidth="1"/>
    <col min="15863" max="15863" width="16.5703125" customWidth="1"/>
    <col min="15864" max="15864" width="19.140625" customWidth="1"/>
    <col min="15865" max="15865" width="16.5703125" customWidth="1"/>
    <col min="15866" max="15866" width="19.140625" customWidth="1"/>
    <col min="15867" max="15867" width="13.42578125" customWidth="1"/>
    <col min="15868" max="15868" width="11.85546875" customWidth="1"/>
    <col min="15869" max="15869" width="18.85546875" customWidth="1"/>
    <col min="15870" max="15871" width="18.5703125" customWidth="1"/>
    <col min="15872" max="15872" width="12.140625" customWidth="1"/>
    <col min="15873" max="15873" width="16.28515625" customWidth="1"/>
    <col min="15874" max="15875" width="16" customWidth="1"/>
    <col min="15876" max="15876" width="13.140625" customWidth="1"/>
    <col min="15877" max="15877" width="15.140625" customWidth="1"/>
    <col min="15878" max="15878" width="17.7109375" customWidth="1"/>
    <col min="15879" max="15879" width="5.7109375" customWidth="1"/>
    <col min="15880" max="15880" width="14.7109375" customWidth="1"/>
    <col min="15881" max="15881" width="40.5703125" customWidth="1"/>
    <col min="15882" max="15882" width="20.5703125" customWidth="1"/>
    <col min="15883" max="15883" width="59.7109375" customWidth="1"/>
    <col min="15884" max="15885" width="21.85546875" customWidth="1"/>
    <col min="16111" max="16112" width="3.85546875" customWidth="1"/>
    <col min="16113" max="16113" width="64.7109375" customWidth="1"/>
    <col min="16114" max="16114" width="8.5703125" customWidth="1"/>
    <col min="16115" max="16118" width="18.5703125" customWidth="1"/>
    <col min="16119" max="16119" width="16.5703125" customWidth="1"/>
    <col min="16120" max="16120" width="19.140625" customWidth="1"/>
    <col min="16121" max="16121" width="16.5703125" customWidth="1"/>
    <col min="16122" max="16122" width="19.140625" customWidth="1"/>
    <col min="16123" max="16123" width="13.42578125" customWidth="1"/>
    <col min="16124" max="16124" width="11.85546875" customWidth="1"/>
    <col min="16125" max="16125" width="18.85546875" customWidth="1"/>
    <col min="16126" max="16127" width="18.5703125" customWidth="1"/>
    <col min="16128" max="16128" width="12.140625" customWidth="1"/>
    <col min="16129" max="16129" width="16.28515625" customWidth="1"/>
    <col min="16130" max="16131" width="16" customWidth="1"/>
    <col min="16132" max="16132" width="13.140625" customWidth="1"/>
    <col min="16133" max="16133" width="15.140625" customWidth="1"/>
    <col min="16134" max="16134" width="17.7109375" customWidth="1"/>
    <col min="16135" max="16135" width="5.7109375" customWidth="1"/>
    <col min="16136" max="16136" width="14.7109375" customWidth="1"/>
    <col min="16137" max="16137" width="40.5703125" customWidth="1"/>
    <col min="16138" max="16138" width="20.5703125" customWidth="1"/>
    <col min="16139" max="16139" width="59.7109375" customWidth="1"/>
    <col min="16140" max="16141" width="21.85546875" customWidth="1"/>
  </cols>
  <sheetData>
    <row r="1" spans="1:17" ht="33.75" x14ac:dyDescent="0.5">
      <c r="A1" s="1" t="s">
        <v>0</v>
      </c>
      <c r="B1" s="171" t="s">
        <v>1</v>
      </c>
      <c r="C1" s="172"/>
      <c r="D1" s="172"/>
      <c r="E1" s="172"/>
      <c r="F1" s="172"/>
      <c r="G1" s="172"/>
      <c r="H1" s="172"/>
      <c r="I1" s="172"/>
      <c r="J1" s="172"/>
      <c r="K1" s="172"/>
      <c r="L1" s="172"/>
      <c r="M1" s="172"/>
      <c r="N1" s="172"/>
      <c r="O1" s="172"/>
      <c r="P1" s="173"/>
      <c r="Q1" s="173"/>
    </row>
    <row r="2" spans="1:17" ht="26.25" x14ac:dyDescent="0.4">
      <c r="A2" s="1"/>
      <c r="B2" s="174" t="s">
        <v>2</v>
      </c>
      <c r="C2" s="175"/>
      <c r="D2" s="175"/>
      <c r="E2" s="175"/>
      <c r="F2" s="175"/>
      <c r="G2" s="175"/>
      <c r="H2" s="175"/>
      <c r="I2" s="175"/>
      <c r="J2" s="175"/>
      <c r="K2" s="175"/>
      <c r="L2" s="175"/>
      <c r="M2" s="175"/>
      <c r="N2" s="175"/>
      <c r="O2" s="175"/>
      <c r="P2" s="173"/>
      <c r="Q2" s="173"/>
    </row>
    <row r="3" spans="1:17" ht="23.25" x14ac:dyDescent="0.35">
      <c r="A3" s="1"/>
      <c r="B3" s="176" t="s">
        <v>3</v>
      </c>
      <c r="C3" s="177"/>
      <c r="D3" s="177"/>
      <c r="E3" s="177"/>
      <c r="F3" s="177"/>
      <c r="G3" s="177"/>
      <c r="H3" s="177"/>
      <c r="I3" s="177"/>
      <c r="J3" s="177"/>
      <c r="K3" s="177"/>
      <c r="L3" s="177"/>
      <c r="M3" s="177"/>
      <c r="N3" s="177"/>
      <c r="O3" s="177"/>
      <c r="P3" s="178"/>
      <c r="Q3" s="178"/>
    </row>
    <row r="4" spans="1:17" ht="23.25" x14ac:dyDescent="0.35">
      <c r="A4" s="1"/>
      <c r="B4" s="176" t="s">
        <v>4</v>
      </c>
      <c r="C4" s="173"/>
      <c r="D4" s="173"/>
      <c r="E4" s="173"/>
      <c r="F4" s="173"/>
      <c r="G4" s="173"/>
      <c r="H4" s="173"/>
      <c r="I4" s="173"/>
      <c r="J4" s="173"/>
      <c r="K4" s="173"/>
      <c r="L4" s="173"/>
      <c r="M4" s="173"/>
      <c r="N4" s="173"/>
      <c r="O4" s="173"/>
      <c r="P4" s="173"/>
      <c r="Q4" s="173"/>
    </row>
    <row r="5" spans="1:17" ht="23.25" x14ac:dyDescent="0.35">
      <c r="A5" s="1"/>
      <c r="B5" s="179" t="s">
        <v>5</v>
      </c>
      <c r="C5" s="180"/>
      <c r="D5" s="180"/>
      <c r="E5" s="180"/>
      <c r="F5" s="180"/>
      <c r="G5" s="180"/>
      <c r="H5" s="180"/>
      <c r="I5" s="180"/>
      <c r="J5" s="180"/>
      <c r="K5" s="180"/>
      <c r="L5" s="180"/>
      <c r="M5" s="180"/>
      <c r="N5" s="180"/>
      <c r="O5" s="180"/>
      <c r="P5" s="180"/>
      <c r="Q5" s="180"/>
    </row>
    <row r="6" spans="1:17" ht="24" thickBot="1" x14ac:dyDescent="0.4">
      <c r="A6" s="1"/>
      <c r="B6" s="3"/>
      <c r="C6" s="4"/>
      <c r="D6" s="5"/>
      <c r="E6" s="5"/>
      <c r="F6" s="5"/>
      <c r="G6" s="5"/>
      <c r="H6" s="5"/>
      <c r="I6" s="5"/>
      <c r="J6" s="5"/>
      <c r="K6" s="5"/>
      <c r="L6" s="5"/>
      <c r="M6" s="5"/>
      <c r="N6" s="5"/>
      <c r="O6" s="6"/>
      <c r="P6" s="2"/>
      <c r="Q6" s="5" t="s">
        <v>6</v>
      </c>
    </row>
    <row r="7" spans="1:17" ht="18" customHeight="1" thickBot="1" x14ac:dyDescent="0.3">
      <c r="A7" s="1"/>
      <c r="B7" s="181" t="s">
        <v>7</v>
      </c>
      <c r="C7" s="184" t="s">
        <v>8</v>
      </c>
      <c r="D7" s="181" t="s">
        <v>9</v>
      </c>
      <c r="E7" s="188">
        <v>2017</v>
      </c>
      <c r="F7" s="189"/>
      <c r="G7" s="189"/>
      <c r="H7" s="189"/>
      <c r="I7" s="189"/>
      <c r="J7" s="189"/>
      <c r="K7" s="189"/>
      <c r="L7" s="189"/>
      <c r="M7" s="189"/>
      <c r="N7" s="189"/>
      <c r="O7" s="190"/>
      <c r="P7" s="158" t="s">
        <v>10</v>
      </c>
      <c r="Q7" s="190"/>
    </row>
    <row r="8" spans="1:17" ht="39.75" customHeight="1" thickBot="1" x14ac:dyDescent="0.3">
      <c r="A8" s="1"/>
      <c r="B8" s="182"/>
      <c r="C8" s="185"/>
      <c r="D8" s="182"/>
      <c r="E8" s="158" t="s">
        <v>11</v>
      </c>
      <c r="F8" s="159"/>
      <c r="G8" s="159"/>
      <c r="H8" s="159"/>
      <c r="I8" s="159"/>
      <c r="J8" s="159"/>
      <c r="K8" s="159"/>
      <c r="L8" s="159"/>
      <c r="M8" s="159"/>
      <c r="N8" s="160"/>
      <c r="O8" s="161" t="s">
        <v>12</v>
      </c>
      <c r="P8" s="191"/>
      <c r="Q8" s="192"/>
    </row>
    <row r="9" spans="1:17" ht="48" customHeight="1" x14ac:dyDescent="0.25">
      <c r="A9" s="1"/>
      <c r="B9" s="183"/>
      <c r="C9" s="186"/>
      <c r="D9" s="187"/>
      <c r="E9" s="164" t="s">
        <v>13</v>
      </c>
      <c r="F9" s="165"/>
      <c r="G9" s="164" t="s">
        <v>14</v>
      </c>
      <c r="H9" s="166"/>
      <c r="I9" s="167" t="s">
        <v>15</v>
      </c>
      <c r="J9" s="168"/>
      <c r="K9" s="164" t="s">
        <v>16</v>
      </c>
      <c r="L9" s="166"/>
      <c r="M9" s="169" t="s">
        <v>17</v>
      </c>
      <c r="N9" s="170"/>
      <c r="O9" s="162"/>
      <c r="P9" s="152" t="s">
        <v>18</v>
      </c>
      <c r="Q9" s="154" t="s">
        <v>19</v>
      </c>
    </row>
    <row r="10" spans="1:17" ht="50.25" customHeight="1" thickBot="1" x14ac:dyDescent="0.3">
      <c r="A10" s="1"/>
      <c r="B10" s="183"/>
      <c r="C10" s="186"/>
      <c r="D10" s="187"/>
      <c r="E10" s="7" t="s">
        <v>20</v>
      </c>
      <c r="F10" s="8" t="s">
        <v>21</v>
      </c>
      <c r="G10" s="7" t="s">
        <v>20</v>
      </c>
      <c r="H10" s="9" t="s">
        <v>21</v>
      </c>
      <c r="I10" s="10" t="s">
        <v>20</v>
      </c>
      <c r="J10" s="11" t="s">
        <v>21</v>
      </c>
      <c r="K10" s="7" t="s">
        <v>20</v>
      </c>
      <c r="L10" s="9" t="s">
        <v>21</v>
      </c>
      <c r="M10" s="7" t="s">
        <v>20</v>
      </c>
      <c r="N10" s="9" t="s">
        <v>22</v>
      </c>
      <c r="O10" s="163"/>
      <c r="P10" s="153"/>
      <c r="Q10" s="155"/>
    </row>
    <row r="11" spans="1:17" ht="15.75" thickBot="1" x14ac:dyDescent="0.3">
      <c r="A11" s="1"/>
      <c r="B11" s="12">
        <v>1</v>
      </c>
      <c r="C11" s="13">
        <v>2</v>
      </c>
      <c r="D11" s="13">
        <v>3</v>
      </c>
      <c r="E11" s="13">
        <v>4</v>
      </c>
      <c r="F11" s="13">
        <v>5</v>
      </c>
      <c r="G11" s="13">
        <v>6</v>
      </c>
      <c r="H11" s="13">
        <v>7</v>
      </c>
      <c r="I11" s="13">
        <v>8</v>
      </c>
      <c r="J11" s="13">
        <v>9</v>
      </c>
      <c r="K11" s="13">
        <v>10</v>
      </c>
      <c r="L11" s="13">
        <v>11</v>
      </c>
      <c r="M11" s="13">
        <v>12</v>
      </c>
      <c r="N11" s="13">
        <v>13</v>
      </c>
      <c r="O11" s="14">
        <v>21</v>
      </c>
      <c r="P11" s="14">
        <v>22</v>
      </c>
      <c r="Q11" s="15">
        <v>23</v>
      </c>
    </row>
    <row r="12" spans="1:17" ht="18" x14ac:dyDescent="0.25">
      <c r="A12" s="1"/>
      <c r="B12" s="16"/>
      <c r="C12" s="17" t="s">
        <v>23</v>
      </c>
      <c r="D12" s="18"/>
      <c r="E12" s="19">
        <f t="shared" ref="E12:N14" si="0">SUM(E16,E63,E89,E102,E153,E190,E266,E299,E353,E376,E388,E449,E517,E541,E560,E583,E601,E672,E735,E751,E790,E847,E874,E901,E945)</f>
        <v>999999.99998799991</v>
      </c>
      <c r="F12" s="20">
        <f t="shared" si="0"/>
        <v>2500000.0000120006</v>
      </c>
      <c r="G12" s="19">
        <f t="shared" si="0"/>
        <v>1000000</v>
      </c>
      <c r="H12" s="20">
        <f t="shared" si="0"/>
        <v>2500000.0000000005</v>
      </c>
      <c r="I12" s="19">
        <f t="shared" si="0"/>
        <v>881450.27500000002</v>
      </c>
      <c r="J12" s="20">
        <f t="shared" si="0"/>
        <v>2208409.6470000003</v>
      </c>
      <c r="K12" s="19">
        <f t="shared" si="0"/>
        <v>861385.44275000005</v>
      </c>
      <c r="L12" s="20">
        <f t="shared" si="0"/>
        <v>2153034.19312</v>
      </c>
      <c r="M12" s="19">
        <f>SUM(M16,M63,M89,M102,M153,M190,M266,M299,M353,M376,M388,M449,M517,M541,M560,M583,M601,M672,M735,M751,M790,M847,M874,M901,M945)-(M877)</f>
        <v>1704.7656999999995</v>
      </c>
      <c r="N12" s="20">
        <f t="shared" si="0"/>
        <v>490.46800000000002</v>
      </c>
      <c r="O12" s="21"/>
      <c r="P12" s="22">
        <f>SUM(P16,P63,P89,P102,P153,P190,P266,P299,P353,P376,P388,P449,P517,P541,P560,P583,P601,P672,P735,P751,P790,P847,P874,P901,P945)</f>
        <v>401</v>
      </c>
      <c r="Q12" s="23"/>
    </row>
    <row r="13" spans="1:17" ht="18" x14ac:dyDescent="0.25">
      <c r="A13" s="1"/>
      <c r="B13" s="24"/>
      <c r="C13" s="25" t="s">
        <v>24</v>
      </c>
      <c r="D13" s="26"/>
      <c r="E13" s="27">
        <f t="shared" si="0"/>
        <v>0</v>
      </c>
      <c r="F13" s="28">
        <f t="shared" si="0"/>
        <v>0</v>
      </c>
      <c r="G13" s="27">
        <f t="shared" si="0"/>
        <v>0</v>
      </c>
      <c r="H13" s="28">
        <f t="shared" si="0"/>
        <v>0</v>
      </c>
      <c r="I13" s="27"/>
      <c r="J13" s="28"/>
      <c r="K13" s="27"/>
      <c r="L13" s="28"/>
      <c r="M13" s="27"/>
      <c r="N13" s="28"/>
      <c r="O13" s="29"/>
      <c r="P13" s="30"/>
      <c r="Q13" s="31"/>
    </row>
    <row r="14" spans="1:17" ht="36.75" thickBot="1" x14ac:dyDescent="0.3">
      <c r="A14" s="1"/>
      <c r="B14" s="32"/>
      <c r="C14" s="33" t="s">
        <v>25</v>
      </c>
      <c r="D14" s="34"/>
      <c r="E14" s="35">
        <f t="shared" si="0"/>
        <v>999999.99998799991</v>
      </c>
      <c r="F14" s="36">
        <f t="shared" si="0"/>
        <v>2500000.0000120006</v>
      </c>
      <c r="G14" s="35">
        <f t="shared" si="0"/>
        <v>1000000</v>
      </c>
      <c r="H14" s="36">
        <f t="shared" si="0"/>
        <v>2500000.0000000005</v>
      </c>
      <c r="I14" s="35">
        <f t="shared" si="0"/>
        <v>881450.27500000002</v>
      </c>
      <c r="J14" s="36">
        <f t="shared" si="0"/>
        <v>2208409.6470000003</v>
      </c>
      <c r="K14" s="35">
        <f t="shared" si="0"/>
        <v>861385.44275000005</v>
      </c>
      <c r="L14" s="36">
        <f t="shared" si="0"/>
        <v>2153034.19312</v>
      </c>
      <c r="M14" s="35">
        <f>SUM(M18,M65,M91,M104,M155,M192,M268,M301,M355,M378,M390,M451,M519,M543,M562,M585,M603,M674,M737,M753,M792,M849,M876,M903,M947)-(M877)</f>
        <v>1704.7656999999995</v>
      </c>
      <c r="N14" s="36">
        <f t="shared" si="0"/>
        <v>490.46800000000002</v>
      </c>
      <c r="O14" s="37"/>
      <c r="P14" s="38"/>
      <c r="Q14" s="39"/>
    </row>
    <row r="15" spans="1:17" ht="18" x14ac:dyDescent="0.25">
      <c r="A15" s="1">
        <v>2</v>
      </c>
      <c r="B15" s="149" t="s">
        <v>26</v>
      </c>
      <c r="C15" s="150"/>
      <c r="D15" s="150"/>
      <c r="E15" s="150"/>
      <c r="F15" s="150"/>
      <c r="G15" s="150"/>
      <c r="H15" s="150"/>
      <c r="I15" s="150"/>
      <c r="J15" s="150"/>
      <c r="K15" s="150"/>
      <c r="L15" s="150"/>
      <c r="M15" s="150"/>
      <c r="N15" s="150"/>
      <c r="O15" s="156"/>
      <c r="P15" s="156"/>
      <c r="Q15" s="157"/>
    </row>
    <row r="16" spans="1:17" ht="18" x14ac:dyDescent="0.25">
      <c r="A16" s="1">
        <v>2</v>
      </c>
      <c r="B16" s="40"/>
      <c r="C16" s="41" t="s">
        <v>27</v>
      </c>
      <c r="D16" s="42"/>
      <c r="E16" s="43">
        <f t="shared" ref="E16:M16" si="1">SUM(E17,E19:E61)</f>
        <v>49425.447999999997</v>
      </c>
      <c r="F16" s="44">
        <f t="shared" si="1"/>
        <v>123563.62</v>
      </c>
      <c r="G16" s="43">
        <f t="shared" si="1"/>
        <v>49425.447999999997</v>
      </c>
      <c r="H16" s="44">
        <f t="shared" si="1"/>
        <v>123563.62</v>
      </c>
      <c r="I16" s="43">
        <f t="shared" si="1"/>
        <v>48843.729999999996</v>
      </c>
      <c r="J16" s="44">
        <f t="shared" si="1"/>
        <v>120110.84800000001</v>
      </c>
      <c r="K16" s="43">
        <f t="shared" si="1"/>
        <v>39325.510309999998</v>
      </c>
      <c r="L16" s="44">
        <f t="shared" si="1"/>
        <v>120110.84753</v>
      </c>
      <c r="M16" s="45">
        <f t="shared" si="1"/>
        <v>0</v>
      </c>
      <c r="N16" s="46">
        <f>SUM(N17,N19:N61)</f>
        <v>0</v>
      </c>
      <c r="O16" s="47"/>
      <c r="P16" s="48">
        <v>15</v>
      </c>
      <c r="Q16" s="49"/>
    </row>
    <row r="17" spans="1:17" ht="18" x14ac:dyDescent="0.25">
      <c r="A17" s="1">
        <v>2</v>
      </c>
      <c r="B17" s="24"/>
      <c r="C17" s="50" t="s">
        <v>24</v>
      </c>
      <c r="D17" s="51"/>
      <c r="E17" s="52">
        <v>0</v>
      </c>
      <c r="F17" s="53">
        <v>0</v>
      </c>
      <c r="G17" s="52">
        <v>0</v>
      </c>
      <c r="H17" s="53">
        <v>0</v>
      </c>
      <c r="I17" s="52"/>
      <c r="J17" s="53"/>
      <c r="K17" s="52"/>
      <c r="L17" s="53"/>
      <c r="M17" s="54"/>
      <c r="N17" s="55"/>
      <c r="O17" s="56"/>
      <c r="P17" s="30"/>
      <c r="Q17" s="31"/>
    </row>
    <row r="18" spans="1:17" ht="36" x14ac:dyDescent="0.25">
      <c r="A18" s="1">
        <v>2</v>
      </c>
      <c r="B18" s="24"/>
      <c r="C18" s="50" t="s">
        <v>25</v>
      </c>
      <c r="D18" s="51"/>
      <c r="E18" s="52">
        <f t="shared" ref="E18:N18" si="2">SUM(E19:E61)</f>
        <v>49425.447999999997</v>
      </c>
      <c r="F18" s="53">
        <f t="shared" si="2"/>
        <v>123563.62</v>
      </c>
      <c r="G18" s="52">
        <f t="shared" si="2"/>
        <v>49425.447999999997</v>
      </c>
      <c r="H18" s="53">
        <f t="shared" si="2"/>
        <v>123563.62</v>
      </c>
      <c r="I18" s="52">
        <f t="shared" si="2"/>
        <v>48843.729999999996</v>
      </c>
      <c r="J18" s="53">
        <f t="shared" si="2"/>
        <v>120110.84800000001</v>
      </c>
      <c r="K18" s="52">
        <f t="shared" si="2"/>
        <v>39325.510309999998</v>
      </c>
      <c r="L18" s="53">
        <f t="shared" si="2"/>
        <v>120110.84753</v>
      </c>
      <c r="M18" s="54">
        <f t="shared" si="2"/>
        <v>0</v>
      </c>
      <c r="N18" s="55">
        <f t="shared" si="2"/>
        <v>0</v>
      </c>
      <c r="O18" s="56"/>
      <c r="P18" s="30"/>
      <c r="Q18" s="31"/>
    </row>
    <row r="19" spans="1:17" ht="54" x14ac:dyDescent="0.25">
      <c r="A19" s="1">
        <v>2</v>
      </c>
      <c r="B19" s="57">
        <v>1</v>
      </c>
      <c r="C19" s="58" t="s">
        <v>28</v>
      </c>
      <c r="D19" s="59" t="s">
        <v>29</v>
      </c>
      <c r="E19" s="60">
        <v>37937.199999999997</v>
      </c>
      <c r="F19" s="61">
        <v>0</v>
      </c>
      <c r="G19" s="60">
        <v>37937.199999999997</v>
      </c>
      <c r="H19" s="61">
        <v>0</v>
      </c>
      <c r="I19" s="60">
        <v>37937.199999999997</v>
      </c>
      <c r="J19" s="61">
        <v>0</v>
      </c>
      <c r="K19" s="60">
        <v>28418.98</v>
      </c>
      <c r="L19" s="61">
        <v>0</v>
      </c>
      <c r="M19" s="60">
        <v>0</v>
      </c>
      <c r="N19" s="61">
        <v>0</v>
      </c>
      <c r="O19" s="62" t="s">
        <v>30</v>
      </c>
      <c r="P19" s="63"/>
      <c r="Q19" s="64"/>
    </row>
    <row r="20" spans="1:17" ht="90" x14ac:dyDescent="0.25">
      <c r="A20" s="1">
        <v>2</v>
      </c>
      <c r="B20" s="57">
        <f>B19+1</f>
        <v>2</v>
      </c>
      <c r="C20" s="58" t="s">
        <v>31</v>
      </c>
      <c r="D20" s="59" t="s">
        <v>32</v>
      </c>
      <c r="E20" s="60">
        <v>4635</v>
      </c>
      <c r="F20" s="61">
        <v>0</v>
      </c>
      <c r="G20" s="60">
        <v>4635</v>
      </c>
      <c r="H20" s="61">
        <v>0</v>
      </c>
      <c r="I20" s="60">
        <v>4632.2669999999998</v>
      </c>
      <c r="J20" s="61">
        <v>0</v>
      </c>
      <c r="K20" s="60">
        <v>4632.26721</v>
      </c>
      <c r="L20" s="61">
        <v>0</v>
      </c>
      <c r="M20" s="60">
        <v>0</v>
      </c>
      <c r="N20" s="61">
        <v>0</v>
      </c>
      <c r="O20" s="62" t="s">
        <v>33</v>
      </c>
      <c r="P20" s="63"/>
      <c r="Q20" s="64"/>
    </row>
    <row r="21" spans="1:17" ht="54" x14ac:dyDescent="0.25">
      <c r="A21" s="1">
        <v>2</v>
      </c>
      <c r="B21" s="57">
        <f t="shared" ref="B21:B61" si="3">B20+1</f>
        <v>3</v>
      </c>
      <c r="C21" s="58" t="s">
        <v>34</v>
      </c>
      <c r="D21" s="59" t="s">
        <v>35</v>
      </c>
      <c r="E21" s="60">
        <v>0</v>
      </c>
      <c r="F21" s="61">
        <v>1500</v>
      </c>
      <c r="G21" s="60">
        <v>0</v>
      </c>
      <c r="H21" s="61">
        <v>1500</v>
      </c>
      <c r="I21" s="60">
        <v>0</v>
      </c>
      <c r="J21" s="61">
        <v>1500</v>
      </c>
      <c r="K21" s="60">
        <v>0</v>
      </c>
      <c r="L21" s="61">
        <v>1500</v>
      </c>
      <c r="M21" s="60">
        <v>0</v>
      </c>
      <c r="N21" s="61">
        <v>0</v>
      </c>
      <c r="O21" s="62" t="s">
        <v>36</v>
      </c>
      <c r="P21" s="63"/>
      <c r="Q21" s="64"/>
    </row>
    <row r="22" spans="1:17" ht="126" x14ac:dyDescent="0.25">
      <c r="A22" s="1">
        <v>2</v>
      </c>
      <c r="B22" s="57">
        <f t="shared" si="3"/>
        <v>4</v>
      </c>
      <c r="C22" s="58" t="s">
        <v>37</v>
      </c>
      <c r="D22" s="59" t="s">
        <v>38</v>
      </c>
      <c r="E22" s="60">
        <v>0</v>
      </c>
      <c r="F22" s="61">
        <v>1000</v>
      </c>
      <c r="G22" s="60">
        <v>0</v>
      </c>
      <c r="H22" s="61">
        <v>1000</v>
      </c>
      <c r="I22" s="60">
        <v>0</v>
      </c>
      <c r="J22" s="61">
        <v>999.31500000000005</v>
      </c>
      <c r="K22" s="60">
        <v>0</v>
      </c>
      <c r="L22" s="61">
        <v>999.31451000000004</v>
      </c>
      <c r="M22" s="60">
        <v>0</v>
      </c>
      <c r="N22" s="61">
        <v>0</v>
      </c>
      <c r="O22" s="62" t="s">
        <v>39</v>
      </c>
      <c r="P22" s="63" t="s">
        <v>40</v>
      </c>
      <c r="Q22" s="64" t="s">
        <v>41</v>
      </c>
    </row>
    <row r="23" spans="1:17" ht="72" x14ac:dyDescent="0.25">
      <c r="A23" s="1">
        <v>2</v>
      </c>
      <c r="B23" s="57">
        <f t="shared" si="3"/>
        <v>5</v>
      </c>
      <c r="C23" s="58" t="s">
        <v>42</v>
      </c>
      <c r="D23" s="59" t="s">
        <v>43</v>
      </c>
      <c r="E23" s="60">
        <v>0</v>
      </c>
      <c r="F23" s="61">
        <v>4500</v>
      </c>
      <c r="G23" s="60">
        <v>0</v>
      </c>
      <c r="H23" s="61">
        <v>4500</v>
      </c>
      <c r="I23" s="60">
        <v>0</v>
      </c>
      <c r="J23" s="61">
        <v>4500</v>
      </c>
      <c r="K23" s="60">
        <v>0</v>
      </c>
      <c r="L23" s="61">
        <v>4500</v>
      </c>
      <c r="M23" s="60">
        <v>0</v>
      </c>
      <c r="N23" s="61">
        <v>0</v>
      </c>
      <c r="O23" s="62" t="s">
        <v>36</v>
      </c>
      <c r="P23" s="63"/>
      <c r="Q23" s="64"/>
    </row>
    <row r="24" spans="1:17" ht="72" x14ac:dyDescent="0.25">
      <c r="A24" s="1">
        <v>2</v>
      </c>
      <c r="B24" s="57">
        <f t="shared" si="3"/>
        <v>6</v>
      </c>
      <c r="C24" s="58" t="s">
        <v>44</v>
      </c>
      <c r="D24" s="59" t="s">
        <v>29</v>
      </c>
      <c r="E24" s="60">
        <v>0</v>
      </c>
      <c r="F24" s="61">
        <v>36488.248</v>
      </c>
      <c r="G24" s="60">
        <v>0</v>
      </c>
      <c r="H24" s="61">
        <v>36488.248</v>
      </c>
      <c r="I24" s="60">
        <v>0</v>
      </c>
      <c r="J24" s="61">
        <v>36488.247000000003</v>
      </c>
      <c r="K24" s="60">
        <v>0</v>
      </c>
      <c r="L24" s="61">
        <v>36488.247320000002</v>
      </c>
      <c r="M24" s="60">
        <v>0</v>
      </c>
      <c r="N24" s="61">
        <v>0</v>
      </c>
      <c r="O24" s="62" t="s">
        <v>30</v>
      </c>
      <c r="P24" s="63"/>
      <c r="Q24" s="64"/>
    </row>
    <row r="25" spans="1:17" ht="54" x14ac:dyDescent="0.25">
      <c r="A25" s="1">
        <v>2</v>
      </c>
      <c r="B25" s="57">
        <f t="shared" si="3"/>
        <v>7</v>
      </c>
      <c r="C25" s="58" t="s">
        <v>45</v>
      </c>
      <c r="D25" s="59" t="s">
        <v>46</v>
      </c>
      <c r="E25" s="60">
        <v>0</v>
      </c>
      <c r="F25" s="61">
        <v>3670.3519999999999</v>
      </c>
      <c r="G25" s="60">
        <v>0</v>
      </c>
      <c r="H25" s="61">
        <v>3670.3519999999999</v>
      </c>
      <c r="I25" s="60">
        <v>0</v>
      </c>
      <c r="J25" s="61">
        <v>3670.3519999999999</v>
      </c>
      <c r="K25" s="60">
        <v>0</v>
      </c>
      <c r="L25" s="61">
        <v>3670.3519999999999</v>
      </c>
      <c r="M25" s="60">
        <v>0</v>
      </c>
      <c r="N25" s="61">
        <v>0</v>
      </c>
      <c r="O25" s="62" t="s">
        <v>30</v>
      </c>
      <c r="P25" s="63"/>
      <c r="Q25" s="64"/>
    </row>
    <row r="26" spans="1:17" ht="180" x14ac:dyDescent="0.25">
      <c r="A26" s="1">
        <v>2</v>
      </c>
      <c r="B26" s="57">
        <f t="shared" si="3"/>
        <v>8</v>
      </c>
      <c r="C26" s="58" t="s">
        <v>47</v>
      </c>
      <c r="D26" s="59" t="s">
        <v>35</v>
      </c>
      <c r="E26" s="60">
        <v>0</v>
      </c>
      <c r="F26" s="61">
        <v>2000</v>
      </c>
      <c r="G26" s="60">
        <v>0</v>
      </c>
      <c r="H26" s="61">
        <v>2000</v>
      </c>
      <c r="I26" s="60">
        <v>0</v>
      </c>
      <c r="J26" s="61">
        <v>2000</v>
      </c>
      <c r="K26" s="60">
        <v>0</v>
      </c>
      <c r="L26" s="61">
        <v>2000</v>
      </c>
      <c r="M26" s="60">
        <v>0</v>
      </c>
      <c r="N26" s="61">
        <v>0</v>
      </c>
      <c r="O26" s="62" t="s">
        <v>48</v>
      </c>
      <c r="P26" s="63"/>
      <c r="Q26" s="64"/>
    </row>
    <row r="27" spans="1:17" ht="72" x14ac:dyDescent="0.25">
      <c r="A27" s="1">
        <v>2</v>
      </c>
      <c r="B27" s="57">
        <f t="shared" si="3"/>
        <v>9</v>
      </c>
      <c r="C27" s="58" t="s">
        <v>49</v>
      </c>
      <c r="D27" s="59" t="s">
        <v>29</v>
      </c>
      <c r="E27" s="60">
        <v>0</v>
      </c>
      <c r="F27" s="61">
        <v>3200</v>
      </c>
      <c r="G27" s="60">
        <v>0</v>
      </c>
      <c r="H27" s="61">
        <v>3200</v>
      </c>
      <c r="I27" s="60">
        <v>0</v>
      </c>
      <c r="J27" s="61">
        <v>3200</v>
      </c>
      <c r="K27" s="60">
        <v>0</v>
      </c>
      <c r="L27" s="61">
        <v>3200</v>
      </c>
      <c r="M27" s="60">
        <v>0</v>
      </c>
      <c r="N27" s="61">
        <v>0</v>
      </c>
      <c r="O27" s="62" t="s">
        <v>36</v>
      </c>
      <c r="P27" s="63"/>
      <c r="Q27" s="64"/>
    </row>
    <row r="28" spans="1:17" ht="108" x14ac:dyDescent="0.25">
      <c r="A28" s="1">
        <v>2</v>
      </c>
      <c r="B28" s="57">
        <f t="shared" si="3"/>
        <v>10</v>
      </c>
      <c r="C28" s="58" t="s">
        <v>50</v>
      </c>
      <c r="D28" s="59" t="s">
        <v>51</v>
      </c>
      <c r="E28" s="60">
        <v>4205.1000000000004</v>
      </c>
      <c r="F28" s="61">
        <v>0</v>
      </c>
      <c r="G28" s="60">
        <v>4205.1000000000004</v>
      </c>
      <c r="H28" s="61">
        <v>0</v>
      </c>
      <c r="I28" s="60">
        <v>3644.1210000000001</v>
      </c>
      <c r="J28" s="61">
        <v>0</v>
      </c>
      <c r="K28" s="60">
        <v>3644.1214100000002</v>
      </c>
      <c r="L28" s="61">
        <v>0</v>
      </c>
      <c r="M28" s="60">
        <v>0</v>
      </c>
      <c r="N28" s="61">
        <v>0</v>
      </c>
      <c r="O28" s="62" t="s">
        <v>52</v>
      </c>
      <c r="P28" s="63" t="s">
        <v>53</v>
      </c>
      <c r="Q28" s="64" t="s">
        <v>41</v>
      </c>
    </row>
    <row r="29" spans="1:17" ht="54" x14ac:dyDescent="0.25">
      <c r="A29" s="1">
        <v>2</v>
      </c>
      <c r="B29" s="57">
        <f t="shared" si="3"/>
        <v>11</v>
      </c>
      <c r="C29" s="58" t="s">
        <v>54</v>
      </c>
      <c r="D29" s="59" t="s">
        <v>55</v>
      </c>
      <c r="E29" s="60">
        <f>12000-9351.852</f>
        <v>2648.1479999999992</v>
      </c>
      <c r="F29" s="61">
        <v>9351.8520000000008</v>
      </c>
      <c r="G29" s="60">
        <v>2648.1480000000001</v>
      </c>
      <c r="H29" s="61">
        <v>9351.8520000000008</v>
      </c>
      <c r="I29" s="60">
        <v>2630.1419999999998</v>
      </c>
      <c r="J29" s="61">
        <v>9351.3240000000005</v>
      </c>
      <c r="K29" s="60">
        <v>2630.1416899999999</v>
      </c>
      <c r="L29" s="61">
        <v>9351.3241099999996</v>
      </c>
      <c r="M29" s="60">
        <v>0</v>
      </c>
      <c r="N29" s="61">
        <v>0</v>
      </c>
      <c r="O29" s="62" t="s">
        <v>33</v>
      </c>
      <c r="P29" s="63"/>
      <c r="Q29" s="64"/>
    </row>
    <row r="30" spans="1:17" ht="90" x14ac:dyDescent="0.25">
      <c r="A30" s="1">
        <v>2</v>
      </c>
      <c r="B30" s="57">
        <f t="shared" si="3"/>
        <v>12</v>
      </c>
      <c r="C30" s="58" t="s">
        <v>56</v>
      </c>
      <c r="D30" s="59" t="s">
        <v>29</v>
      </c>
      <c r="E30" s="60">
        <v>0</v>
      </c>
      <c r="F30" s="61">
        <v>1500</v>
      </c>
      <c r="G30" s="60">
        <v>0</v>
      </c>
      <c r="H30" s="61">
        <v>1500</v>
      </c>
      <c r="I30" s="60">
        <v>0</v>
      </c>
      <c r="J30" s="61">
        <v>1500</v>
      </c>
      <c r="K30" s="60">
        <v>0</v>
      </c>
      <c r="L30" s="61">
        <v>1500</v>
      </c>
      <c r="M30" s="60">
        <v>0</v>
      </c>
      <c r="N30" s="61">
        <v>0</v>
      </c>
      <c r="O30" s="62" t="s">
        <v>36</v>
      </c>
      <c r="P30" s="63"/>
      <c r="Q30" s="64"/>
    </row>
    <row r="31" spans="1:17" ht="54" x14ac:dyDescent="0.25">
      <c r="A31" s="1">
        <v>2</v>
      </c>
      <c r="B31" s="57">
        <f t="shared" si="3"/>
        <v>13</v>
      </c>
      <c r="C31" s="58" t="s">
        <v>57</v>
      </c>
      <c r="D31" s="59" t="s">
        <v>29</v>
      </c>
      <c r="E31" s="60">
        <v>0</v>
      </c>
      <c r="F31" s="61">
        <v>2000</v>
      </c>
      <c r="G31" s="60">
        <v>0</v>
      </c>
      <c r="H31" s="61">
        <v>2000</v>
      </c>
      <c r="I31" s="60">
        <v>0</v>
      </c>
      <c r="J31" s="61">
        <v>712.22500000000002</v>
      </c>
      <c r="K31" s="60">
        <v>0</v>
      </c>
      <c r="L31" s="61">
        <v>712.22481000000005</v>
      </c>
      <c r="M31" s="60">
        <v>0</v>
      </c>
      <c r="N31" s="61">
        <v>0</v>
      </c>
      <c r="O31" s="62" t="s">
        <v>36</v>
      </c>
      <c r="P31" s="63"/>
      <c r="Q31" s="64"/>
    </row>
    <row r="32" spans="1:17" ht="72" x14ac:dyDescent="0.25">
      <c r="A32" s="1">
        <v>2</v>
      </c>
      <c r="B32" s="57">
        <f t="shared" si="3"/>
        <v>14</v>
      </c>
      <c r="C32" s="58" t="s">
        <v>58</v>
      </c>
      <c r="D32" s="59" t="s">
        <v>59</v>
      </c>
      <c r="E32" s="60">
        <v>0</v>
      </c>
      <c r="F32" s="61">
        <v>3000</v>
      </c>
      <c r="G32" s="60">
        <v>0</v>
      </c>
      <c r="H32" s="61">
        <v>3000</v>
      </c>
      <c r="I32" s="60">
        <v>0</v>
      </c>
      <c r="J32" s="61">
        <v>1154.7</v>
      </c>
      <c r="K32" s="60">
        <v>0</v>
      </c>
      <c r="L32" s="61">
        <v>1154.7</v>
      </c>
      <c r="M32" s="60">
        <v>0</v>
      </c>
      <c r="N32" s="61">
        <v>0</v>
      </c>
      <c r="O32" s="62" t="s">
        <v>36</v>
      </c>
      <c r="P32" s="63"/>
      <c r="Q32" s="64"/>
    </row>
    <row r="33" spans="1:17" ht="90" x14ac:dyDescent="0.25">
      <c r="A33" s="1">
        <v>2</v>
      </c>
      <c r="B33" s="57">
        <f t="shared" si="3"/>
        <v>15</v>
      </c>
      <c r="C33" s="58" t="s">
        <v>60</v>
      </c>
      <c r="D33" s="59" t="s">
        <v>29</v>
      </c>
      <c r="E33" s="60">
        <v>0</v>
      </c>
      <c r="F33" s="61">
        <v>1000</v>
      </c>
      <c r="G33" s="60">
        <v>0</v>
      </c>
      <c r="H33" s="61">
        <v>1000</v>
      </c>
      <c r="I33" s="60">
        <v>0</v>
      </c>
      <c r="J33" s="61">
        <v>1000</v>
      </c>
      <c r="K33" s="60">
        <v>0</v>
      </c>
      <c r="L33" s="61">
        <v>1000</v>
      </c>
      <c r="M33" s="60">
        <v>0</v>
      </c>
      <c r="N33" s="61">
        <v>0</v>
      </c>
      <c r="O33" s="62" t="s">
        <v>36</v>
      </c>
      <c r="P33" s="63"/>
      <c r="Q33" s="64"/>
    </row>
    <row r="34" spans="1:17" ht="108" x14ac:dyDescent="0.25">
      <c r="A34" s="1">
        <v>2</v>
      </c>
      <c r="B34" s="57">
        <f t="shared" si="3"/>
        <v>16</v>
      </c>
      <c r="C34" s="58" t="s">
        <v>61</v>
      </c>
      <c r="D34" s="59">
        <v>2017</v>
      </c>
      <c r="E34" s="60">
        <v>0</v>
      </c>
      <c r="F34" s="61">
        <v>1000</v>
      </c>
      <c r="G34" s="60">
        <v>0</v>
      </c>
      <c r="H34" s="61">
        <v>1000</v>
      </c>
      <c r="I34" s="60">
        <v>0</v>
      </c>
      <c r="J34" s="61">
        <v>1000</v>
      </c>
      <c r="K34" s="60">
        <v>0</v>
      </c>
      <c r="L34" s="61">
        <v>1000</v>
      </c>
      <c r="M34" s="60">
        <v>0</v>
      </c>
      <c r="N34" s="61">
        <v>0</v>
      </c>
      <c r="O34" s="62" t="s">
        <v>52</v>
      </c>
      <c r="P34" s="63" t="s">
        <v>62</v>
      </c>
      <c r="Q34" s="64" t="s">
        <v>41</v>
      </c>
    </row>
    <row r="35" spans="1:17" ht="90" x14ac:dyDescent="0.25">
      <c r="A35" s="1">
        <v>2</v>
      </c>
      <c r="B35" s="57">
        <f t="shared" si="3"/>
        <v>17</v>
      </c>
      <c r="C35" s="58" t="s">
        <v>63</v>
      </c>
      <c r="D35" s="59" t="s">
        <v>29</v>
      </c>
      <c r="E35" s="60">
        <v>0</v>
      </c>
      <c r="F35" s="61">
        <v>2100</v>
      </c>
      <c r="G35" s="60">
        <v>0</v>
      </c>
      <c r="H35" s="61">
        <v>2100</v>
      </c>
      <c r="I35" s="60">
        <v>0</v>
      </c>
      <c r="J35" s="61">
        <v>2065.5430000000001</v>
      </c>
      <c r="K35" s="60">
        <v>0</v>
      </c>
      <c r="L35" s="61">
        <v>2065.5432700000001</v>
      </c>
      <c r="M35" s="60">
        <v>0</v>
      </c>
      <c r="N35" s="61">
        <v>0</v>
      </c>
      <c r="O35" s="62" t="s">
        <v>64</v>
      </c>
      <c r="P35" s="63"/>
      <c r="Q35" s="64"/>
    </row>
    <row r="36" spans="1:17" ht="72" x14ac:dyDescent="0.25">
      <c r="A36" s="1">
        <v>2</v>
      </c>
      <c r="B36" s="57">
        <f t="shared" si="3"/>
        <v>18</v>
      </c>
      <c r="C36" s="58" t="s">
        <v>65</v>
      </c>
      <c r="D36" s="59">
        <v>2017</v>
      </c>
      <c r="E36" s="60">
        <v>0</v>
      </c>
      <c r="F36" s="61">
        <v>1000</v>
      </c>
      <c r="G36" s="60">
        <v>0</v>
      </c>
      <c r="H36" s="61">
        <v>1000</v>
      </c>
      <c r="I36" s="60">
        <v>0</v>
      </c>
      <c r="J36" s="61">
        <v>1000</v>
      </c>
      <c r="K36" s="60">
        <v>0</v>
      </c>
      <c r="L36" s="61">
        <v>1000</v>
      </c>
      <c r="M36" s="60">
        <v>0</v>
      </c>
      <c r="N36" s="61">
        <v>0</v>
      </c>
      <c r="O36" s="62" t="s">
        <v>39</v>
      </c>
      <c r="P36" s="63" t="s">
        <v>66</v>
      </c>
      <c r="Q36" s="64" t="s">
        <v>41</v>
      </c>
    </row>
    <row r="37" spans="1:17" ht="108" x14ac:dyDescent="0.25">
      <c r="A37" s="1">
        <v>2</v>
      </c>
      <c r="B37" s="57">
        <f t="shared" si="3"/>
        <v>19</v>
      </c>
      <c r="C37" s="58" t="s">
        <v>67</v>
      </c>
      <c r="D37" s="59">
        <v>2017</v>
      </c>
      <c r="E37" s="60">
        <v>0</v>
      </c>
      <c r="F37" s="61">
        <v>1800</v>
      </c>
      <c r="G37" s="60">
        <v>0</v>
      </c>
      <c r="H37" s="61">
        <v>1800</v>
      </c>
      <c r="I37" s="60">
        <v>0</v>
      </c>
      <c r="J37" s="61">
        <v>1800</v>
      </c>
      <c r="K37" s="60">
        <v>0</v>
      </c>
      <c r="L37" s="61">
        <v>1800</v>
      </c>
      <c r="M37" s="60">
        <v>0</v>
      </c>
      <c r="N37" s="61">
        <v>0</v>
      </c>
      <c r="O37" s="62" t="s">
        <v>52</v>
      </c>
      <c r="P37" s="63" t="s">
        <v>68</v>
      </c>
      <c r="Q37" s="64" t="s">
        <v>41</v>
      </c>
    </row>
    <row r="38" spans="1:17" ht="72" x14ac:dyDescent="0.25">
      <c r="A38" s="1">
        <v>2</v>
      </c>
      <c r="B38" s="57">
        <f t="shared" si="3"/>
        <v>20</v>
      </c>
      <c r="C38" s="58" t="s">
        <v>69</v>
      </c>
      <c r="D38" s="59">
        <v>2017</v>
      </c>
      <c r="E38" s="60">
        <v>0</v>
      </c>
      <c r="F38" s="61">
        <v>762.2</v>
      </c>
      <c r="G38" s="60">
        <v>0</v>
      </c>
      <c r="H38" s="61">
        <v>762.2</v>
      </c>
      <c r="I38" s="60">
        <v>0</v>
      </c>
      <c r="J38" s="61">
        <v>730.79300000000001</v>
      </c>
      <c r="K38" s="60">
        <v>0</v>
      </c>
      <c r="L38" s="61">
        <v>730.79313999999999</v>
      </c>
      <c r="M38" s="60">
        <v>0</v>
      </c>
      <c r="N38" s="61">
        <v>0</v>
      </c>
      <c r="O38" s="62" t="s">
        <v>52</v>
      </c>
      <c r="P38" s="63" t="s">
        <v>70</v>
      </c>
      <c r="Q38" s="64" t="s">
        <v>41</v>
      </c>
    </row>
    <row r="39" spans="1:17" ht="72" x14ac:dyDescent="0.25">
      <c r="A39" s="1">
        <v>2</v>
      </c>
      <c r="B39" s="57">
        <f t="shared" si="3"/>
        <v>21</v>
      </c>
      <c r="C39" s="58" t="s">
        <v>71</v>
      </c>
      <c r="D39" s="59">
        <v>2017</v>
      </c>
      <c r="E39" s="60">
        <v>0</v>
      </c>
      <c r="F39" s="61">
        <v>500</v>
      </c>
      <c r="G39" s="60">
        <v>0</v>
      </c>
      <c r="H39" s="61">
        <v>500</v>
      </c>
      <c r="I39" s="60">
        <v>0</v>
      </c>
      <c r="J39" s="61">
        <v>500</v>
      </c>
      <c r="K39" s="60">
        <v>0</v>
      </c>
      <c r="L39" s="61">
        <v>499.99988999999999</v>
      </c>
      <c r="M39" s="60">
        <v>0</v>
      </c>
      <c r="N39" s="61">
        <v>0</v>
      </c>
      <c r="O39" s="62" t="s">
        <v>52</v>
      </c>
      <c r="P39" s="63" t="s">
        <v>72</v>
      </c>
      <c r="Q39" s="64" t="s">
        <v>41</v>
      </c>
    </row>
    <row r="40" spans="1:17" ht="72" x14ac:dyDescent="0.25">
      <c r="A40" s="1">
        <v>2</v>
      </c>
      <c r="B40" s="57">
        <f t="shared" si="3"/>
        <v>22</v>
      </c>
      <c r="C40" s="58" t="s">
        <v>73</v>
      </c>
      <c r="D40" s="59" t="s">
        <v>29</v>
      </c>
      <c r="E40" s="60">
        <v>0</v>
      </c>
      <c r="F40" s="61">
        <v>1200</v>
      </c>
      <c r="G40" s="60">
        <v>0</v>
      </c>
      <c r="H40" s="61">
        <v>1200</v>
      </c>
      <c r="I40" s="60">
        <v>0</v>
      </c>
      <c r="J40" s="61">
        <v>1200</v>
      </c>
      <c r="K40" s="60">
        <v>0</v>
      </c>
      <c r="L40" s="61">
        <v>1200</v>
      </c>
      <c r="M40" s="60">
        <v>0</v>
      </c>
      <c r="N40" s="61">
        <v>0</v>
      </c>
      <c r="O40" s="62" t="s">
        <v>36</v>
      </c>
      <c r="P40" s="63"/>
      <c r="Q40" s="64"/>
    </row>
    <row r="41" spans="1:17" ht="72" x14ac:dyDescent="0.25">
      <c r="A41" s="1">
        <v>2</v>
      </c>
      <c r="B41" s="57">
        <f t="shared" si="3"/>
        <v>23</v>
      </c>
      <c r="C41" s="58" t="s">
        <v>74</v>
      </c>
      <c r="D41" s="59">
        <v>2017</v>
      </c>
      <c r="E41" s="60">
        <v>0</v>
      </c>
      <c r="F41" s="61">
        <v>800</v>
      </c>
      <c r="G41" s="60">
        <v>0</v>
      </c>
      <c r="H41" s="61">
        <v>800</v>
      </c>
      <c r="I41" s="60">
        <v>0</v>
      </c>
      <c r="J41" s="61">
        <v>800</v>
      </c>
      <c r="K41" s="60">
        <v>0</v>
      </c>
      <c r="L41" s="61">
        <v>800</v>
      </c>
      <c r="M41" s="60">
        <v>0</v>
      </c>
      <c r="N41" s="61">
        <v>0</v>
      </c>
      <c r="O41" s="62" t="s">
        <v>39</v>
      </c>
      <c r="P41" s="63" t="s">
        <v>75</v>
      </c>
      <c r="Q41" s="64" t="s">
        <v>41</v>
      </c>
    </row>
    <row r="42" spans="1:17" ht="72" x14ac:dyDescent="0.25">
      <c r="A42" s="1">
        <v>2</v>
      </c>
      <c r="B42" s="57">
        <f t="shared" si="3"/>
        <v>24</v>
      </c>
      <c r="C42" s="58" t="s">
        <v>76</v>
      </c>
      <c r="D42" s="59" t="s">
        <v>29</v>
      </c>
      <c r="E42" s="60">
        <v>0</v>
      </c>
      <c r="F42" s="61">
        <v>600</v>
      </c>
      <c r="G42" s="60">
        <v>0</v>
      </c>
      <c r="H42" s="61">
        <v>600</v>
      </c>
      <c r="I42" s="60">
        <v>0</v>
      </c>
      <c r="J42" s="61">
        <v>600</v>
      </c>
      <c r="K42" s="60">
        <v>0</v>
      </c>
      <c r="L42" s="61">
        <v>600</v>
      </c>
      <c r="M42" s="60">
        <v>0</v>
      </c>
      <c r="N42" s="61">
        <v>0</v>
      </c>
      <c r="O42" s="62" t="s">
        <v>36</v>
      </c>
      <c r="P42" s="63"/>
      <c r="Q42" s="64"/>
    </row>
    <row r="43" spans="1:17" ht="108" x14ac:dyDescent="0.25">
      <c r="A43" s="1">
        <v>2</v>
      </c>
      <c r="B43" s="57">
        <f t="shared" si="3"/>
        <v>25</v>
      </c>
      <c r="C43" s="58" t="s">
        <v>77</v>
      </c>
      <c r="D43" s="59">
        <v>2017</v>
      </c>
      <c r="E43" s="60">
        <v>0</v>
      </c>
      <c r="F43" s="61">
        <v>1000</v>
      </c>
      <c r="G43" s="60">
        <v>0</v>
      </c>
      <c r="H43" s="61">
        <v>1000</v>
      </c>
      <c r="I43" s="60">
        <v>0</v>
      </c>
      <c r="J43" s="61">
        <v>1000</v>
      </c>
      <c r="K43" s="60">
        <v>0</v>
      </c>
      <c r="L43" s="61">
        <v>1000</v>
      </c>
      <c r="M43" s="60">
        <v>0</v>
      </c>
      <c r="N43" s="61">
        <v>0</v>
      </c>
      <c r="O43" s="62" t="s">
        <v>52</v>
      </c>
      <c r="P43" s="63" t="s">
        <v>78</v>
      </c>
      <c r="Q43" s="64" t="s">
        <v>41</v>
      </c>
    </row>
    <row r="44" spans="1:17" ht="108" x14ac:dyDescent="0.25">
      <c r="A44" s="1">
        <v>2</v>
      </c>
      <c r="B44" s="57">
        <f t="shared" si="3"/>
        <v>26</v>
      </c>
      <c r="C44" s="58" t="s">
        <v>79</v>
      </c>
      <c r="D44" s="59">
        <v>2017</v>
      </c>
      <c r="E44" s="60">
        <v>0</v>
      </c>
      <c r="F44" s="61">
        <v>1000</v>
      </c>
      <c r="G44" s="60">
        <v>0</v>
      </c>
      <c r="H44" s="61">
        <v>1000</v>
      </c>
      <c r="I44" s="60">
        <v>0</v>
      </c>
      <c r="J44" s="61">
        <v>926.803</v>
      </c>
      <c r="K44" s="60">
        <v>0</v>
      </c>
      <c r="L44" s="61">
        <v>926.80299000000002</v>
      </c>
      <c r="M44" s="60">
        <v>0</v>
      </c>
      <c r="N44" s="61">
        <v>0</v>
      </c>
      <c r="O44" s="62" t="s">
        <v>39</v>
      </c>
      <c r="P44" s="63" t="s">
        <v>80</v>
      </c>
      <c r="Q44" s="64" t="s">
        <v>41</v>
      </c>
    </row>
    <row r="45" spans="1:17" ht="126" x14ac:dyDescent="0.25">
      <c r="A45" s="1">
        <v>2</v>
      </c>
      <c r="B45" s="57">
        <f t="shared" si="3"/>
        <v>27</v>
      </c>
      <c r="C45" s="58" t="s">
        <v>81</v>
      </c>
      <c r="D45" s="59">
        <v>2017</v>
      </c>
      <c r="E45" s="60">
        <v>0</v>
      </c>
      <c r="F45" s="61">
        <v>924.6</v>
      </c>
      <c r="G45" s="60">
        <v>0</v>
      </c>
      <c r="H45" s="61">
        <v>924.6</v>
      </c>
      <c r="I45" s="60">
        <v>0</v>
      </c>
      <c r="J45" s="61">
        <v>924.6</v>
      </c>
      <c r="K45" s="60">
        <v>0</v>
      </c>
      <c r="L45" s="61">
        <v>924.6</v>
      </c>
      <c r="M45" s="60">
        <v>0</v>
      </c>
      <c r="N45" s="61">
        <v>0</v>
      </c>
      <c r="O45" s="62" t="s">
        <v>39</v>
      </c>
      <c r="P45" s="63" t="s">
        <v>82</v>
      </c>
      <c r="Q45" s="64" t="s">
        <v>41</v>
      </c>
    </row>
    <row r="46" spans="1:17" ht="72" x14ac:dyDescent="0.25">
      <c r="A46" s="1">
        <v>2</v>
      </c>
      <c r="B46" s="57">
        <f t="shared" si="3"/>
        <v>28</v>
      </c>
      <c r="C46" s="58" t="s">
        <v>83</v>
      </c>
      <c r="D46" s="59" t="s">
        <v>29</v>
      </c>
      <c r="E46" s="60">
        <v>0</v>
      </c>
      <c r="F46" s="61">
        <v>3000</v>
      </c>
      <c r="G46" s="60">
        <v>0</v>
      </c>
      <c r="H46" s="61">
        <v>3000</v>
      </c>
      <c r="I46" s="60">
        <v>0</v>
      </c>
      <c r="J46" s="61">
        <v>3000</v>
      </c>
      <c r="K46" s="60">
        <v>0</v>
      </c>
      <c r="L46" s="61">
        <v>3000</v>
      </c>
      <c r="M46" s="60">
        <v>0</v>
      </c>
      <c r="N46" s="61">
        <v>0</v>
      </c>
      <c r="O46" s="62" t="s">
        <v>36</v>
      </c>
      <c r="P46" s="63"/>
      <c r="Q46" s="64"/>
    </row>
    <row r="47" spans="1:17" ht="72" x14ac:dyDescent="0.25">
      <c r="A47" s="1">
        <v>2</v>
      </c>
      <c r="B47" s="57">
        <f t="shared" si="3"/>
        <v>29</v>
      </c>
      <c r="C47" s="58" t="s">
        <v>84</v>
      </c>
      <c r="D47" s="59">
        <v>2017</v>
      </c>
      <c r="E47" s="66">
        <v>0</v>
      </c>
      <c r="F47" s="65">
        <v>270</v>
      </c>
      <c r="G47" s="66">
        <v>0</v>
      </c>
      <c r="H47" s="65">
        <v>270</v>
      </c>
      <c r="I47" s="66">
        <v>0</v>
      </c>
      <c r="J47" s="65">
        <v>270</v>
      </c>
      <c r="K47" s="66">
        <v>0</v>
      </c>
      <c r="L47" s="65">
        <v>270</v>
      </c>
      <c r="M47" s="66">
        <v>0</v>
      </c>
      <c r="N47" s="65">
        <v>0</v>
      </c>
      <c r="O47" s="62" t="s">
        <v>39</v>
      </c>
      <c r="P47" s="63" t="s">
        <v>85</v>
      </c>
      <c r="Q47" s="64" t="s">
        <v>41</v>
      </c>
    </row>
    <row r="48" spans="1:17" ht="162" x14ac:dyDescent="0.25">
      <c r="A48" s="1">
        <v>2</v>
      </c>
      <c r="B48" s="57">
        <f t="shared" si="3"/>
        <v>30</v>
      </c>
      <c r="C48" s="58" t="s">
        <v>86</v>
      </c>
      <c r="D48" s="59" t="s">
        <v>29</v>
      </c>
      <c r="E48" s="66">
        <v>0</v>
      </c>
      <c r="F48" s="65">
        <v>4090</v>
      </c>
      <c r="G48" s="66">
        <v>0</v>
      </c>
      <c r="H48" s="65">
        <v>4090</v>
      </c>
      <c r="I48" s="66">
        <v>0</v>
      </c>
      <c r="J48" s="65">
        <v>3975.5059999999999</v>
      </c>
      <c r="K48" s="66">
        <v>0</v>
      </c>
      <c r="L48" s="65">
        <v>3975.50614</v>
      </c>
      <c r="M48" s="66">
        <v>0</v>
      </c>
      <c r="N48" s="65">
        <v>0</v>
      </c>
      <c r="O48" s="62" t="s">
        <v>36</v>
      </c>
      <c r="P48" s="63"/>
      <c r="Q48" s="64"/>
    </row>
    <row r="49" spans="1:17" ht="72" x14ac:dyDescent="0.25">
      <c r="A49" s="1">
        <v>2</v>
      </c>
      <c r="B49" s="57">
        <f t="shared" si="3"/>
        <v>31</v>
      </c>
      <c r="C49" s="58" t="s">
        <v>87</v>
      </c>
      <c r="D49" s="67" t="s">
        <v>29</v>
      </c>
      <c r="E49" s="66">
        <v>0</v>
      </c>
      <c r="F49" s="65">
        <f>7829.4+800</f>
        <v>8629.4</v>
      </c>
      <c r="G49" s="66">
        <v>0</v>
      </c>
      <c r="H49" s="65">
        <v>8629.4</v>
      </c>
      <c r="I49" s="66">
        <v>0</v>
      </c>
      <c r="J49" s="65">
        <v>8629.4</v>
      </c>
      <c r="K49" s="66">
        <v>0</v>
      </c>
      <c r="L49" s="65">
        <v>8629.4</v>
      </c>
      <c r="M49" s="66">
        <v>0</v>
      </c>
      <c r="N49" s="65">
        <v>0</v>
      </c>
      <c r="O49" s="62" t="s">
        <v>64</v>
      </c>
      <c r="P49" s="63"/>
      <c r="Q49" s="64"/>
    </row>
    <row r="50" spans="1:17" ht="72" x14ac:dyDescent="0.25">
      <c r="A50" s="1">
        <v>2</v>
      </c>
      <c r="B50" s="57">
        <f t="shared" si="3"/>
        <v>32</v>
      </c>
      <c r="C50" s="58" t="s">
        <v>88</v>
      </c>
      <c r="D50" s="59" t="s">
        <v>29</v>
      </c>
      <c r="E50" s="66">
        <v>0</v>
      </c>
      <c r="F50" s="65">
        <v>5810</v>
      </c>
      <c r="G50" s="66">
        <v>0</v>
      </c>
      <c r="H50" s="65">
        <v>5810</v>
      </c>
      <c r="I50" s="66">
        <v>0</v>
      </c>
      <c r="J50" s="65">
        <v>5786.1710000000003</v>
      </c>
      <c r="K50" s="66">
        <v>0</v>
      </c>
      <c r="L50" s="65">
        <v>5786.1705300000003</v>
      </c>
      <c r="M50" s="66">
        <v>0</v>
      </c>
      <c r="N50" s="65">
        <v>0</v>
      </c>
      <c r="O50" s="62" t="s">
        <v>30</v>
      </c>
      <c r="P50" s="63"/>
      <c r="Q50" s="64"/>
    </row>
    <row r="51" spans="1:17" ht="90" x14ac:dyDescent="0.25">
      <c r="A51" s="1">
        <v>2</v>
      </c>
      <c r="B51" s="57">
        <f t="shared" si="3"/>
        <v>33</v>
      </c>
      <c r="C51" s="58" t="s">
        <v>89</v>
      </c>
      <c r="D51" s="67" t="s">
        <v>29</v>
      </c>
      <c r="E51" s="66">
        <v>0</v>
      </c>
      <c r="F51" s="65">
        <v>1500</v>
      </c>
      <c r="G51" s="66">
        <v>0</v>
      </c>
      <c r="H51" s="65">
        <v>1500</v>
      </c>
      <c r="I51" s="66">
        <v>0</v>
      </c>
      <c r="J51" s="65">
        <v>1500</v>
      </c>
      <c r="K51" s="66">
        <v>0</v>
      </c>
      <c r="L51" s="65">
        <v>1500</v>
      </c>
      <c r="M51" s="66">
        <v>0</v>
      </c>
      <c r="N51" s="65">
        <v>0</v>
      </c>
      <c r="O51" s="62" t="s">
        <v>36</v>
      </c>
      <c r="P51" s="63"/>
      <c r="Q51" s="64"/>
    </row>
    <row r="52" spans="1:17" ht="108" x14ac:dyDescent="0.25">
      <c r="A52" s="1">
        <v>2</v>
      </c>
      <c r="B52" s="57">
        <f t="shared" si="3"/>
        <v>34</v>
      </c>
      <c r="C52" s="58" t="s">
        <v>90</v>
      </c>
      <c r="D52" s="59" t="s">
        <v>29</v>
      </c>
      <c r="E52" s="66">
        <v>0</v>
      </c>
      <c r="F52" s="65">
        <v>2254.8000000000002</v>
      </c>
      <c r="G52" s="66">
        <v>0</v>
      </c>
      <c r="H52" s="65">
        <v>2254.8000000000002</v>
      </c>
      <c r="I52" s="66">
        <v>0</v>
      </c>
      <c r="J52" s="65">
        <v>2254.8000000000002</v>
      </c>
      <c r="K52" s="66">
        <v>0</v>
      </c>
      <c r="L52" s="65">
        <v>2254.8000000000002</v>
      </c>
      <c r="M52" s="66">
        <v>0</v>
      </c>
      <c r="N52" s="65">
        <v>0</v>
      </c>
      <c r="O52" s="62" t="s">
        <v>30</v>
      </c>
      <c r="P52" s="63"/>
      <c r="Q52" s="64"/>
    </row>
    <row r="53" spans="1:17" ht="90" x14ac:dyDescent="0.25">
      <c r="A53" s="1">
        <v>2</v>
      </c>
      <c r="B53" s="57">
        <f t="shared" si="3"/>
        <v>35</v>
      </c>
      <c r="C53" s="58" t="s">
        <v>91</v>
      </c>
      <c r="D53" s="67" t="s">
        <v>92</v>
      </c>
      <c r="E53" s="66">
        <v>0</v>
      </c>
      <c r="F53" s="65">
        <v>4000</v>
      </c>
      <c r="G53" s="66">
        <v>0</v>
      </c>
      <c r="H53" s="65">
        <v>4000</v>
      </c>
      <c r="I53" s="66">
        <v>0</v>
      </c>
      <c r="J53" s="65">
        <v>3999.9969999999998</v>
      </c>
      <c r="K53" s="66">
        <v>0</v>
      </c>
      <c r="L53" s="65">
        <v>3999.9968199999998</v>
      </c>
      <c r="M53" s="66">
        <v>0</v>
      </c>
      <c r="N53" s="65">
        <v>0</v>
      </c>
      <c r="O53" s="62" t="s">
        <v>30</v>
      </c>
      <c r="P53" s="63"/>
      <c r="Q53" s="64"/>
    </row>
    <row r="54" spans="1:17" ht="54" x14ac:dyDescent="0.25">
      <c r="A54" s="1">
        <v>2</v>
      </c>
      <c r="B54" s="57">
        <f t="shared" si="3"/>
        <v>36</v>
      </c>
      <c r="C54" s="58" t="s">
        <v>93</v>
      </c>
      <c r="D54" s="59">
        <v>2017</v>
      </c>
      <c r="E54" s="66">
        <v>0</v>
      </c>
      <c r="F54" s="65">
        <v>1800</v>
      </c>
      <c r="G54" s="66">
        <v>0</v>
      </c>
      <c r="H54" s="65">
        <v>1800</v>
      </c>
      <c r="I54" s="66">
        <v>0</v>
      </c>
      <c r="J54" s="65">
        <v>1800</v>
      </c>
      <c r="K54" s="66">
        <v>0</v>
      </c>
      <c r="L54" s="65">
        <v>1800</v>
      </c>
      <c r="M54" s="66">
        <v>0</v>
      </c>
      <c r="N54" s="65">
        <v>0</v>
      </c>
      <c r="O54" s="62" t="s">
        <v>39</v>
      </c>
      <c r="P54" s="63" t="s">
        <v>94</v>
      </c>
      <c r="Q54" s="64" t="s">
        <v>41</v>
      </c>
    </row>
    <row r="55" spans="1:17" ht="54" x14ac:dyDescent="0.25">
      <c r="A55" s="1">
        <v>2</v>
      </c>
      <c r="B55" s="57">
        <f t="shared" si="3"/>
        <v>37</v>
      </c>
      <c r="C55" s="58" t="s">
        <v>95</v>
      </c>
      <c r="D55" s="67" t="s">
        <v>96</v>
      </c>
      <c r="E55" s="66">
        <v>0</v>
      </c>
      <c r="F55" s="65">
        <v>800</v>
      </c>
      <c r="G55" s="66">
        <v>0</v>
      </c>
      <c r="H55" s="65">
        <v>800</v>
      </c>
      <c r="I55" s="66">
        <v>0</v>
      </c>
      <c r="J55" s="65">
        <v>800</v>
      </c>
      <c r="K55" s="66">
        <v>0</v>
      </c>
      <c r="L55" s="65">
        <v>800</v>
      </c>
      <c r="M55" s="66">
        <v>0</v>
      </c>
      <c r="N55" s="65">
        <v>0</v>
      </c>
      <c r="O55" s="62" t="s">
        <v>97</v>
      </c>
      <c r="P55" s="63"/>
      <c r="Q55" s="64"/>
    </row>
    <row r="56" spans="1:17" ht="72" x14ac:dyDescent="0.25">
      <c r="A56" s="1">
        <v>2</v>
      </c>
      <c r="B56" s="57">
        <f t="shared" si="3"/>
        <v>38</v>
      </c>
      <c r="C56" s="58" t="s">
        <v>98</v>
      </c>
      <c r="D56" s="67" t="s">
        <v>99</v>
      </c>
      <c r="E56" s="66">
        <v>0</v>
      </c>
      <c r="F56" s="65">
        <v>1500</v>
      </c>
      <c r="G56" s="66">
        <v>0</v>
      </c>
      <c r="H56" s="65">
        <v>1500</v>
      </c>
      <c r="I56" s="66">
        <v>0</v>
      </c>
      <c r="J56" s="65">
        <v>1500</v>
      </c>
      <c r="K56" s="66">
        <v>0</v>
      </c>
      <c r="L56" s="65">
        <v>1500</v>
      </c>
      <c r="M56" s="66">
        <v>0</v>
      </c>
      <c r="N56" s="65">
        <v>0</v>
      </c>
      <c r="O56" s="62" t="s">
        <v>33</v>
      </c>
      <c r="P56" s="63"/>
      <c r="Q56" s="64"/>
    </row>
    <row r="57" spans="1:17" ht="54" x14ac:dyDescent="0.25">
      <c r="A57" s="1">
        <v>2</v>
      </c>
      <c r="B57" s="57">
        <f t="shared" si="3"/>
        <v>39</v>
      </c>
      <c r="C57" s="58" t="s">
        <v>100</v>
      </c>
      <c r="D57" s="67" t="s">
        <v>101</v>
      </c>
      <c r="E57" s="66">
        <v>0</v>
      </c>
      <c r="F57" s="65">
        <v>500</v>
      </c>
      <c r="G57" s="66">
        <v>0</v>
      </c>
      <c r="H57" s="65">
        <v>500</v>
      </c>
      <c r="I57" s="66">
        <v>0</v>
      </c>
      <c r="J57" s="65">
        <v>500</v>
      </c>
      <c r="K57" s="66">
        <v>0</v>
      </c>
      <c r="L57" s="65">
        <v>500</v>
      </c>
      <c r="M57" s="66">
        <v>0</v>
      </c>
      <c r="N57" s="65">
        <v>0</v>
      </c>
      <c r="O57" s="62" t="s">
        <v>102</v>
      </c>
      <c r="P57" s="63"/>
      <c r="Q57" s="64"/>
    </row>
    <row r="58" spans="1:17" ht="54" x14ac:dyDescent="0.25">
      <c r="A58" s="1">
        <v>2</v>
      </c>
      <c r="B58" s="57">
        <f t="shared" si="3"/>
        <v>40</v>
      </c>
      <c r="C58" s="58" t="s">
        <v>103</v>
      </c>
      <c r="D58" s="59">
        <v>2017</v>
      </c>
      <c r="E58" s="66">
        <v>0</v>
      </c>
      <c r="F58" s="65">
        <v>435.1</v>
      </c>
      <c r="G58" s="66">
        <v>0</v>
      </c>
      <c r="H58" s="65">
        <v>435.1</v>
      </c>
      <c r="I58" s="66">
        <v>0</v>
      </c>
      <c r="J58" s="65">
        <v>435.1</v>
      </c>
      <c r="K58" s="66">
        <v>0</v>
      </c>
      <c r="L58" s="65">
        <v>435.1</v>
      </c>
      <c r="M58" s="66">
        <v>0</v>
      </c>
      <c r="N58" s="65">
        <v>0</v>
      </c>
      <c r="O58" s="62" t="s">
        <v>52</v>
      </c>
      <c r="P58" s="63" t="s">
        <v>68</v>
      </c>
      <c r="Q58" s="64" t="s">
        <v>41</v>
      </c>
    </row>
    <row r="59" spans="1:17" ht="54" x14ac:dyDescent="0.25">
      <c r="A59" s="1">
        <v>2</v>
      </c>
      <c r="B59" s="68">
        <f t="shared" si="3"/>
        <v>41</v>
      </c>
      <c r="C59" s="69" t="s">
        <v>104</v>
      </c>
      <c r="D59" s="70" t="s">
        <v>105</v>
      </c>
      <c r="E59" s="71">
        <v>0</v>
      </c>
      <c r="F59" s="72">
        <v>3000</v>
      </c>
      <c r="G59" s="71">
        <v>0</v>
      </c>
      <c r="H59" s="72">
        <v>3000</v>
      </c>
      <c r="I59" s="71">
        <v>0</v>
      </c>
      <c r="J59" s="72">
        <v>3000</v>
      </c>
      <c r="K59" s="71">
        <v>0</v>
      </c>
      <c r="L59" s="72">
        <v>3000</v>
      </c>
      <c r="M59" s="71">
        <v>0</v>
      </c>
      <c r="N59" s="72">
        <v>0</v>
      </c>
      <c r="O59" s="73" t="s">
        <v>106</v>
      </c>
      <c r="P59" s="74" t="s">
        <v>107</v>
      </c>
      <c r="Q59" s="75" t="s">
        <v>108</v>
      </c>
    </row>
    <row r="60" spans="1:17" ht="90" x14ac:dyDescent="0.25">
      <c r="A60" s="1">
        <v>2</v>
      </c>
      <c r="B60" s="68">
        <f t="shared" si="3"/>
        <v>42</v>
      </c>
      <c r="C60" s="69" t="s">
        <v>109</v>
      </c>
      <c r="D60" s="70" t="s">
        <v>29</v>
      </c>
      <c r="E60" s="71">
        <v>0</v>
      </c>
      <c r="F60" s="72">
        <v>1000</v>
      </c>
      <c r="G60" s="71">
        <v>0</v>
      </c>
      <c r="H60" s="72">
        <v>1000</v>
      </c>
      <c r="I60" s="71">
        <v>0</v>
      </c>
      <c r="J60" s="72">
        <v>1000</v>
      </c>
      <c r="K60" s="71">
        <v>0</v>
      </c>
      <c r="L60" s="72">
        <v>1000</v>
      </c>
      <c r="M60" s="71">
        <v>0</v>
      </c>
      <c r="N60" s="72">
        <v>0</v>
      </c>
      <c r="O60" s="73" t="s">
        <v>36</v>
      </c>
      <c r="P60" s="74"/>
      <c r="Q60" s="75"/>
    </row>
    <row r="61" spans="1:17" ht="108.75" thickBot="1" x14ac:dyDescent="0.3">
      <c r="A61" s="1">
        <v>2</v>
      </c>
      <c r="B61" s="68">
        <f t="shared" si="3"/>
        <v>43</v>
      </c>
      <c r="C61" s="69" t="s">
        <v>110</v>
      </c>
      <c r="D61" s="76" t="s">
        <v>29</v>
      </c>
      <c r="E61" s="71">
        <v>0</v>
      </c>
      <c r="F61" s="72">
        <v>3077.0680000000002</v>
      </c>
      <c r="G61" s="71">
        <v>0</v>
      </c>
      <c r="H61" s="72">
        <v>3077.0680000000002</v>
      </c>
      <c r="I61" s="71">
        <v>0</v>
      </c>
      <c r="J61" s="72">
        <v>3035.9720000000002</v>
      </c>
      <c r="K61" s="71">
        <v>0</v>
      </c>
      <c r="L61" s="72">
        <v>3035.9720000000002</v>
      </c>
      <c r="M61" s="71">
        <v>0</v>
      </c>
      <c r="N61" s="72">
        <v>0</v>
      </c>
      <c r="O61" s="77" t="s">
        <v>36</v>
      </c>
      <c r="P61" s="74"/>
      <c r="Q61" s="75"/>
    </row>
    <row r="62" spans="1:17" ht="18" x14ac:dyDescent="0.25">
      <c r="A62" s="1">
        <v>3</v>
      </c>
      <c r="B62" s="149" t="s">
        <v>111</v>
      </c>
      <c r="C62" s="150"/>
      <c r="D62" s="150"/>
      <c r="E62" s="150"/>
      <c r="F62" s="150"/>
      <c r="G62" s="150"/>
      <c r="H62" s="150"/>
      <c r="I62" s="150"/>
      <c r="J62" s="150"/>
      <c r="K62" s="150"/>
      <c r="L62" s="150"/>
      <c r="M62" s="150"/>
      <c r="N62" s="150"/>
      <c r="O62" s="150"/>
      <c r="P62" s="150"/>
      <c r="Q62" s="151"/>
    </row>
    <row r="63" spans="1:17" ht="18" x14ac:dyDescent="0.25">
      <c r="A63" s="1">
        <v>3</v>
      </c>
      <c r="B63" s="78"/>
      <c r="C63" s="41" t="s">
        <v>27</v>
      </c>
      <c r="D63" s="42"/>
      <c r="E63" s="43">
        <f>SUM(E64,E66:E87)</f>
        <v>32322.523000000001</v>
      </c>
      <c r="F63" s="44">
        <f t="shared" ref="F63:N63" si="4">SUM(F64,F66:F87)</f>
        <v>80806.308000000005</v>
      </c>
      <c r="G63" s="43">
        <f t="shared" si="4"/>
        <v>32322.523000000001</v>
      </c>
      <c r="H63" s="44">
        <f t="shared" si="4"/>
        <v>80806.308000000005</v>
      </c>
      <c r="I63" s="43">
        <f t="shared" si="4"/>
        <v>30190.939000000002</v>
      </c>
      <c r="J63" s="44">
        <f t="shared" si="4"/>
        <v>72421.290000000008</v>
      </c>
      <c r="K63" s="43">
        <f t="shared" si="4"/>
        <v>30190.938640000004</v>
      </c>
      <c r="L63" s="44">
        <f t="shared" si="4"/>
        <v>72421.290389999995</v>
      </c>
      <c r="M63" s="43">
        <f t="shared" si="4"/>
        <v>0</v>
      </c>
      <c r="N63" s="44">
        <f t="shared" si="4"/>
        <v>0</v>
      </c>
      <c r="O63" s="47"/>
      <c r="P63" s="48">
        <v>14</v>
      </c>
      <c r="Q63" s="49"/>
    </row>
    <row r="64" spans="1:17" ht="18" x14ac:dyDescent="0.25">
      <c r="A64" s="1">
        <v>3</v>
      </c>
      <c r="B64" s="79"/>
      <c r="C64" s="50" t="s">
        <v>24</v>
      </c>
      <c r="D64" s="51"/>
      <c r="E64" s="52">
        <v>0</v>
      </c>
      <c r="F64" s="53">
        <v>0</v>
      </c>
      <c r="G64" s="52">
        <v>0</v>
      </c>
      <c r="H64" s="53">
        <v>0</v>
      </c>
      <c r="I64" s="52"/>
      <c r="J64" s="53"/>
      <c r="K64" s="52"/>
      <c r="L64" s="53"/>
      <c r="M64" s="52"/>
      <c r="N64" s="53"/>
      <c r="O64" s="56"/>
      <c r="P64" s="30"/>
      <c r="Q64" s="31"/>
    </row>
    <row r="65" spans="1:17" ht="36" x14ac:dyDescent="0.25">
      <c r="A65" s="1">
        <v>3</v>
      </c>
      <c r="B65" s="79"/>
      <c r="C65" s="50" t="s">
        <v>25</v>
      </c>
      <c r="D65" s="51"/>
      <c r="E65" s="52">
        <f>SUM(E66:E87)</f>
        <v>32322.523000000001</v>
      </c>
      <c r="F65" s="53">
        <f t="shared" ref="F65:N65" si="5">SUM(F66:F87)</f>
        <v>80806.308000000005</v>
      </c>
      <c r="G65" s="52">
        <f t="shared" si="5"/>
        <v>32322.523000000001</v>
      </c>
      <c r="H65" s="53">
        <f t="shared" si="5"/>
        <v>80806.308000000005</v>
      </c>
      <c r="I65" s="52">
        <f t="shared" si="5"/>
        <v>30190.939000000002</v>
      </c>
      <c r="J65" s="53">
        <f t="shared" si="5"/>
        <v>72421.290000000008</v>
      </c>
      <c r="K65" s="52">
        <f t="shared" si="5"/>
        <v>30190.938640000004</v>
      </c>
      <c r="L65" s="53">
        <f t="shared" si="5"/>
        <v>72421.290389999995</v>
      </c>
      <c r="M65" s="52">
        <f t="shared" si="5"/>
        <v>0</v>
      </c>
      <c r="N65" s="53">
        <f t="shared" si="5"/>
        <v>0</v>
      </c>
      <c r="O65" s="56"/>
      <c r="P65" s="30"/>
      <c r="Q65" s="31"/>
    </row>
    <row r="66" spans="1:17" ht="72" x14ac:dyDescent="0.25">
      <c r="A66" s="1">
        <v>3</v>
      </c>
      <c r="B66" s="57">
        <v>1</v>
      </c>
      <c r="C66" s="58" t="s">
        <v>112</v>
      </c>
      <c r="D66" s="59" t="s">
        <v>113</v>
      </c>
      <c r="E66" s="60">
        <v>0</v>
      </c>
      <c r="F66" s="61">
        <v>19418.401999999998</v>
      </c>
      <c r="G66" s="60">
        <v>0</v>
      </c>
      <c r="H66" s="61">
        <v>19418.401999999998</v>
      </c>
      <c r="I66" s="60">
        <v>0</v>
      </c>
      <c r="J66" s="61">
        <v>19357.602999999999</v>
      </c>
      <c r="K66" s="60">
        <v>0</v>
      </c>
      <c r="L66" s="61">
        <v>19357.603370000001</v>
      </c>
      <c r="M66" s="60">
        <v>0</v>
      </c>
      <c r="N66" s="61">
        <v>0</v>
      </c>
      <c r="O66" s="62" t="s">
        <v>52</v>
      </c>
      <c r="P66" s="63" t="s">
        <v>114</v>
      </c>
      <c r="Q66" s="64" t="s">
        <v>41</v>
      </c>
    </row>
    <row r="67" spans="1:17" ht="72" x14ac:dyDescent="0.25">
      <c r="A67" s="1">
        <v>3</v>
      </c>
      <c r="B67" s="57">
        <f>B66+1</f>
        <v>2</v>
      </c>
      <c r="C67" s="58" t="s">
        <v>115</v>
      </c>
      <c r="D67" s="59" t="s">
        <v>29</v>
      </c>
      <c r="E67" s="60">
        <v>0</v>
      </c>
      <c r="F67" s="61">
        <v>3058.74</v>
      </c>
      <c r="G67" s="60">
        <v>0</v>
      </c>
      <c r="H67" s="61">
        <v>3058.74</v>
      </c>
      <c r="I67" s="60">
        <v>0</v>
      </c>
      <c r="J67" s="61">
        <v>1143.7560000000001</v>
      </c>
      <c r="K67" s="60">
        <v>0</v>
      </c>
      <c r="L67" s="61">
        <v>1143.75578</v>
      </c>
      <c r="M67" s="60">
        <v>0</v>
      </c>
      <c r="N67" s="61">
        <v>0</v>
      </c>
      <c r="O67" s="62" t="s">
        <v>116</v>
      </c>
      <c r="P67" s="63"/>
      <c r="Q67" s="64"/>
    </row>
    <row r="68" spans="1:17" ht="90" x14ac:dyDescent="0.25">
      <c r="A68" s="1">
        <v>3</v>
      </c>
      <c r="B68" s="57">
        <f t="shared" ref="B68:B87" si="6">B67+1</f>
        <v>3</v>
      </c>
      <c r="C68" s="58" t="s">
        <v>117</v>
      </c>
      <c r="D68" s="59" t="s">
        <v>105</v>
      </c>
      <c r="E68" s="60">
        <v>1855.45</v>
      </c>
      <c r="F68" s="61">
        <v>0</v>
      </c>
      <c r="G68" s="60">
        <v>1855.45</v>
      </c>
      <c r="H68" s="61">
        <v>0</v>
      </c>
      <c r="I68" s="60">
        <v>1855.45</v>
      </c>
      <c r="J68" s="61">
        <v>0</v>
      </c>
      <c r="K68" s="60">
        <v>1855.45</v>
      </c>
      <c r="L68" s="61">
        <v>0</v>
      </c>
      <c r="M68" s="60">
        <v>0</v>
      </c>
      <c r="N68" s="61">
        <v>0</v>
      </c>
      <c r="O68" s="62" t="s">
        <v>52</v>
      </c>
      <c r="P68" s="63" t="s">
        <v>118</v>
      </c>
      <c r="Q68" s="64" t="s">
        <v>41</v>
      </c>
    </row>
    <row r="69" spans="1:17" ht="90" x14ac:dyDescent="0.25">
      <c r="A69" s="1">
        <v>3</v>
      </c>
      <c r="B69" s="57">
        <f t="shared" si="6"/>
        <v>4</v>
      </c>
      <c r="C69" s="58" t="s">
        <v>119</v>
      </c>
      <c r="D69" s="59" t="s">
        <v>96</v>
      </c>
      <c r="E69" s="60">
        <f>5484.654-3484.654-2000</f>
        <v>0</v>
      </c>
      <c r="F69" s="61">
        <f>3484.654-933.25</f>
        <v>2551.404</v>
      </c>
      <c r="G69" s="60">
        <v>0</v>
      </c>
      <c r="H69" s="61">
        <v>2551.404</v>
      </c>
      <c r="I69" s="60">
        <v>0</v>
      </c>
      <c r="J69" s="61">
        <v>2359.7910000000002</v>
      </c>
      <c r="K69" s="60">
        <v>0</v>
      </c>
      <c r="L69" s="61">
        <v>2359.7905999999998</v>
      </c>
      <c r="M69" s="60">
        <v>0</v>
      </c>
      <c r="N69" s="61">
        <v>0</v>
      </c>
      <c r="O69" s="62" t="s">
        <v>30</v>
      </c>
      <c r="P69" s="63"/>
      <c r="Q69" s="64"/>
    </row>
    <row r="70" spans="1:17" ht="54" x14ac:dyDescent="0.25">
      <c r="A70" s="1">
        <v>3</v>
      </c>
      <c r="B70" s="57">
        <f t="shared" si="6"/>
        <v>5</v>
      </c>
      <c r="C70" s="58" t="s">
        <v>120</v>
      </c>
      <c r="D70" s="59" t="s">
        <v>113</v>
      </c>
      <c r="E70" s="60">
        <v>1250.1859999999999</v>
      </c>
      <c r="F70" s="61">
        <v>0</v>
      </c>
      <c r="G70" s="60">
        <v>1250.1859999999999</v>
      </c>
      <c r="H70" s="61">
        <v>0</v>
      </c>
      <c r="I70" s="60">
        <v>1066.8620000000001</v>
      </c>
      <c r="J70" s="61">
        <v>0</v>
      </c>
      <c r="K70" s="60">
        <v>1066.8617200000001</v>
      </c>
      <c r="L70" s="61">
        <v>0</v>
      </c>
      <c r="M70" s="60">
        <v>0</v>
      </c>
      <c r="N70" s="61">
        <v>0</v>
      </c>
      <c r="O70" s="62" t="s">
        <v>52</v>
      </c>
      <c r="P70" s="63" t="s">
        <v>121</v>
      </c>
      <c r="Q70" s="64" t="s">
        <v>41</v>
      </c>
    </row>
    <row r="71" spans="1:17" ht="90" x14ac:dyDescent="0.25">
      <c r="A71" s="1">
        <v>3</v>
      </c>
      <c r="B71" s="57">
        <f t="shared" si="6"/>
        <v>6</v>
      </c>
      <c r="C71" s="58" t="s">
        <v>122</v>
      </c>
      <c r="D71" s="59" t="s">
        <v>29</v>
      </c>
      <c r="E71" s="60">
        <f>5549.073-4549.073</f>
        <v>1000</v>
      </c>
      <c r="F71" s="61">
        <f>4549.073-899.036</f>
        <v>3650.0370000000003</v>
      </c>
      <c r="G71" s="60">
        <v>1000</v>
      </c>
      <c r="H71" s="61">
        <v>3650.0369999999998</v>
      </c>
      <c r="I71" s="60">
        <v>0</v>
      </c>
      <c r="J71" s="61">
        <v>35.174999999999997</v>
      </c>
      <c r="K71" s="60">
        <v>0</v>
      </c>
      <c r="L71" s="61">
        <v>35.175060000000002</v>
      </c>
      <c r="M71" s="60">
        <v>0</v>
      </c>
      <c r="N71" s="61">
        <v>0</v>
      </c>
      <c r="O71" s="62" t="s">
        <v>48</v>
      </c>
      <c r="P71" s="63"/>
      <c r="Q71" s="64"/>
    </row>
    <row r="72" spans="1:17" ht="72" x14ac:dyDescent="0.25">
      <c r="A72" s="1">
        <v>3</v>
      </c>
      <c r="B72" s="57">
        <f t="shared" si="6"/>
        <v>7</v>
      </c>
      <c r="C72" s="58" t="s">
        <v>123</v>
      </c>
      <c r="D72" s="59" t="s">
        <v>29</v>
      </c>
      <c r="E72" s="60">
        <f>4516.926-3516.926</f>
        <v>1000.0000000000005</v>
      </c>
      <c r="F72" s="61">
        <f>3516.926+399.036</f>
        <v>3915.962</v>
      </c>
      <c r="G72" s="60">
        <v>1000</v>
      </c>
      <c r="H72" s="61">
        <v>3915.962</v>
      </c>
      <c r="I72" s="60">
        <v>658.95100000000002</v>
      </c>
      <c r="J72" s="61">
        <v>2125.4549999999999</v>
      </c>
      <c r="K72" s="60">
        <v>658.95</v>
      </c>
      <c r="L72" s="61">
        <v>2125.4546999999998</v>
      </c>
      <c r="M72" s="60">
        <v>0</v>
      </c>
      <c r="N72" s="61">
        <v>0</v>
      </c>
      <c r="O72" s="62" t="s">
        <v>30</v>
      </c>
      <c r="P72" s="63"/>
      <c r="Q72" s="64"/>
    </row>
    <row r="73" spans="1:17" ht="54" x14ac:dyDescent="0.25">
      <c r="A73" s="1">
        <v>3</v>
      </c>
      <c r="B73" s="57">
        <f t="shared" si="6"/>
        <v>8</v>
      </c>
      <c r="C73" s="58" t="s">
        <v>124</v>
      </c>
      <c r="D73" s="59" t="s">
        <v>105</v>
      </c>
      <c r="E73" s="60">
        <v>1247</v>
      </c>
      <c r="F73" s="61">
        <f>0+500</f>
        <v>500</v>
      </c>
      <c r="G73" s="60">
        <v>1247</v>
      </c>
      <c r="H73" s="61">
        <v>500</v>
      </c>
      <c r="I73" s="60">
        <v>1247</v>
      </c>
      <c r="J73" s="61">
        <v>499.85700000000003</v>
      </c>
      <c r="K73" s="60">
        <v>1247</v>
      </c>
      <c r="L73" s="61">
        <v>499.858</v>
      </c>
      <c r="M73" s="60">
        <v>0</v>
      </c>
      <c r="N73" s="61">
        <v>0</v>
      </c>
      <c r="O73" s="62" t="s">
        <v>52</v>
      </c>
      <c r="P73" s="63" t="s">
        <v>125</v>
      </c>
      <c r="Q73" s="64" t="s">
        <v>126</v>
      </c>
    </row>
    <row r="74" spans="1:17" ht="54" x14ac:dyDescent="0.25">
      <c r="A74" s="1">
        <v>3</v>
      </c>
      <c r="B74" s="57">
        <f t="shared" si="6"/>
        <v>9</v>
      </c>
      <c r="C74" s="58" t="s">
        <v>127</v>
      </c>
      <c r="D74" s="59" t="s">
        <v>96</v>
      </c>
      <c r="E74" s="60">
        <f>1207.79-1190.39</f>
        <v>17.399999999999864</v>
      </c>
      <c r="F74" s="61">
        <v>0</v>
      </c>
      <c r="G74" s="60">
        <v>17.399999999999999</v>
      </c>
      <c r="H74" s="61">
        <v>0</v>
      </c>
      <c r="I74" s="60">
        <v>17.395</v>
      </c>
      <c r="J74" s="61">
        <v>0</v>
      </c>
      <c r="K74" s="60">
        <v>17.395399999999999</v>
      </c>
      <c r="L74" s="61">
        <v>0</v>
      </c>
      <c r="M74" s="60">
        <v>0</v>
      </c>
      <c r="N74" s="61">
        <v>0</v>
      </c>
      <c r="O74" s="62" t="s">
        <v>48</v>
      </c>
      <c r="P74" s="63"/>
      <c r="Q74" s="64"/>
    </row>
    <row r="75" spans="1:17" ht="72" x14ac:dyDescent="0.25">
      <c r="A75" s="1">
        <v>3</v>
      </c>
      <c r="B75" s="57">
        <f t="shared" si="6"/>
        <v>10</v>
      </c>
      <c r="C75" s="58" t="s">
        <v>128</v>
      </c>
      <c r="D75" s="59" t="s">
        <v>129</v>
      </c>
      <c r="E75" s="60">
        <f>15000-8000-380</f>
        <v>6620</v>
      </c>
      <c r="F75" s="61">
        <v>8000</v>
      </c>
      <c r="G75" s="60">
        <v>6620</v>
      </c>
      <c r="H75" s="61">
        <v>8000</v>
      </c>
      <c r="I75" s="60">
        <v>6612.7</v>
      </c>
      <c r="J75" s="61">
        <v>8000</v>
      </c>
      <c r="K75" s="60">
        <v>6612.7002300000004</v>
      </c>
      <c r="L75" s="61">
        <v>8000</v>
      </c>
      <c r="M75" s="60">
        <v>0</v>
      </c>
      <c r="N75" s="61">
        <v>0</v>
      </c>
      <c r="O75" s="62" t="s">
        <v>30</v>
      </c>
      <c r="P75" s="63"/>
      <c r="Q75" s="64"/>
    </row>
    <row r="76" spans="1:17" ht="54" x14ac:dyDescent="0.25">
      <c r="A76" s="1">
        <v>3</v>
      </c>
      <c r="B76" s="57">
        <f t="shared" si="6"/>
        <v>11</v>
      </c>
      <c r="C76" s="58" t="s">
        <v>130</v>
      </c>
      <c r="D76" s="59" t="s">
        <v>35</v>
      </c>
      <c r="E76" s="60">
        <f>15000.005-8000.004-380</f>
        <v>6620.0009999999993</v>
      </c>
      <c r="F76" s="61">
        <v>8000.0039999999999</v>
      </c>
      <c r="G76" s="60">
        <v>6620.0010000000002</v>
      </c>
      <c r="H76" s="61">
        <v>8000.0039999999999</v>
      </c>
      <c r="I76" s="60">
        <v>6620.0010000000002</v>
      </c>
      <c r="J76" s="61">
        <v>8000.0039999999999</v>
      </c>
      <c r="K76" s="60">
        <v>6620.0010000000002</v>
      </c>
      <c r="L76" s="61">
        <v>8000.0039999999999</v>
      </c>
      <c r="M76" s="60">
        <v>0</v>
      </c>
      <c r="N76" s="61">
        <v>0</v>
      </c>
      <c r="O76" s="62" t="s">
        <v>48</v>
      </c>
      <c r="P76" s="63"/>
      <c r="Q76" s="64"/>
    </row>
    <row r="77" spans="1:17" ht="72" x14ac:dyDescent="0.25">
      <c r="A77" s="1">
        <v>3</v>
      </c>
      <c r="B77" s="57">
        <f t="shared" si="6"/>
        <v>12</v>
      </c>
      <c r="C77" s="58" t="s">
        <v>131</v>
      </c>
      <c r="D77" s="59" t="s">
        <v>105</v>
      </c>
      <c r="E77" s="60">
        <v>2597.2199999999998</v>
      </c>
      <c r="F77" s="61">
        <v>0</v>
      </c>
      <c r="G77" s="60">
        <v>2597.2199999999998</v>
      </c>
      <c r="H77" s="61">
        <v>0</v>
      </c>
      <c r="I77" s="60">
        <v>2597.2199999999998</v>
      </c>
      <c r="J77" s="61">
        <v>0</v>
      </c>
      <c r="K77" s="60">
        <v>2597.2199999999998</v>
      </c>
      <c r="L77" s="61">
        <v>0</v>
      </c>
      <c r="M77" s="60">
        <v>0</v>
      </c>
      <c r="N77" s="61">
        <v>0</v>
      </c>
      <c r="O77" s="62" t="s">
        <v>52</v>
      </c>
      <c r="P77" s="63" t="s">
        <v>132</v>
      </c>
      <c r="Q77" s="64" t="s">
        <v>41</v>
      </c>
    </row>
    <row r="78" spans="1:17" ht="54" x14ac:dyDescent="0.25">
      <c r="A78" s="1">
        <v>3</v>
      </c>
      <c r="B78" s="57">
        <f t="shared" si="6"/>
        <v>13</v>
      </c>
      <c r="C78" s="58" t="s">
        <v>133</v>
      </c>
      <c r="D78" s="59" t="s">
        <v>96</v>
      </c>
      <c r="E78" s="60">
        <f>8383.385-6383.385</f>
        <v>2000</v>
      </c>
      <c r="F78" s="61">
        <v>6383.3850000000002</v>
      </c>
      <c r="G78" s="60">
        <v>2000</v>
      </c>
      <c r="H78" s="61">
        <v>6383.3850000000002</v>
      </c>
      <c r="I78" s="60">
        <v>2000</v>
      </c>
      <c r="J78" s="61">
        <v>6383.3850000000002</v>
      </c>
      <c r="K78" s="60">
        <v>2000</v>
      </c>
      <c r="L78" s="61">
        <v>6383.3850000000002</v>
      </c>
      <c r="M78" s="60">
        <v>0</v>
      </c>
      <c r="N78" s="61">
        <v>0</v>
      </c>
      <c r="O78" s="62" t="s">
        <v>48</v>
      </c>
      <c r="P78" s="63"/>
      <c r="Q78" s="64"/>
    </row>
    <row r="79" spans="1:17" ht="72" x14ac:dyDescent="0.25">
      <c r="A79" s="1">
        <v>3</v>
      </c>
      <c r="B79" s="57">
        <f t="shared" si="6"/>
        <v>14</v>
      </c>
      <c r="C79" s="58" t="s">
        <v>134</v>
      </c>
      <c r="D79" s="59" t="s">
        <v>105</v>
      </c>
      <c r="E79" s="60">
        <v>0</v>
      </c>
      <c r="F79" s="61">
        <v>1440</v>
      </c>
      <c r="G79" s="60">
        <v>0</v>
      </c>
      <c r="H79" s="61">
        <v>1440</v>
      </c>
      <c r="I79" s="60">
        <v>0</v>
      </c>
      <c r="J79" s="61">
        <v>1440</v>
      </c>
      <c r="K79" s="60">
        <v>0</v>
      </c>
      <c r="L79" s="61">
        <v>1440</v>
      </c>
      <c r="M79" s="60">
        <v>0</v>
      </c>
      <c r="N79" s="61">
        <v>0</v>
      </c>
      <c r="O79" s="62" t="s">
        <v>52</v>
      </c>
      <c r="P79" s="63" t="s">
        <v>135</v>
      </c>
      <c r="Q79" s="64" t="s">
        <v>108</v>
      </c>
    </row>
    <row r="80" spans="1:17" ht="90" x14ac:dyDescent="0.25">
      <c r="A80" s="1">
        <v>3</v>
      </c>
      <c r="B80" s="57">
        <f t="shared" si="6"/>
        <v>15</v>
      </c>
      <c r="C80" s="58" t="s">
        <v>136</v>
      </c>
      <c r="D80" s="59" t="s">
        <v>105</v>
      </c>
      <c r="E80" s="60">
        <v>0</v>
      </c>
      <c r="F80" s="61">
        <v>2880</v>
      </c>
      <c r="G80" s="60">
        <v>0</v>
      </c>
      <c r="H80" s="61">
        <v>2880</v>
      </c>
      <c r="I80" s="60">
        <v>0</v>
      </c>
      <c r="J80" s="61">
        <v>2880</v>
      </c>
      <c r="K80" s="60">
        <v>0</v>
      </c>
      <c r="L80" s="61">
        <v>2880</v>
      </c>
      <c r="M80" s="60">
        <v>0</v>
      </c>
      <c r="N80" s="61">
        <v>0</v>
      </c>
      <c r="O80" s="62" t="s">
        <v>52</v>
      </c>
      <c r="P80" s="63" t="s">
        <v>137</v>
      </c>
      <c r="Q80" s="64" t="s">
        <v>108</v>
      </c>
    </row>
    <row r="81" spans="1:17" ht="90" x14ac:dyDescent="0.25">
      <c r="A81" s="1">
        <v>3</v>
      </c>
      <c r="B81" s="57">
        <f t="shared" si="6"/>
        <v>16</v>
      </c>
      <c r="C81" s="58" t="s">
        <v>138</v>
      </c>
      <c r="D81" s="59" t="s">
        <v>105</v>
      </c>
      <c r="E81" s="60">
        <v>0</v>
      </c>
      <c r="F81" s="61">
        <v>5760</v>
      </c>
      <c r="G81" s="60">
        <v>0</v>
      </c>
      <c r="H81" s="61">
        <v>5760</v>
      </c>
      <c r="I81" s="60">
        <v>0</v>
      </c>
      <c r="J81" s="61">
        <v>5760</v>
      </c>
      <c r="K81" s="60">
        <v>0</v>
      </c>
      <c r="L81" s="61">
        <v>5760</v>
      </c>
      <c r="M81" s="60">
        <v>0</v>
      </c>
      <c r="N81" s="61">
        <v>0</v>
      </c>
      <c r="O81" s="62" t="s">
        <v>52</v>
      </c>
      <c r="P81" s="63" t="s">
        <v>139</v>
      </c>
      <c r="Q81" s="64" t="s">
        <v>108</v>
      </c>
    </row>
    <row r="82" spans="1:17" ht="90" x14ac:dyDescent="0.25">
      <c r="A82" s="1">
        <v>3</v>
      </c>
      <c r="B82" s="57">
        <f t="shared" si="6"/>
        <v>17</v>
      </c>
      <c r="C82" s="58" t="s">
        <v>140</v>
      </c>
      <c r="D82" s="59" t="s">
        <v>105</v>
      </c>
      <c r="E82" s="60">
        <v>0</v>
      </c>
      <c r="F82" s="61">
        <v>2880</v>
      </c>
      <c r="G82" s="60">
        <v>0</v>
      </c>
      <c r="H82" s="61">
        <v>2880</v>
      </c>
      <c r="I82" s="60">
        <v>0</v>
      </c>
      <c r="J82" s="61">
        <v>2880</v>
      </c>
      <c r="K82" s="60">
        <v>0</v>
      </c>
      <c r="L82" s="61">
        <v>2880</v>
      </c>
      <c r="M82" s="60">
        <v>0</v>
      </c>
      <c r="N82" s="61">
        <v>0</v>
      </c>
      <c r="O82" s="62" t="s">
        <v>52</v>
      </c>
      <c r="P82" s="63" t="s">
        <v>141</v>
      </c>
      <c r="Q82" s="64" t="s">
        <v>108</v>
      </c>
    </row>
    <row r="83" spans="1:17" ht="72" x14ac:dyDescent="0.25">
      <c r="A83" s="1">
        <v>3</v>
      </c>
      <c r="B83" s="57">
        <f t="shared" si="6"/>
        <v>18</v>
      </c>
      <c r="C83" s="58" t="s">
        <v>142</v>
      </c>
      <c r="D83" s="59" t="s">
        <v>105</v>
      </c>
      <c r="E83" s="60">
        <v>0</v>
      </c>
      <c r="F83" s="61">
        <v>1440</v>
      </c>
      <c r="G83" s="60">
        <v>0</v>
      </c>
      <c r="H83" s="61">
        <v>1440</v>
      </c>
      <c r="I83" s="60">
        <v>0</v>
      </c>
      <c r="J83" s="61">
        <v>1440</v>
      </c>
      <c r="K83" s="60">
        <v>0</v>
      </c>
      <c r="L83" s="61">
        <v>1440</v>
      </c>
      <c r="M83" s="60">
        <v>0</v>
      </c>
      <c r="N83" s="61">
        <v>0</v>
      </c>
      <c r="O83" s="62" t="s">
        <v>52</v>
      </c>
      <c r="P83" s="63" t="s">
        <v>143</v>
      </c>
      <c r="Q83" s="64" t="s">
        <v>108</v>
      </c>
    </row>
    <row r="84" spans="1:17" ht="90" x14ac:dyDescent="0.25">
      <c r="A84" s="1">
        <v>3</v>
      </c>
      <c r="B84" s="57">
        <f t="shared" si="6"/>
        <v>19</v>
      </c>
      <c r="C84" s="58" t="s">
        <v>144</v>
      </c>
      <c r="D84" s="59" t="s">
        <v>105</v>
      </c>
      <c r="E84" s="60">
        <v>0</v>
      </c>
      <c r="F84" s="61">
        <v>1440</v>
      </c>
      <c r="G84" s="60">
        <v>0</v>
      </c>
      <c r="H84" s="61">
        <v>1440</v>
      </c>
      <c r="I84" s="60">
        <v>0</v>
      </c>
      <c r="J84" s="61">
        <v>1440</v>
      </c>
      <c r="K84" s="60">
        <v>0</v>
      </c>
      <c r="L84" s="61">
        <v>1440</v>
      </c>
      <c r="M84" s="60">
        <v>0</v>
      </c>
      <c r="N84" s="61">
        <v>0</v>
      </c>
      <c r="O84" s="62" t="s">
        <v>52</v>
      </c>
      <c r="P84" s="63" t="s">
        <v>145</v>
      </c>
      <c r="Q84" s="64" t="s">
        <v>108</v>
      </c>
    </row>
    <row r="85" spans="1:17" ht="72" x14ac:dyDescent="0.25">
      <c r="A85" s="1">
        <v>3</v>
      </c>
      <c r="B85" s="57">
        <f t="shared" si="6"/>
        <v>20</v>
      </c>
      <c r="C85" s="58" t="s">
        <v>146</v>
      </c>
      <c r="D85" s="59" t="s">
        <v>105</v>
      </c>
      <c r="E85" s="60">
        <v>0</v>
      </c>
      <c r="F85" s="61">
        <v>2880</v>
      </c>
      <c r="G85" s="60">
        <v>0</v>
      </c>
      <c r="H85" s="61">
        <v>2880</v>
      </c>
      <c r="I85" s="60">
        <v>0</v>
      </c>
      <c r="J85" s="61">
        <v>2880</v>
      </c>
      <c r="K85" s="60">
        <v>0</v>
      </c>
      <c r="L85" s="61">
        <v>2880</v>
      </c>
      <c r="M85" s="60">
        <v>0</v>
      </c>
      <c r="N85" s="61">
        <v>0</v>
      </c>
      <c r="O85" s="62" t="s">
        <v>52</v>
      </c>
      <c r="P85" s="63" t="s">
        <v>147</v>
      </c>
      <c r="Q85" s="64" t="s">
        <v>108</v>
      </c>
    </row>
    <row r="86" spans="1:17" ht="72" x14ac:dyDescent="0.25">
      <c r="A86" s="1">
        <v>3</v>
      </c>
      <c r="B86" s="57">
        <f t="shared" si="6"/>
        <v>21</v>
      </c>
      <c r="C86" s="58" t="s">
        <v>148</v>
      </c>
      <c r="D86" s="59" t="s">
        <v>105</v>
      </c>
      <c r="E86" s="60">
        <v>0</v>
      </c>
      <c r="F86" s="61">
        <v>1440</v>
      </c>
      <c r="G86" s="60">
        <v>0</v>
      </c>
      <c r="H86" s="61">
        <v>1440</v>
      </c>
      <c r="I86" s="60">
        <v>0</v>
      </c>
      <c r="J86" s="61">
        <v>1440</v>
      </c>
      <c r="K86" s="60">
        <v>0</v>
      </c>
      <c r="L86" s="61">
        <v>1440</v>
      </c>
      <c r="M86" s="60">
        <v>0</v>
      </c>
      <c r="N86" s="61">
        <v>0</v>
      </c>
      <c r="O86" s="62" t="s">
        <v>52</v>
      </c>
      <c r="P86" s="63" t="s">
        <v>149</v>
      </c>
      <c r="Q86" s="64" t="s">
        <v>108</v>
      </c>
    </row>
    <row r="87" spans="1:17" ht="72.75" thickBot="1" x14ac:dyDescent="0.3">
      <c r="A87" s="1">
        <v>3</v>
      </c>
      <c r="B87" s="68">
        <f t="shared" si="6"/>
        <v>22</v>
      </c>
      <c r="C87" s="69" t="s">
        <v>150</v>
      </c>
      <c r="D87" s="70" t="s">
        <v>38</v>
      </c>
      <c r="E87" s="80">
        <f>8400-4235.124+3950.39</f>
        <v>8115.2659999999996</v>
      </c>
      <c r="F87" s="81">
        <f>4235.124+933.25</f>
        <v>5168.3739999999998</v>
      </c>
      <c r="G87" s="80">
        <v>8115.2659999999996</v>
      </c>
      <c r="H87" s="81">
        <v>5168.3739999999998</v>
      </c>
      <c r="I87" s="60">
        <v>7515.36</v>
      </c>
      <c r="J87" s="61">
        <v>4356.2640000000001</v>
      </c>
      <c r="K87" s="80">
        <v>7515.3602899999996</v>
      </c>
      <c r="L87" s="81">
        <v>4356.2638800000004</v>
      </c>
      <c r="M87" s="80">
        <v>0</v>
      </c>
      <c r="N87" s="81">
        <v>0</v>
      </c>
      <c r="O87" s="73" t="s">
        <v>52</v>
      </c>
      <c r="P87" s="74" t="s">
        <v>151</v>
      </c>
      <c r="Q87" s="75" t="s">
        <v>41</v>
      </c>
    </row>
    <row r="88" spans="1:17" ht="18" x14ac:dyDescent="0.25">
      <c r="A88" s="1">
        <v>4</v>
      </c>
      <c r="B88" s="149" t="s">
        <v>152</v>
      </c>
      <c r="C88" s="150"/>
      <c r="D88" s="150"/>
      <c r="E88" s="150"/>
      <c r="F88" s="150"/>
      <c r="G88" s="150"/>
      <c r="H88" s="150"/>
      <c r="I88" s="150"/>
      <c r="J88" s="150"/>
      <c r="K88" s="150"/>
      <c r="L88" s="150"/>
      <c r="M88" s="150"/>
      <c r="N88" s="150"/>
      <c r="O88" s="150"/>
      <c r="P88" s="150"/>
      <c r="Q88" s="151"/>
    </row>
    <row r="89" spans="1:17" ht="18" x14ac:dyDescent="0.25">
      <c r="A89" s="1">
        <v>4</v>
      </c>
      <c r="B89" s="78"/>
      <c r="C89" s="41" t="s">
        <v>27</v>
      </c>
      <c r="D89" s="42"/>
      <c r="E89" s="43">
        <f>SUM(E90,E92:E100)</f>
        <v>60750.998999999996</v>
      </c>
      <c r="F89" s="44">
        <f t="shared" ref="F89:N89" si="7">SUM(F90,F92:F100)</f>
        <v>151877.49699999997</v>
      </c>
      <c r="G89" s="43">
        <f t="shared" si="7"/>
        <v>60750.999000000003</v>
      </c>
      <c r="H89" s="44">
        <f t="shared" si="7"/>
        <v>151877.49699999997</v>
      </c>
      <c r="I89" s="43">
        <f t="shared" si="7"/>
        <v>60742.5</v>
      </c>
      <c r="J89" s="44">
        <f t="shared" si="7"/>
        <v>131621.503</v>
      </c>
      <c r="K89" s="43">
        <f t="shared" si="7"/>
        <v>60742.5</v>
      </c>
      <c r="L89" s="44">
        <f t="shared" si="7"/>
        <v>131621.503</v>
      </c>
      <c r="M89" s="43">
        <f t="shared" si="7"/>
        <v>0</v>
      </c>
      <c r="N89" s="44">
        <f t="shared" si="7"/>
        <v>0</v>
      </c>
      <c r="O89" s="47"/>
      <c r="P89" s="48">
        <v>0</v>
      </c>
      <c r="Q89" s="49"/>
    </row>
    <row r="90" spans="1:17" ht="18" x14ac:dyDescent="0.25">
      <c r="A90" s="1">
        <v>4</v>
      </c>
      <c r="B90" s="79"/>
      <c r="C90" s="50" t="s">
        <v>24</v>
      </c>
      <c r="D90" s="51"/>
      <c r="E90" s="52">
        <v>0</v>
      </c>
      <c r="F90" s="53">
        <v>0</v>
      </c>
      <c r="G90" s="52">
        <v>0</v>
      </c>
      <c r="H90" s="53">
        <v>0</v>
      </c>
      <c r="I90" s="52"/>
      <c r="J90" s="53"/>
      <c r="K90" s="52"/>
      <c r="L90" s="53"/>
      <c r="M90" s="52"/>
      <c r="N90" s="53"/>
      <c r="O90" s="56"/>
      <c r="P90" s="30"/>
      <c r="Q90" s="31"/>
    </row>
    <row r="91" spans="1:17" ht="36" x14ac:dyDescent="0.25">
      <c r="A91" s="1">
        <v>4</v>
      </c>
      <c r="B91" s="79"/>
      <c r="C91" s="50" t="s">
        <v>25</v>
      </c>
      <c r="D91" s="51"/>
      <c r="E91" s="52">
        <f>SUM(E92:E100)</f>
        <v>60750.998999999996</v>
      </c>
      <c r="F91" s="53">
        <f t="shared" ref="F91:N91" si="8">SUM(F92:F100)</f>
        <v>151877.49699999997</v>
      </c>
      <c r="G91" s="52">
        <f t="shared" si="8"/>
        <v>60750.999000000003</v>
      </c>
      <c r="H91" s="53">
        <f t="shared" si="8"/>
        <v>151877.49699999997</v>
      </c>
      <c r="I91" s="52">
        <f t="shared" si="8"/>
        <v>60742.5</v>
      </c>
      <c r="J91" s="53">
        <f t="shared" si="8"/>
        <v>131621.503</v>
      </c>
      <c r="K91" s="52">
        <f t="shared" si="8"/>
        <v>60742.5</v>
      </c>
      <c r="L91" s="53">
        <f t="shared" si="8"/>
        <v>131621.503</v>
      </c>
      <c r="M91" s="52">
        <f t="shared" si="8"/>
        <v>0</v>
      </c>
      <c r="N91" s="53">
        <f t="shared" si="8"/>
        <v>0</v>
      </c>
      <c r="O91" s="56"/>
      <c r="P91" s="30"/>
      <c r="Q91" s="31"/>
    </row>
    <row r="92" spans="1:17" ht="108" x14ac:dyDescent="0.25">
      <c r="A92" s="1">
        <v>4</v>
      </c>
      <c r="B92" s="57">
        <v>1</v>
      </c>
      <c r="C92" s="58" t="s">
        <v>153</v>
      </c>
      <c r="D92" s="59" t="s">
        <v>35</v>
      </c>
      <c r="E92" s="60">
        <v>54302.796000000002</v>
      </c>
      <c r="F92" s="61">
        <v>0</v>
      </c>
      <c r="G92" s="60">
        <v>54302.796000000002</v>
      </c>
      <c r="H92" s="61">
        <v>0</v>
      </c>
      <c r="I92" s="60">
        <v>54294.296999999999</v>
      </c>
      <c r="J92" s="61">
        <v>0</v>
      </c>
      <c r="K92" s="60">
        <v>54294.296999999999</v>
      </c>
      <c r="L92" s="61">
        <v>0</v>
      </c>
      <c r="M92" s="60">
        <v>0</v>
      </c>
      <c r="N92" s="61">
        <v>0</v>
      </c>
      <c r="O92" s="62" t="s">
        <v>36</v>
      </c>
      <c r="P92" s="63"/>
      <c r="Q92" s="82"/>
    </row>
    <row r="93" spans="1:17" ht="108" x14ac:dyDescent="0.25">
      <c r="A93" s="1">
        <v>4</v>
      </c>
      <c r="B93" s="57">
        <f>B92+1</f>
        <v>2</v>
      </c>
      <c r="C93" s="58" t="s">
        <v>154</v>
      </c>
      <c r="D93" s="59" t="s">
        <v>29</v>
      </c>
      <c r="E93" s="60">
        <v>0</v>
      </c>
      <c r="F93" s="61">
        <v>18000</v>
      </c>
      <c r="G93" s="60">
        <v>0</v>
      </c>
      <c r="H93" s="61">
        <v>18000</v>
      </c>
      <c r="I93" s="60">
        <v>0</v>
      </c>
      <c r="J93" s="61">
        <v>6260.7330000000002</v>
      </c>
      <c r="K93" s="60">
        <v>0</v>
      </c>
      <c r="L93" s="61">
        <v>6260.7330000000002</v>
      </c>
      <c r="M93" s="60">
        <v>0</v>
      </c>
      <c r="N93" s="61">
        <v>0</v>
      </c>
      <c r="O93" s="62" t="s">
        <v>36</v>
      </c>
      <c r="P93" s="83"/>
      <c r="Q93" s="82"/>
    </row>
    <row r="94" spans="1:17" ht="126" x14ac:dyDescent="0.25">
      <c r="A94" s="1">
        <v>4</v>
      </c>
      <c r="B94" s="57">
        <f t="shared" ref="B94:B100" si="9">B93+1</f>
        <v>3</v>
      </c>
      <c r="C94" s="58" t="s">
        <v>155</v>
      </c>
      <c r="D94" s="59" t="s">
        <v>35</v>
      </c>
      <c r="E94" s="60">
        <f>36000.003-29551.8</f>
        <v>6448.2029999999977</v>
      </c>
      <c r="F94" s="61">
        <f>29551.8+13380.632</f>
        <v>42932.432000000001</v>
      </c>
      <c r="G94" s="60">
        <v>6448.2030000000004</v>
      </c>
      <c r="H94" s="61">
        <v>42932.432000000001</v>
      </c>
      <c r="I94" s="60">
        <v>6448.2030000000004</v>
      </c>
      <c r="J94" s="61">
        <v>42932.432000000001</v>
      </c>
      <c r="K94" s="60">
        <v>6448.2030000000004</v>
      </c>
      <c r="L94" s="61">
        <v>42932.432000000001</v>
      </c>
      <c r="M94" s="60">
        <v>0</v>
      </c>
      <c r="N94" s="61">
        <v>0</v>
      </c>
      <c r="O94" s="62" t="s">
        <v>36</v>
      </c>
      <c r="P94" s="83"/>
      <c r="Q94" s="82"/>
    </row>
    <row r="95" spans="1:17" ht="126" x14ac:dyDescent="0.25">
      <c r="A95" s="1">
        <v>4</v>
      </c>
      <c r="B95" s="57">
        <f t="shared" si="9"/>
        <v>4</v>
      </c>
      <c r="C95" s="58" t="s">
        <v>156</v>
      </c>
      <c r="D95" s="59" t="s">
        <v>105</v>
      </c>
      <c r="E95" s="60">
        <v>0</v>
      </c>
      <c r="F95" s="61">
        <v>9461.7999999999993</v>
      </c>
      <c r="G95" s="60">
        <v>0</v>
      </c>
      <c r="H95" s="61">
        <v>9461.7999999999993</v>
      </c>
      <c r="I95" s="60">
        <v>0</v>
      </c>
      <c r="J95" s="61">
        <v>7952.4080000000004</v>
      </c>
      <c r="K95" s="60">
        <v>0</v>
      </c>
      <c r="L95" s="61">
        <v>7952.4080000000004</v>
      </c>
      <c r="M95" s="60">
        <v>0</v>
      </c>
      <c r="N95" s="61">
        <v>0</v>
      </c>
      <c r="O95" s="62" t="s">
        <v>36</v>
      </c>
      <c r="P95" s="83"/>
      <c r="Q95" s="82"/>
    </row>
    <row r="96" spans="1:17" ht="108" x14ac:dyDescent="0.25">
      <c r="A96" s="1">
        <v>4</v>
      </c>
      <c r="B96" s="57">
        <f t="shared" si="9"/>
        <v>5</v>
      </c>
      <c r="C96" s="58" t="s">
        <v>157</v>
      </c>
      <c r="D96" s="59" t="s">
        <v>105</v>
      </c>
      <c r="E96" s="60">
        <v>0</v>
      </c>
      <c r="F96" s="61">
        <v>15521.915000000001</v>
      </c>
      <c r="G96" s="60">
        <v>0</v>
      </c>
      <c r="H96" s="61">
        <v>15521.915000000001</v>
      </c>
      <c r="I96" s="60">
        <v>0</v>
      </c>
      <c r="J96" s="61">
        <v>8643.777</v>
      </c>
      <c r="K96" s="60">
        <v>0</v>
      </c>
      <c r="L96" s="61">
        <v>8643.777</v>
      </c>
      <c r="M96" s="60">
        <v>0</v>
      </c>
      <c r="N96" s="61">
        <v>0</v>
      </c>
      <c r="O96" s="62" t="s">
        <v>36</v>
      </c>
      <c r="P96" s="83"/>
      <c r="Q96" s="82"/>
    </row>
    <row r="97" spans="1:17" ht="90" x14ac:dyDescent="0.25">
      <c r="A97" s="1">
        <v>4</v>
      </c>
      <c r="B97" s="57">
        <f t="shared" si="9"/>
        <v>6</v>
      </c>
      <c r="C97" s="58" t="s">
        <v>158</v>
      </c>
      <c r="D97" s="59" t="s">
        <v>29</v>
      </c>
      <c r="E97" s="60">
        <v>0</v>
      </c>
      <c r="F97" s="61">
        <v>4984.2</v>
      </c>
      <c r="G97" s="60">
        <v>0</v>
      </c>
      <c r="H97" s="61">
        <v>4984.2</v>
      </c>
      <c r="I97" s="60">
        <v>0</v>
      </c>
      <c r="J97" s="61">
        <v>4984.2</v>
      </c>
      <c r="K97" s="60">
        <v>0</v>
      </c>
      <c r="L97" s="61">
        <v>4984.2</v>
      </c>
      <c r="M97" s="60">
        <v>0</v>
      </c>
      <c r="N97" s="61">
        <v>0</v>
      </c>
      <c r="O97" s="62" t="s">
        <v>36</v>
      </c>
      <c r="P97" s="83"/>
      <c r="Q97" s="82"/>
    </row>
    <row r="98" spans="1:17" ht="144" x14ac:dyDescent="0.25">
      <c r="A98" s="1">
        <v>4</v>
      </c>
      <c r="B98" s="57">
        <f t="shared" si="9"/>
        <v>7</v>
      </c>
      <c r="C98" s="58" t="s">
        <v>159</v>
      </c>
      <c r="D98" s="59" t="s">
        <v>29</v>
      </c>
      <c r="E98" s="60">
        <v>0</v>
      </c>
      <c r="F98" s="61">
        <f>29659.282-13380.632</f>
        <v>16278.65</v>
      </c>
      <c r="G98" s="60">
        <v>0</v>
      </c>
      <c r="H98" s="61">
        <v>16278.65</v>
      </c>
      <c r="I98" s="60">
        <v>0</v>
      </c>
      <c r="J98" s="61">
        <v>16278.648999999999</v>
      </c>
      <c r="K98" s="60">
        <v>0</v>
      </c>
      <c r="L98" s="61">
        <v>16278.648999999999</v>
      </c>
      <c r="M98" s="60">
        <v>0</v>
      </c>
      <c r="N98" s="61">
        <v>0</v>
      </c>
      <c r="O98" s="62" t="s">
        <v>36</v>
      </c>
      <c r="P98" s="83"/>
      <c r="Q98" s="82"/>
    </row>
    <row r="99" spans="1:17" ht="54" x14ac:dyDescent="0.25">
      <c r="A99" s="1">
        <v>4</v>
      </c>
      <c r="B99" s="57">
        <f t="shared" si="9"/>
        <v>8</v>
      </c>
      <c r="C99" s="58" t="s">
        <v>160</v>
      </c>
      <c r="D99" s="59" t="s">
        <v>29</v>
      </c>
      <c r="E99" s="60">
        <v>0</v>
      </c>
      <c r="F99" s="61">
        <v>13198.5</v>
      </c>
      <c r="G99" s="60">
        <v>0</v>
      </c>
      <c r="H99" s="61">
        <v>13198.5</v>
      </c>
      <c r="I99" s="60">
        <v>0</v>
      </c>
      <c r="J99" s="61">
        <v>13198.5</v>
      </c>
      <c r="K99" s="60">
        <v>0</v>
      </c>
      <c r="L99" s="61">
        <v>13198.5</v>
      </c>
      <c r="M99" s="60">
        <v>0</v>
      </c>
      <c r="N99" s="61">
        <v>0</v>
      </c>
      <c r="O99" s="62" t="s">
        <v>36</v>
      </c>
      <c r="P99" s="83"/>
      <c r="Q99" s="82"/>
    </row>
    <row r="100" spans="1:17" ht="54.75" thickBot="1" x14ac:dyDescent="0.3">
      <c r="A100" s="1">
        <v>4</v>
      </c>
      <c r="B100" s="84">
        <f t="shared" si="9"/>
        <v>9</v>
      </c>
      <c r="C100" s="85" t="s">
        <v>161</v>
      </c>
      <c r="D100" s="86" t="s">
        <v>29</v>
      </c>
      <c r="E100" s="87">
        <v>0</v>
      </c>
      <c r="F100" s="88">
        <v>31500</v>
      </c>
      <c r="G100" s="87">
        <v>0</v>
      </c>
      <c r="H100" s="88">
        <v>31500</v>
      </c>
      <c r="I100" s="87">
        <v>0</v>
      </c>
      <c r="J100" s="88">
        <v>31370.804</v>
      </c>
      <c r="K100" s="87">
        <v>0</v>
      </c>
      <c r="L100" s="88">
        <v>31370.804</v>
      </c>
      <c r="M100" s="87">
        <v>0</v>
      </c>
      <c r="N100" s="88">
        <v>0</v>
      </c>
      <c r="O100" s="89" t="s">
        <v>36</v>
      </c>
      <c r="P100" s="90"/>
      <c r="Q100" s="91"/>
    </row>
    <row r="101" spans="1:17" ht="18" x14ac:dyDescent="0.25">
      <c r="A101" s="1">
        <v>5</v>
      </c>
      <c r="B101" s="149" t="s">
        <v>162</v>
      </c>
      <c r="C101" s="150"/>
      <c r="D101" s="150"/>
      <c r="E101" s="150"/>
      <c r="F101" s="150"/>
      <c r="G101" s="150"/>
      <c r="H101" s="150"/>
      <c r="I101" s="150"/>
      <c r="J101" s="150"/>
      <c r="K101" s="150"/>
      <c r="L101" s="150"/>
      <c r="M101" s="150"/>
      <c r="N101" s="150"/>
      <c r="O101" s="150"/>
      <c r="P101" s="150"/>
      <c r="Q101" s="151"/>
    </row>
    <row r="102" spans="1:17" ht="18" x14ac:dyDescent="0.25">
      <c r="A102" s="1">
        <v>5</v>
      </c>
      <c r="B102" s="78"/>
      <c r="C102" s="41" t="s">
        <v>27</v>
      </c>
      <c r="D102" s="42"/>
      <c r="E102" s="43">
        <f t="shared" ref="E102:N102" si="10">SUM(E103,E105:E151)</f>
        <v>79753.53</v>
      </c>
      <c r="F102" s="44">
        <f t="shared" si="10"/>
        <v>199383.82499999998</v>
      </c>
      <c r="G102" s="43">
        <f t="shared" si="10"/>
        <v>79753.53</v>
      </c>
      <c r="H102" s="44">
        <f t="shared" si="10"/>
        <v>199383.82499999998</v>
      </c>
      <c r="I102" s="43">
        <f t="shared" si="10"/>
        <v>47253.373999999996</v>
      </c>
      <c r="J102" s="44">
        <f t="shared" si="10"/>
        <v>136957.50899999999</v>
      </c>
      <c r="K102" s="43">
        <f t="shared" si="10"/>
        <v>47253.372999999992</v>
      </c>
      <c r="L102" s="44">
        <f t="shared" si="10"/>
        <v>134122.53899999999</v>
      </c>
      <c r="M102" s="43">
        <f t="shared" si="10"/>
        <v>0</v>
      </c>
      <c r="N102" s="44">
        <f t="shared" si="10"/>
        <v>59.76</v>
      </c>
      <c r="O102" s="47"/>
      <c r="P102" s="48">
        <v>21</v>
      </c>
      <c r="Q102" s="49"/>
    </row>
    <row r="103" spans="1:17" ht="18" x14ac:dyDescent="0.25">
      <c r="A103" s="1">
        <v>5</v>
      </c>
      <c r="B103" s="79"/>
      <c r="C103" s="50" t="s">
        <v>24</v>
      </c>
      <c r="D103" s="51"/>
      <c r="E103" s="52">
        <v>0</v>
      </c>
      <c r="F103" s="53">
        <v>0</v>
      </c>
      <c r="G103" s="52">
        <v>0</v>
      </c>
      <c r="H103" s="53">
        <v>0</v>
      </c>
      <c r="I103" s="52"/>
      <c r="J103" s="53"/>
      <c r="K103" s="52"/>
      <c r="L103" s="53"/>
      <c r="M103" s="52"/>
      <c r="N103" s="53"/>
      <c r="O103" s="56"/>
      <c r="P103" s="30"/>
      <c r="Q103" s="31"/>
    </row>
    <row r="104" spans="1:17" ht="36" x14ac:dyDescent="0.25">
      <c r="A104" s="1">
        <v>5</v>
      </c>
      <c r="B104" s="79"/>
      <c r="C104" s="50" t="s">
        <v>25</v>
      </c>
      <c r="D104" s="51"/>
      <c r="E104" s="52">
        <f>SUM(E105:E151)</f>
        <v>79753.53</v>
      </c>
      <c r="F104" s="53">
        <f t="shared" ref="F104:N104" si="11">SUM(F105:F151)</f>
        <v>199383.82499999998</v>
      </c>
      <c r="G104" s="52">
        <f t="shared" si="11"/>
        <v>79753.53</v>
      </c>
      <c r="H104" s="53">
        <f t="shared" si="11"/>
        <v>199383.82499999998</v>
      </c>
      <c r="I104" s="52">
        <f t="shared" si="11"/>
        <v>47253.373999999996</v>
      </c>
      <c r="J104" s="53">
        <f t="shared" si="11"/>
        <v>136957.50899999999</v>
      </c>
      <c r="K104" s="52">
        <f t="shared" si="11"/>
        <v>47253.372999999992</v>
      </c>
      <c r="L104" s="53">
        <f t="shared" si="11"/>
        <v>134122.53899999999</v>
      </c>
      <c r="M104" s="52">
        <f t="shared" si="11"/>
        <v>0</v>
      </c>
      <c r="N104" s="53">
        <f t="shared" si="11"/>
        <v>59.76</v>
      </c>
      <c r="O104" s="56"/>
      <c r="P104" s="30"/>
      <c r="Q104" s="31"/>
    </row>
    <row r="105" spans="1:17" ht="144" x14ac:dyDescent="0.25">
      <c r="A105" s="1">
        <v>5</v>
      </c>
      <c r="B105" s="57">
        <v>1</v>
      </c>
      <c r="C105" s="58" t="s">
        <v>163</v>
      </c>
      <c r="D105" s="59" t="s">
        <v>51</v>
      </c>
      <c r="E105" s="60">
        <v>0</v>
      </c>
      <c r="F105" s="61">
        <f>295.99+266.453</f>
        <v>562.44299999999998</v>
      </c>
      <c r="G105" s="60">
        <v>0</v>
      </c>
      <c r="H105" s="61">
        <v>562.44299999999998</v>
      </c>
      <c r="I105" s="60">
        <v>0</v>
      </c>
      <c r="J105" s="61">
        <v>421.85199999999998</v>
      </c>
      <c r="K105" s="60">
        <v>0</v>
      </c>
      <c r="L105" s="61">
        <v>421.85199999999998</v>
      </c>
      <c r="M105" s="60">
        <v>0</v>
      </c>
      <c r="N105" s="61">
        <v>0</v>
      </c>
      <c r="O105" s="62" t="s">
        <v>52</v>
      </c>
      <c r="P105" s="63" t="s">
        <v>164</v>
      </c>
      <c r="Q105" s="64" t="s">
        <v>165</v>
      </c>
    </row>
    <row r="106" spans="1:17" ht="144" x14ac:dyDescent="0.25">
      <c r="A106" s="1">
        <v>5</v>
      </c>
      <c r="B106" s="57">
        <f>B105+1</f>
        <v>2</v>
      </c>
      <c r="C106" s="58" t="s">
        <v>166</v>
      </c>
      <c r="D106" s="59" t="s">
        <v>51</v>
      </c>
      <c r="E106" s="60">
        <v>0</v>
      </c>
      <c r="F106" s="61">
        <f>146.062+345.591</f>
        <v>491.65300000000002</v>
      </c>
      <c r="G106" s="60">
        <v>0</v>
      </c>
      <c r="H106" s="61">
        <v>491.65300000000002</v>
      </c>
      <c r="I106" s="60">
        <v>0</v>
      </c>
      <c r="J106" s="61">
        <v>484.40100000000001</v>
      </c>
      <c r="K106" s="60">
        <v>0</v>
      </c>
      <c r="L106" s="61">
        <v>484.40100000000001</v>
      </c>
      <c r="M106" s="60">
        <v>0</v>
      </c>
      <c r="N106" s="61">
        <v>0</v>
      </c>
      <c r="O106" s="62" t="s">
        <v>52</v>
      </c>
      <c r="P106" s="63" t="s">
        <v>164</v>
      </c>
      <c r="Q106" s="64" t="s">
        <v>167</v>
      </c>
    </row>
    <row r="107" spans="1:17" ht="54" x14ac:dyDescent="0.25">
      <c r="A107" s="1">
        <v>5</v>
      </c>
      <c r="B107" s="57">
        <f t="shared" ref="B107:B151" si="12">B106+1</f>
        <v>3</v>
      </c>
      <c r="C107" s="58" t="s">
        <v>168</v>
      </c>
      <c r="D107" s="59" t="s">
        <v>38</v>
      </c>
      <c r="E107" s="60">
        <v>0</v>
      </c>
      <c r="F107" s="61">
        <v>5124.6899999999996</v>
      </c>
      <c r="G107" s="60">
        <v>0</v>
      </c>
      <c r="H107" s="61">
        <v>5124.6899999999996</v>
      </c>
      <c r="I107" s="60">
        <v>0</v>
      </c>
      <c r="J107" s="61">
        <v>5033.1090000000004</v>
      </c>
      <c r="K107" s="60">
        <v>0</v>
      </c>
      <c r="L107" s="61">
        <v>5033.1090000000004</v>
      </c>
      <c r="M107" s="60">
        <v>0</v>
      </c>
      <c r="N107" s="61">
        <v>0</v>
      </c>
      <c r="O107" s="62" t="s">
        <v>52</v>
      </c>
      <c r="P107" s="63" t="s">
        <v>169</v>
      </c>
      <c r="Q107" s="64" t="s">
        <v>41</v>
      </c>
    </row>
    <row r="108" spans="1:17" ht="72" x14ac:dyDescent="0.25">
      <c r="A108" s="1">
        <v>5</v>
      </c>
      <c r="B108" s="57">
        <f t="shared" si="12"/>
        <v>4</v>
      </c>
      <c r="C108" s="58" t="s">
        <v>170</v>
      </c>
      <c r="D108" s="59" t="s">
        <v>38</v>
      </c>
      <c r="E108" s="60">
        <v>4981.3419999999996</v>
      </c>
      <c r="F108" s="61">
        <v>0</v>
      </c>
      <c r="G108" s="60">
        <v>4981.3419999999996</v>
      </c>
      <c r="H108" s="61">
        <v>0</v>
      </c>
      <c r="I108" s="60">
        <v>1805.4580000000001</v>
      </c>
      <c r="J108" s="61">
        <v>0</v>
      </c>
      <c r="K108" s="60">
        <v>1805.4580000000001</v>
      </c>
      <c r="L108" s="61">
        <v>0</v>
      </c>
      <c r="M108" s="60">
        <v>0</v>
      </c>
      <c r="N108" s="61">
        <v>0</v>
      </c>
      <c r="O108" s="62" t="s">
        <v>52</v>
      </c>
      <c r="P108" s="63" t="s">
        <v>171</v>
      </c>
      <c r="Q108" s="75" t="s">
        <v>41</v>
      </c>
    </row>
    <row r="109" spans="1:17" ht="72" x14ac:dyDescent="0.25">
      <c r="A109" s="1">
        <v>5</v>
      </c>
      <c r="B109" s="57">
        <f t="shared" si="12"/>
        <v>5</v>
      </c>
      <c r="C109" s="58" t="s">
        <v>172</v>
      </c>
      <c r="D109" s="59" t="s">
        <v>38</v>
      </c>
      <c r="E109" s="60">
        <v>10289.312</v>
      </c>
      <c r="F109" s="61">
        <v>0</v>
      </c>
      <c r="G109" s="60">
        <v>10289.312</v>
      </c>
      <c r="H109" s="61">
        <v>0</v>
      </c>
      <c r="I109" s="60">
        <v>6518.0060000000003</v>
      </c>
      <c r="J109" s="61">
        <v>0</v>
      </c>
      <c r="K109" s="60">
        <v>6518.0060000000003</v>
      </c>
      <c r="L109" s="61">
        <v>0</v>
      </c>
      <c r="M109" s="60">
        <v>0</v>
      </c>
      <c r="N109" s="61">
        <v>0</v>
      </c>
      <c r="O109" s="62" t="s">
        <v>52</v>
      </c>
      <c r="P109" s="63" t="s">
        <v>121</v>
      </c>
      <c r="Q109" s="75" t="s">
        <v>41</v>
      </c>
    </row>
    <row r="110" spans="1:17" ht="72" x14ac:dyDescent="0.25">
      <c r="A110" s="1">
        <v>5</v>
      </c>
      <c r="B110" s="57">
        <f t="shared" si="12"/>
        <v>6</v>
      </c>
      <c r="C110" s="58" t="s">
        <v>173</v>
      </c>
      <c r="D110" s="59" t="s">
        <v>38</v>
      </c>
      <c r="E110" s="60">
        <v>3137.9380000000001</v>
      </c>
      <c r="F110" s="61">
        <v>0</v>
      </c>
      <c r="G110" s="60">
        <v>3137.9380000000001</v>
      </c>
      <c r="H110" s="61">
        <v>0</v>
      </c>
      <c r="I110" s="60">
        <v>3003.038</v>
      </c>
      <c r="J110" s="61">
        <v>0</v>
      </c>
      <c r="K110" s="60">
        <v>3003.038</v>
      </c>
      <c r="L110" s="61">
        <v>0</v>
      </c>
      <c r="M110" s="60">
        <v>0</v>
      </c>
      <c r="N110" s="61">
        <v>0</v>
      </c>
      <c r="O110" s="62" t="s">
        <v>52</v>
      </c>
      <c r="P110" s="63" t="s">
        <v>121</v>
      </c>
      <c r="Q110" s="75" t="s">
        <v>41</v>
      </c>
    </row>
    <row r="111" spans="1:17" ht="72" x14ac:dyDescent="0.25">
      <c r="A111" s="1">
        <v>5</v>
      </c>
      <c r="B111" s="57">
        <f t="shared" si="12"/>
        <v>7</v>
      </c>
      <c r="C111" s="58" t="s">
        <v>174</v>
      </c>
      <c r="D111" s="59" t="s">
        <v>38</v>
      </c>
      <c r="E111" s="60">
        <v>0</v>
      </c>
      <c r="F111" s="61">
        <v>540</v>
      </c>
      <c r="G111" s="60">
        <v>0</v>
      </c>
      <c r="H111" s="61">
        <v>540</v>
      </c>
      <c r="I111" s="60">
        <v>0</v>
      </c>
      <c r="J111" s="61">
        <v>517.46100000000001</v>
      </c>
      <c r="K111" s="60">
        <v>0</v>
      </c>
      <c r="L111" s="61">
        <v>517.46100000000001</v>
      </c>
      <c r="M111" s="60">
        <v>0</v>
      </c>
      <c r="N111" s="61">
        <v>0</v>
      </c>
      <c r="O111" s="62" t="s">
        <v>175</v>
      </c>
      <c r="P111" s="63" t="s">
        <v>176</v>
      </c>
      <c r="Q111" s="75" t="s">
        <v>41</v>
      </c>
    </row>
    <row r="112" spans="1:17" ht="90" x14ac:dyDescent="0.25">
      <c r="A112" s="1">
        <v>5</v>
      </c>
      <c r="B112" s="57">
        <f t="shared" si="12"/>
        <v>8</v>
      </c>
      <c r="C112" s="58" t="s">
        <v>177</v>
      </c>
      <c r="D112" s="59" t="s">
        <v>38</v>
      </c>
      <c r="E112" s="60">
        <v>0</v>
      </c>
      <c r="F112" s="61">
        <f>27720-920.07</f>
        <v>26799.93</v>
      </c>
      <c r="G112" s="60">
        <v>0</v>
      </c>
      <c r="H112" s="61">
        <v>26799.93</v>
      </c>
      <c r="I112" s="60">
        <v>0</v>
      </c>
      <c r="J112" s="61">
        <v>26799.93</v>
      </c>
      <c r="K112" s="60">
        <v>0</v>
      </c>
      <c r="L112" s="61">
        <v>26799.93</v>
      </c>
      <c r="M112" s="60">
        <v>0</v>
      </c>
      <c r="N112" s="61">
        <v>0</v>
      </c>
      <c r="O112" s="62" t="s">
        <v>52</v>
      </c>
      <c r="P112" s="63" t="s">
        <v>178</v>
      </c>
      <c r="Q112" s="75" t="s">
        <v>41</v>
      </c>
    </row>
    <row r="113" spans="1:17" ht="54" x14ac:dyDescent="0.25">
      <c r="A113" s="1">
        <v>5</v>
      </c>
      <c r="B113" s="57">
        <f t="shared" si="12"/>
        <v>9</v>
      </c>
      <c r="C113" s="58" t="s">
        <v>179</v>
      </c>
      <c r="D113" s="59" t="s">
        <v>38</v>
      </c>
      <c r="E113" s="60">
        <v>0</v>
      </c>
      <c r="F113" s="61">
        <v>501.14600000000002</v>
      </c>
      <c r="G113" s="60">
        <v>0</v>
      </c>
      <c r="H113" s="61">
        <v>501.14600000000002</v>
      </c>
      <c r="I113" s="60">
        <v>0</v>
      </c>
      <c r="J113" s="61">
        <v>442.09300000000002</v>
      </c>
      <c r="K113" s="60">
        <v>0</v>
      </c>
      <c r="L113" s="61">
        <v>442.09300000000002</v>
      </c>
      <c r="M113" s="60">
        <v>0</v>
      </c>
      <c r="N113" s="61">
        <v>0</v>
      </c>
      <c r="O113" s="62" t="s">
        <v>52</v>
      </c>
      <c r="P113" s="63" t="s">
        <v>180</v>
      </c>
      <c r="Q113" s="75" t="s">
        <v>41</v>
      </c>
    </row>
    <row r="114" spans="1:17" ht="72" x14ac:dyDescent="0.25">
      <c r="A114" s="1">
        <v>5</v>
      </c>
      <c r="B114" s="57">
        <f t="shared" si="12"/>
        <v>10</v>
      </c>
      <c r="C114" s="58" t="s">
        <v>181</v>
      </c>
      <c r="D114" s="59" t="s">
        <v>38</v>
      </c>
      <c r="E114" s="60">
        <v>0</v>
      </c>
      <c r="F114" s="61">
        <v>14610.866</v>
      </c>
      <c r="G114" s="60">
        <v>0</v>
      </c>
      <c r="H114" s="61">
        <v>14610.866</v>
      </c>
      <c r="I114" s="60">
        <v>0</v>
      </c>
      <c r="J114" s="61">
        <v>6896.8239999999996</v>
      </c>
      <c r="K114" s="60">
        <v>0</v>
      </c>
      <c r="L114" s="61">
        <v>6896.8239999999996</v>
      </c>
      <c r="M114" s="60">
        <v>0</v>
      </c>
      <c r="N114" s="61">
        <v>0</v>
      </c>
      <c r="O114" s="62" t="s">
        <v>64</v>
      </c>
      <c r="P114" s="63"/>
      <c r="Q114" s="64"/>
    </row>
    <row r="115" spans="1:17" ht="90" x14ac:dyDescent="0.25">
      <c r="A115" s="1">
        <v>5</v>
      </c>
      <c r="B115" s="57">
        <f t="shared" si="12"/>
        <v>11</v>
      </c>
      <c r="C115" s="58" t="s">
        <v>182</v>
      </c>
      <c r="D115" s="59" t="s">
        <v>29</v>
      </c>
      <c r="E115" s="60">
        <v>0</v>
      </c>
      <c r="F115" s="61">
        <f>12847.822-1977.721</f>
        <v>10870.101000000001</v>
      </c>
      <c r="G115" s="60">
        <v>0</v>
      </c>
      <c r="H115" s="61">
        <v>10870.101000000001</v>
      </c>
      <c r="I115" s="60">
        <v>0</v>
      </c>
      <c r="J115" s="61">
        <v>1927.403</v>
      </c>
      <c r="K115" s="60">
        <v>0</v>
      </c>
      <c r="L115" s="61">
        <v>0</v>
      </c>
      <c r="M115" s="60">
        <v>0</v>
      </c>
      <c r="N115" s="61">
        <v>0</v>
      </c>
      <c r="O115" s="62" t="s">
        <v>36</v>
      </c>
      <c r="P115" s="63"/>
      <c r="Q115" s="64"/>
    </row>
    <row r="116" spans="1:17" ht="72" x14ac:dyDescent="0.25">
      <c r="A116" s="1">
        <v>5</v>
      </c>
      <c r="B116" s="57">
        <f t="shared" si="12"/>
        <v>12</v>
      </c>
      <c r="C116" s="58" t="s">
        <v>183</v>
      </c>
      <c r="D116" s="59">
        <v>2017</v>
      </c>
      <c r="E116" s="60">
        <v>0</v>
      </c>
      <c r="F116" s="61">
        <f>9956.386-375.502</f>
        <v>9580.884</v>
      </c>
      <c r="G116" s="60">
        <v>0</v>
      </c>
      <c r="H116" s="61">
        <v>9580.884</v>
      </c>
      <c r="I116" s="60">
        <v>0</v>
      </c>
      <c r="J116" s="61">
        <v>8840.1620000000003</v>
      </c>
      <c r="K116" s="60">
        <v>0</v>
      </c>
      <c r="L116" s="61">
        <v>8840.1620000000003</v>
      </c>
      <c r="M116" s="60">
        <v>0</v>
      </c>
      <c r="N116" s="61">
        <v>0</v>
      </c>
      <c r="O116" s="62" t="s">
        <v>97</v>
      </c>
      <c r="P116" s="63"/>
      <c r="Q116" s="64"/>
    </row>
    <row r="117" spans="1:17" ht="54" x14ac:dyDescent="0.25">
      <c r="A117" s="1">
        <v>5</v>
      </c>
      <c r="B117" s="57">
        <f t="shared" si="12"/>
        <v>13</v>
      </c>
      <c r="C117" s="58" t="s">
        <v>184</v>
      </c>
      <c r="D117" s="59">
        <v>2017</v>
      </c>
      <c r="E117" s="60">
        <v>0</v>
      </c>
      <c r="F117" s="61">
        <v>6240.2929999999997</v>
      </c>
      <c r="G117" s="60">
        <v>0</v>
      </c>
      <c r="H117" s="61">
        <v>6240.2929999999997</v>
      </c>
      <c r="I117" s="60">
        <v>0</v>
      </c>
      <c r="J117" s="61">
        <v>5432.8249999999998</v>
      </c>
      <c r="K117" s="60">
        <v>0</v>
      </c>
      <c r="L117" s="61">
        <v>5432.8249999999998</v>
      </c>
      <c r="M117" s="60">
        <v>0</v>
      </c>
      <c r="N117" s="61">
        <v>0</v>
      </c>
      <c r="O117" s="62" t="s">
        <v>175</v>
      </c>
      <c r="P117" s="63"/>
      <c r="Q117" s="64"/>
    </row>
    <row r="118" spans="1:17" ht="90" x14ac:dyDescent="0.25">
      <c r="A118" s="1">
        <v>5</v>
      </c>
      <c r="B118" s="57">
        <f t="shared" si="12"/>
        <v>14</v>
      </c>
      <c r="C118" s="58" t="s">
        <v>185</v>
      </c>
      <c r="D118" s="59">
        <v>2017</v>
      </c>
      <c r="E118" s="60">
        <v>0</v>
      </c>
      <c r="F118" s="61">
        <f>1312.65-90.192</f>
        <v>1222.4580000000001</v>
      </c>
      <c r="G118" s="60">
        <v>0</v>
      </c>
      <c r="H118" s="61">
        <v>1222.4580000000001</v>
      </c>
      <c r="I118" s="60">
        <v>0</v>
      </c>
      <c r="J118" s="61">
        <v>1162.6980000000001</v>
      </c>
      <c r="K118" s="60">
        <v>0</v>
      </c>
      <c r="L118" s="61">
        <v>1222.4580000000001</v>
      </c>
      <c r="M118" s="60">
        <v>0</v>
      </c>
      <c r="N118" s="61">
        <v>59.76</v>
      </c>
      <c r="O118" s="62" t="s">
        <v>52</v>
      </c>
      <c r="P118" s="63" t="s">
        <v>186</v>
      </c>
      <c r="Q118" s="75" t="s">
        <v>41</v>
      </c>
    </row>
    <row r="119" spans="1:17" ht="72" x14ac:dyDescent="0.25">
      <c r="A119" s="1">
        <v>5</v>
      </c>
      <c r="B119" s="57">
        <f t="shared" si="12"/>
        <v>15</v>
      </c>
      <c r="C119" s="58" t="s">
        <v>187</v>
      </c>
      <c r="D119" s="59">
        <v>2017</v>
      </c>
      <c r="E119" s="60">
        <v>0</v>
      </c>
      <c r="F119" s="61">
        <f>7883.413-129.8</f>
        <v>7753.6129999999994</v>
      </c>
      <c r="G119" s="60">
        <v>0</v>
      </c>
      <c r="H119" s="61">
        <v>7753.6130000000003</v>
      </c>
      <c r="I119" s="60">
        <v>0</v>
      </c>
      <c r="J119" s="61">
        <v>7074.951</v>
      </c>
      <c r="K119" s="60">
        <v>0</v>
      </c>
      <c r="L119" s="61">
        <v>7074.951</v>
      </c>
      <c r="M119" s="60">
        <v>0</v>
      </c>
      <c r="N119" s="61">
        <v>0</v>
      </c>
      <c r="O119" s="62" t="s">
        <v>52</v>
      </c>
      <c r="P119" s="63" t="s">
        <v>40</v>
      </c>
      <c r="Q119" s="64" t="s">
        <v>188</v>
      </c>
    </row>
    <row r="120" spans="1:17" ht="90" x14ac:dyDescent="0.25">
      <c r="A120" s="1">
        <v>5</v>
      </c>
      <c r="B120" s="57">
        <f t="shared" si="12"/>
        <v>16</v>
      </c>
      <c r="C120" s="58" t="s">
        <v>189</v>
      </c>
      <c r="D120" s="59">
        <v>2017</v>
      </c>
      <c r="E120" s="60">
        <v>0</v>
      </c>
      <c r="F120" s="61">
        <f>9466.648-1181.993</f>
        <v>8284.6549999999988</v>
      </c>
      <c r="G120" s="60">
        <v>0</v>
      </c>
      <c r="H120" s="61">
        <v>8284.6550000000007</v>
      </c>
      <c r="I120" s="60">
        <v>0</v>
      </c>
      <c r="J120" s="61">
        <v>5692.8140000000003</v>
      </c>
      <c r="K120" s="60">
        <v>0</v>
      </c>
      <c r="L120" s="61">
        <v>5692.8140000000003</v>
      </c>
      <c r="M120" s="60">
        <v>0</v>
      </c>
      <c r="N120" s="61">
        <v>0</v>
      </c>
      <c r="O120" s="62" t="s">
        <v>36</v>
      </c>
      <c r="P120" s="63"/>
      <c r="Q120" s="64"/>
    </row>
    <row r="121" spans="1:17" ht="90" x14ac:dyDescent="0.25">
      <c r="A121" s="1">
        <v>5</v>
      </c>
      <c r="B121" s="57">
        <f t="shared" si="12"/>
        <v>17</v>
      </c>
      <c r="C121" s="58" t="s">
        <v>190</v>
      </c>
      <c r="D121" s="59">
        <v>2017</v>
      </c>
      <c r="E121" s="60">
        <v>0</v>
      </c>
      <c r="F121" s="61">
        <v>6646.4979999999996</v>
      </c>
      <c r="G121" s="60">
        <v>0</v>
      </c>
      <c r="H121" s="61">
        <v>6646.4979999999996</v>
      </c>
      <c r="I121" s="60">
        <v>0</v>
      </c>
      <c r="J121" s="61">
        <v>6447.4260000000004</v>
      </c>
      <c r="K121" s="60">
        <v>0</v>
      </c>
      <c r="L121" s="61">
        <v>6447.4260000000004</v>
      </c>
      <c r="M121" s="60">
        <v>0</v>
      </c>
      <c r="N121" s="61">
        <v>0</v>
      </c>
      <c r="O121" s="62" t="s">
        <v>52</v>
      </c>
      <c r="P121" s="63" t="s">
        <v>80</v>
      </c>
      <c r="Q121" s="75" t="s">
        <v>41</v>
      </c>
    </row>
    <row r="122" spans="1:17" ht="90" x14ac:dyDescent="0.25">
      <c r="A122" s="1">
        <v>5</v>
      </c>
      <c r="B122" s="57">
        <f t="shared" si="12"/>
        <v>18</v>
      </c>
      <c r="C122" s="58" t="s">
        <v>191</v>
      </c>
      <c r="D122" s="59">
        <v>2017</v>
      </c>
      <c r="E122" s="60">
        <v>0</v>
      </c>
      <c r="F122" s="61">
        <v>4917.7060000000001</v>
      </c>
      <c r="G122" s="60">
        <v>0</v>
      </c>
      <c r="H122" s="61">
        <v>4917.7060000000001</v>
      </c>
      <c r="I122" s="60">
        <v>0</v>
      </c>
      <c r="J122" s="61">
        <v>4825.2359999999999</v>
      </c>
      <c r="K122" s="60">
        <v>0</v>
      </c>
      <c r="L122" s="61">
        <v>4825.2359999999999</v>
      </c>
      <c r="M122" s="60">
        <v>0</v>
      </c>
      <c r="N122" s="61">
        <v>0</v>
      </c>
      <c r="O122" s="62" t="s">
        <v>52</v>
      </c>
      <c r="P122" s="63" t="s">
        <v>192</v>
      </c>
      <c r="Q122" s="75" t="s">
        <v>41</v>
      </c>
    </row>
    <row r="123" spans="1:17" ht="90" x14ac:dyDescent="0.25">
      <c r="A123" s="1">
        <v>5</v>
      </c>
      <c r="B123" s="57">
        <f t="shared" si="12"/>
        <v>19</v>
      </c>
      <c r="C123" s="58" t="s">
        <v>193</v>
      </c>
      <c r="D123" s="59">
        <v>2017</v>
      </c>
      <c r="E123" s="60">
        <v>0</v>
      </c>
      <c r="F123" s="61">
        <f>3896.392-215.511</f>
        <v>3680.8809999999999</v>
      </c>
      <c r="G123" s="60">
        <v>0</v>
      </c>
      <c r="H123" s="61">
        <v>3680.8809999999999</v>
      </c>
      <c r="I123" s="60">
        <v>0</v>
      </c>
      <c r="J123" s="61">
        <v>2919.625</v>
      </c>
      <c r="K123" s="60">
        <v>0</v>
      </c>
      <c r="L123" s="61">
        <v>2919.625</v>
      </c>
      <c r="M123" s="60">
        <v>0</v>
      </c>
      <c r="N123" s="61">
        <v>0</v>
      </c>
      <c r="O123" s="62" t="s">
        <v>52</v>
      </c>
      <c r="P123" s="63" t="s">
        <v>194</v>
      </c>
      <c r="Q123" s="75" t="s">
        <v>41</v>
      </c>
    </row>
    <row r="124" spans="1:17" ht="72" x14ac:dyDescent="0.25">
      <c r="A124" s="1">
        <v>5</v>
      </c>
      <c r="B124" s="57">
        <f t="shared" si="12"/>
        <v>20</v>
      </c>
      <c r="C124" s="58" t="s">
        <v>195</v>
      </c>
      <c r="D124" s="59">
        <v>2017</v>
      </c>
      <c r="E124" s="60">
        <v>0</v>
      </c>
      <c r="F124" s="61">
        <v>3900.23</v>
      </c>
      <c r="G124" s="60">
        <v>0</v>
      </c>
      <c r="H124" s="61">
        <v>3900.23</v>
      </c>
      <c r="I124" s="60">
        <v>0</v>
      </c>
      <c r="J124" s="61">
        <v>3179.576</v>
      </c>
      <c r="K124" s="60">
        <v>0</v>
      </c>
      <c r="L124" s="61">
        <v>3176.576</v>
      </c>
      <c r="M124" s="60">
        <v>0</v>
      </c>
      <c r="N124" s="61">
        <v>0</v>
      </c>
      <c r="O124" s="62" t="s">
        <v>52</v>
      </c>
      <c r="P124" s="63" t="s">
        <v>196</v>
      </c>
      <c r="Q124" s="75" t="s">
        <v>41</v>
      </c>
    </row>
    <row r="125" spans="1:17" ht="90" x14ac:dyDescent="0.25">
      <c r="A125" s="1">
        <v>5</v>
      </c>
      <c r="B125" s="57">
        <f t="shared" si="12"/>
        <v>21</v>
      </c>
      <c r="C125" s="58" t="s">
        <v>197</v>
      </c>
      <c r="D125" s="59">
        <v>2017</v>
      </c>
      <c r="E125" s="60">
        <v>0</v>
      </c>
      <c r="F125" s="61">
        <v>3267.2379999999998</v>
      </c>
      <c r="G125" s="60">
        <v>0</v>
      </c>
      <c r="H125" s="61">
        <v>3267.2379999999998</v>
      </c>
      <c r="I125" s="60">
        <v>0</v>
      </c>
      <c r="J125" s="61">
        <v>3191.8589999999999</v>
      </c>
      <c r="K125" s="60">
        <v>0</v>
      </c>
      <c r="L125" s="61">
        <v>3191.8589999999999</v>
      </c>
      <c r="M125" s="60">
        <v>0</v>
      </c>
      <c r="N125" s="61">
        <v>0</v>
      </c>
      <c r="O125" s="62" t="s">
        <v>52</v>
      </c>
      <c r="P125" s="63" t="s">
        <v>198</v>
      </c>
      <c r="Q125" s="75" t="s">
        <v>41</v>
      </c>
    </row>
    <row r="126" spans="1:17" ht="108" x14ac:dyDescent="0.25">
      <c r="A126" s="1">
        <v>5</v>
      </c>
      <c r="B126" s="57">
        <f t="shared" si="12"/>
        <v>22</v>
      </c>
      <c r="C126" s="58" t="s">
        <v>199</v>
      </c>
      <c r="D126" s="59">
        <v>2017</v>
      </c>
      <c r="E126" s="60">
        <v>0</v>
      </c>
      <c r="F126" s="61">
        <f>7837.378-1186.199</f>
        <v>6651.1790000000001</v>
      </c>
      <c r="G126" s="60">
        <v>0</v>
      </c>
      <c r="H126" s="61">
        <v>6651.1790000000001</v>
      </c>
      <c r="I126" s="60">
        <v>0</v>
      </c>
      <c r="J126" s="61">
        <v>5669.5420000000004</v>
      </c>
      <c r="K126" s="60">
        <v>0</v>
      </c>
      <c r="L126" s="61">
        <v>5669.5420000000004</v>
      </c>
      <c r="M126" s="60">
        <v>0</v>
      </c>
      <c r="N126" s="61">
        <v>0</v>
      </c>
      <c r="O126" s="62" t="s">
        <v>52</v>
      </c>
      <c r="P126" s="63" t="s">
        <v>200</v>
      </c>
      <c r="Q126" s="75" t="s">
        <v>41</v>
      </c>
    </row>
    <row r="127" spans="1:17" ht="108" x14ac:dyDescent="0.25">
      <c r="A127" s="1">
        <v>5</v>
      </c>
      <c r="B127" s="57">
        <f t="shared" si="12"/>
        <v>23</v>
      </c>
      <c r="C127" s="58" t="s">
        <v>201</v>
      </c>
      <c r="D127" s="59" t="s">
        <v>29</v>
      </c>
      <c r="E127" s="60">
        <v>0</v>
      </c>
      <c r="F127" s="61">
        <f>18000-8000</f>
        <v>10000</v>
      </c>
      <c r="G127" s="60">
        <v>0</v>
      </c>
      <c r="H127" s="61">
        <v>10000</v>
      </c>
      <c r="I127" s="60">
        <v>0</v>
      </c>
      <c r="J127" s="61">
        <v>6387.9960000000001</v>
      </c>
      <c r="K127" s="60">
        <v>0</v>
      </c>
      <c r="L127" s="61">
        <v>6387.9960000000001</v>
      </c>
      <c r="M127" s="60">
        <v>0</v>
      </c>
      <c r="N127" s="61">
        <v>0</v>
      </c>
      <c r="O127" s="62" t="s">
        <v>36</v>
      </c>
      <c r="P127" s="63"/>
      <c r="Q127" s="64"/>
    </row>
    <row r="128" spans="1:17" ht="108" x14ac:dyDescent="0.25">
      <c r="A128" s="1">
        <v>5</v>
      </c>
      <c r="B128" s="57">
        <f t="shared" si="12"/>
        <v>24</v>
      </c>
      <c r="C128" s="58" t="s">
        <v>202</v>
      </c>
      <c r="D128" s="59">
        <v>2017</v>
      </c>
      <c r="E128" s="60">
        <v>0</v>
      </c>
      <c r="F128" s="61">
        <f>7536.832-107.308</f>
        <v>7429.5240000000003</v>
      </c>
      <c r="G128" s="60">
        <v>0</v>
      </c>
      <c r="H128" s="61">
        <v>7429.5240000000003</v>
      </c>
      <c r="I128" s="60">
        <v>0</v>
      </c>
      <c r="J128" s="61">
        <v>7429.5240000000003</v>
      </c>
      <c r="K128" s="60">
        <v>0</v>
      </c>
      <c r="L128" s="61">
        <v>7429.5240000000003</v>
      </c>
      <c r="M128" s="60">
        <v>0</v>
      </c>
      <c r="N128" s="61">
        <v>0</v>
      </c>
      <c r="O128" s="62" t="s">
        <v>36</v>
      </c>
      <c r="P128" s="63"/>
      <c r="Q128" s="64"/>
    </row>
    <row r="129" spans="1:17" ht="108" x14ac:dyDescent="0.25">
      <c r="A129" s="1">
        <v>5</v>
      </c>
      <c r="B129" s="57">
        <f t="shared" si="12"/>
        <v>25</v>
      </c>
      <c r="C129" s="58" t="s">
        <v>203</v>
      </c>
      <c r="D129" s="59" t="s">
        <v>29</v>
      </c>
      <c r="E129" s="60">
        <v>0</v>
      </c>
      <c r="F129" s="61">
        <v>25929.131000000001</v>
      </c>
      <c r="G129" s="60">
        <v>0</v>
      </c>
      <c r="H129" s="61">
        <v>25929.131000000001</v>
      </c>
      <c r="I129" s="60">
        <v>0</v>
      </c>
      <c r="J129" s="61">
        <v>11011.273999999999</v>
      </c>
      <c r="K129" s="60">
        <v>0</v>
      </c>
      <c r="L129" s="61">
        <v>11011.273999999999</v>
      </c>
      <c r="M129" s="60">
        <v>0</v>
      </c>
      <c r="N129" s="61">
        <v>0</v>
      </c>
      <c r="O129" s="62" t="s">
        <v>48</v>
      </c>
      <c r="P129" s="63"/>
      <c r="Q129" s="64"/>
    </row>
    <row r="130" spans="1:17" ht="72" x14ac:dyDescent="0.25">
      <c r="A130" s="1">
        <v>5</v>
      </c>
      <c r="B130" s="57">
        <f t="shared" si="12"/>
        <v>26</v>
      </c>
      <c r="C130" s="58" t="s">
        <v>204</v>
      </c>
      <c r="D130" s="59" t="s">
        <v>29</v>
      </c>
      <c r="E130" s="60">
        <f>2283.58-798.516</f>
        <v>1485.0639999999999</v>
      </c>
      <c r="F130" s="61">
        <v>0</v>
      </c>
      <c r="G130" s="60">
        <v>1485.0640000000001</v>
      </c>
      <c r="H130" s="61">
        <v>0</v>
      </c>
      <c r="I130" s="60">
        <v>1045.377</v>
      </c>
      <c r="J130" s="61">
        <v>0</v>
      </c>
      <c r="K130" s="60">
        <v>1045.377</v>
      </c>
      <c r="L130" s="61">
        <v>0</v>
      </c>
      <c r="M130" s="60">
        <v>0</v>
      </c>
      <c r="N130" s="61">
        <v>0</v>
      </c>
      <c r="O130" s="62" t="s">
        <v>36</v>
      </c>
      <c r="P130" s="63"/>
      <c r="Q130" s="64"/>
    </row>
    <row r="131" spans="1:17" ht="162" x14ac:dyDescent="0.25">
      <c r="A131" s="1">
        <v>5</v>
      </c>
      <c r="B131" s="57">
        <f t="shared" si="12"/>
        <v>27</v>
      </c>
      <c r="C131" s="58" t="s">
        <v>205</v>
      </c>
      <c r="D131" s="59">
        <v>2017</v>
      </c>
      <c r="E131" s="60">
        <v>4094.8049999999998</v>
      </c>
      <c r="F131" s="61">
        <v>0</v>
      </c>
      <c r="G131" s="60">
        <v>4094.8049999999998</v>
      </c>
      <c r="H131" s="61">
        <v>0</v>
      </c>
      <c r="I131" s="60">
        <v>3903.9690000000001</v>
      </c>
      <c r="J131" s="61">
        <v>0</v>
      </c>
      <c r="K131" s="60">
        <v>3903.9690000000001</v>
      </c>
      <c r="L131" s="61">
        <v>0</v>
      </c>
      <c r="M131" s="60">
        <v>0</v>
      </c>
      <c r="N131" s="61">
        <v>0</v>
      </c>
      <c r="O131" s="62" t="s">
        <v>52</v>
      </c>
      <c r="P131" s="63" t="s">
        <v>206</v>
      </c>
      <c r="Q131" s="75" t="s">
        <v>41</v>
      </c>
    </row>
    <row r="132" spans="1:17" ht="72" x14ac:dyDescent="0.25">
      <c r="A132" s="1">
        <v>5</v>
      </c>
      <c r="B132" s="57">
        <f t="shared" si="12"/>
        <v>28</v>
      </c>
      <c r="C132" s="58" t="s">
        <v>207</v>
      </c>
      <c r="D132" s="59" t="s">
        <v>29</v>
      </c>
      <c r="E132" s="60">
        <f>22851.481-10000</f>
        <v>12851.481</v>
      </c>
      <c r="F132" s="61">
        <v>0</v>
      </c>
      <c r="G132" s="60">
        <v>12851.481</v>
      </c>
      <c r="H132" s="61">
        <v>0</v>
      </c>
      <c r="I132" s="60">
        <v>12851.481</v>
      </c>
      <c r="J132" s="61">
        <v>0</v>
      </c>
      <c r="K132" s="60">
        <v>12851.481</v>
      </c>
      <c r="L132" s="61">
        <v>0</v>
      </c>
      <c r="M132" s="60">
        <v>0</v>
      </c>
      <c r="N132" s="61">
        <v>0</v>
      </c>
      <c r="O132" s="62" t="s">
        <v>36</v>
      </c>
      <c r="P132" s="63"/>
      <c r="Q132" s="64"/>
    </row>
    <row r="133" spans="1:17" ht="90" x14ac:dyDescent="0.25">
      <c r="A133" s="1">
        <v>5</v>
      </c>
      <c r="B133" s="57">
        <f t="shared" si="12"/>
        <v>29</v>
      </c>
      <c r="C133" s="58" t="s">
        <v>208</v>
      </c>
      <c r="D133" s="59" t="s">
        <v>29</v>
      </c>
      <c r="E133" s="60">
        <f>4944.289-1500</f>
        <v>3444.2889999999998</v>
      </c>
      <c r="F133" s="61">
        <v>0</v>
      </c>
      <c r="G133" s="60">
        <v>3444.2890000000002</v>
      </c>
      <c r="H133" s="61">
        <v>0</v>
      </c>
      <c r="I133" s="60">
        <v>2717.212</v>
      </c>
      <c r="J133" s="61">
        <v>0</v>
      </c>
      <c r="K133" s="60">
        <v>2717.212</v>
      </c>
      <c r="L133" s="61">
        <v>0</v>
      </c>
      <c r="M133" s="60">
        <v>0</v>
      </c>
      <c r="N133" s="61">
        <v>0</v>
      </c>
      <c r="O133" s="62" t="s">
        <v>209</v>
      </c>
      <c r="P133" s="63"/>
      <c r="Q133" s="64"/>
    </row>
    <row r="134" spans="1:17" ht="108" x14ac:dyDescent="0.25">
      <c r="A134" s="1">
        <v>5</v>
      </c>
      <c r="B134" s="57">
        <f t="shared" si="12"/>
        <v>30</v>
      </c>
      <c r="C134" s="58" t="s">
        <v>210</v>
      </c>
      <c r="D134" s="59">
        <v>2017</v>
      </c>
      <c r="E134" s="60">
        <f>6529.518-126.368</f>
        <v>6403.15</v>
      </c>
      <c r="F134" s="61">
        <v>0</v>
      </c>
      <c r="G134" s="60">
        <v>6403.15</v>
      </c>
      <c r="H134" s="61">
        <v>0</v>
      </c>
      <c r="I134" s="60">
        <v>4365.1859999999997</v>
      </c>
      <c r="J134" s="61">
        <v>0</v>
      </c>
      <c r="K134" s="60">
        <v>4365.1859999999997</v>
      </c>
      <c r="L134" s="61">
        <v>0</v>
      </c>
      <c r="M134" s="60">
        <v>0</v>
      </c>
      <c r="N134" s="61">
        <v>0</v>
      </c>
      <c r="O134" s="62" t="s">
        <v>36</v>
      </c>
      <c r="P134" s="63"/>
      <c r="Q134" s="64"/>
    </row>
    <row r="135" spans="1:17" ht="90" x14ac:dyDescent="0.25">
      <c r="A135" s="1">
        <v>5</v>
      </c>
      <c r="B135" s="57">
        <f t="shared" si="12"/>
        <v>31</v>
      </c>
      <c r="C135" s="58" t="s">
        <v>211</v>
      </c>
      <c r="D135" s="59" t="s">
        <v>29</v>
      </c>
      <c r="E135" s="60">
        <v>9900</v>
      </c>
      <c r="F135" s="61">
        <v>0</v>
      </c>
      <c r="G135" s="60">
        <v>9900</v>
      </c>
      <c r="H135" s="61">
        <v>0</v>
      </c>
      <c r="I135" s="60">
        <v>0</v>
      </c>
      <c r="J135" s="61">
        <v>0</v>
      </c>
      <c r="K135" s="60">
        <v>0</v>
      </c>
      <c r="L135" s="61">
        <v>0</v>
      </c>
      <c r="M135" s="60">
        <v>0</v>
      </c>
      <c r="N135" s="61">
        <v>0</v>
      </c>
      <c r="O135" s="62" t="s">
        <v>36</v>
      </c>
      <c r="P135" s="63"/>
      <c r="Q135" s="64"/>
    </row>
    <row r="136" spans="1:17" ht="54" x14ac:dyDescent="0.25">
      <c r="A136" s="1">
        <v>5</v>
      </c>
      <c r="B136" s="57">
        <f t="shared" si="12"/>
        <v>32</v>
      </c>
      <c r="C136" s="58" t="s">
        <v>212</v>
      </c>
      <c r="D136" s="59">
        <v>2017</v>
      </c>
      <c r="E136" s="60">
        <v>1350</v>
      </c>
      <c r="F136" s="61">
        <v>0</v>
      </c>
      <c r="G136" s="60">
        <v>1350</v>
      </c>
      <c r="H136" s="61">
        <v>0</v>
      </c>
      <c r="I136" s="60">
        <v>1291.1079999999999</v>
      </c>
      <c r="J136" s="61">
        <v>0</v>
      </c>
      <c r="K136" s="60">
        <v>1291.1079999999999</v>
      </c>
      <c r="L136" s="61">
        <v>0</v>
      </c>
      <c r="M136" s="60">
        <v>0</v>
      </c>
      <c r="N136" s="61">
        <v>0</v>
      </c>
      <c r="O136" s="62" t="s">
        <v>52</v>
      </c>
      <c r="P136" s="63" t="s">
        <v>213</v>
      </c>
      <c r="Q136" s="75" t="s">
        <v>41</v>
      </c>
    </row>
    <row r="137" spans="1:17" ht="54" x14ac:dyDescent="0.25">
      <c r="A137" s="1">
        <v>5</v>
      </c>
      <c r="B137" s="57">
        <f t="shared" si="12"/>
        <v>33</v>
      </c>
      <c r="C137" s="58" t="s">
        <v>214</v>
      </c>
      <c r="D137" s="59">
        <v>2017</v>
      </c>
      <c r="E137" s="60">
        <v>0</v>
      </c>
      <c r="F137" s="61">
        <f>1139.716-139.716</f>
        <v>999.99999999999989</v>
      </c>
      <c r="G137" s="60">
        <v>0</v>
      </c>
      <c r="H137" s="61">
        <v>1000</v>
      </c>
      <c r="I137" s="60">
        <v>0</v>
      </c>
      <c r="J137" s="61">
        <v>1000</v>
      </c>
      <c r="K137" s="60">
        <v>0</v>
      </c>
      <c r="L137" s="61">
        <v>1000</v>
      </c>
      <c r="M137" s="60">
        <v>0</v>
      </c>
      <c r="N137" s="61">
        <v>0</v>
      </c>
      <c r="O137" s="62" t="s">
        <v>106</v>
      </c>
      <c r="P137" s="63" t="s">
        <v>215</v>
      </c>
      <c r="Q137" s="64" t="s">
        <v>216</v>
      </c>
    </row>
    <row r="138" spans="1:17" ht="126" x14ac:dyDescent="0.25">
      <c r="A138" s="1">
        <v>5</v>
      </c>
      <c r="B138" s="57">
        <f t="shared" si="12"/>
        <v>34</v>
      </c>
      <c r="C138" s="58" t="s">
        <v>217</v>
      </c>
      <c r="D138" s="59">
        <v>2017</v>
      </c>
      <c r="E138" s="60">
        <v>1291.307</v>
      </c>
      <c r="F138" s="61">
        <v>0</v>
      </c>
      <c r="G138" s="60">
        <v>1291.307</v>
      </c>
      <c r="H138" s="61">
        <v>0</v>
      </c>
      <c r="I138" s="60">
        <v>1180.0050000000001</v>
      </c>
      <c r="J138" s="61">
        <v>0</v>
      </c>
      <c r="K138" s="60">
        <v>1180.0050000000001</v>
      </c>
      <c r="L138" s="61">
        <v>0</v>
      </c>
      <c r="M138" s="60">
        <v>0</v>
      </c>
      <c r="N138" s="61">
        <v>0</v>
      </c>
      <c r="O138" s="62" t="s">
        <v>52</v>
      </c>
      <c r="P138" s="63" t="s">
        <v>218</v>
      </c>
      <c r="Q138" s="75" t="s">
        <v>41</v>
      </c>
    </row>
    <row r="139" spans="1:17" ht="90" x14ac:dyDescent="0.25">
      <c r="A139" s="1">
        <v>5</v>
      </c>
      <c r="B139" s="68">
        <f t="shared" si="12"/>
        <v>35</v>
      </c>
      <c r="C139" s="69" t="s">
        <v>219</v>
      </c>
      <c r="D139" s="70" t="s">
        <v>29</v>
      </c>
      <c r="E139" s="80">
        <f>14850-1494.865</f>
        <v>13355.135</v>
      </c>
      <c r="F139" s="81">
        <v>0</v>
      </c>
      <c r="G139" s="80">
        <v>13355.135</v>
      </c>
      <c r="H139" s="81">
        <v>0</v>
      </c>
      <c r="I139" s="80">
        <v>5509.8379999999997</v>
      </c>
      <c r="J139" s="81">
        <v>0</v>
      </c>
      <c r="K139" s="60">
        <v>5509.8379999999997</v>
      </c>
      <c r="L139" s="61">
        <v>0</v>
      </c>
      <c r="M139" s="80">
        <v>0</v>
      </c>
      <c r="N139" s="81">
        <v>0</v>
      </c>
      <c r="O139" s="73" t="s">
        <v>97</v>
      </c>
      <c r="P139" s="74"/>
      <c r="Q139" s="75"/>
    </row>
    <row r="140" spans="1:17" ht="90" x14ac:dyDescent="0.25">
      <c r="A140" s="1">
        <v>5</v>
      </c>
      <c r="B140" s="68">
        <f t="shared" si="12"/>
        <v>36</v>
      </c>
      <c r="C140" s="69" t="s">
        <v>220</v>
      </c>
      <c r="D140" s="70" t="s">
        <v>29</v>
      </c>
      <c r="E140" s="80">
        <v>0</v>
      </c>
      <c r="F140" s="81">
        <v>3000</v>
      </c>
      <c r="G140" s="80">
        <v>0</v>
      </c>
      <c r="H140" s="81">
        <v>3000</v>
      </c>
      <c r="I140" s="80">
        <v>0</v>
      </c>
      <c r="J140" s="81">
        <v>2996.692</v>
      </c>
      <c r="K140" s="60">
        <v>0</v>
      </c>
      <c r="L140" s="61">
        <v>2996.692</v>
      </c>
      <c r="M140" s="80">
        <v>0</v>
      </c>
      <c r="N140" s="81">
        <v>0</v>
      </c>
      <c r="O140" s="73" t="s">
        <v>36</v>
      </c>
      <c r="P140" s="74"/>
      <c r="Q140" s="75"/>
    </row>
    <row r="141" spans="1:17" ht="126" x14ac:dyDescent="0.25">
      <c r="A141" s="1">
        <v>5</v>
      </c>
      <c r="B141" s="68">
        <f t="shared" si="12"/>
        <v>37</v>
      </c>
      <c r="C141" s="69" t="s">
        <v>221</v>
      </c>
      <c r="D141" s="70" t="s">
        <v>29</v>
      </c>
      <c r="E141" s="80">
        <v>1300</v>
      </c>
      <c r="F141" s="81">
        <v>0</v>
      </c>
      <c r="G141" s="80">
        <v>1300</v>
      </c>
      <c r="H141" s="81">
        <v>0</v>
      </c>
      <c r="I141" s="80">
        <v>414.82400000000001</v>
      </c>
      <c r="J141" s="81">
        <v>0</v>
      </c>
      <c r="K141" s="60">
        <v>414.82299999999998</v>
      </c>
      <c r="L141" s="61">
        <v>0</v>
      </c>
      <c r="M141" s="80">
        <v>0</v>
      </c>
      <c r="N141" s="81">
        <v>0</v>
      </c>
      <c r="O141" s="73" t="s">
        <v>36</v>
      </c>
      <c r="P141" s="74"/>
      <c r="Q141" s="75"/>
    </row>
    <row r="142" spans="1:17" ht="90" x14ac:dyDescent="0.25">
      <c r="A142" s="1">
        <v>5</v>
      </c>
      <c r="B142" s="68">
        <f t="shared" si="12"/>
        <v>38</v>
      </c>
      <c r="C142" s="69" t="s">
        <v>222</v>
      </c>
      <c r="D142" s="70" t="s">
        <v>105</v>
      </c>
      <c r="E142" s="80">
        <v>0</v>
      </c>
      <c r="F142" s="81">
        <v>5540.46</v>
      </c>
      <c r="G142" s="80">
        <v>0</v>
      </c>
      <c r="H142" s="81">
        <v>5540.46</v>
      </c>
      <c r="I142" s="80">
        <v>0</v>
      </c>
      <c r="J142" s="81">
        <v>4487.7790000000005</v>
      </c>
      <c r="K142" s="60">
        <v>0</v>
      </c>
      <c r="L142" s="61">
        <v>4487.7790000000005</v>
      </c>
      <c r="M142" s="80">
        <v>0</v>
      </c>
      <c r="N142" s="81">
        <v>0</v>
      </c>
      <c r="O142" s="73" t="s">
        <v>36</v>
      </c>
      <c r="P142" s="74"/>
      <c r="Q142" s="75"/>
    </row>
    <row r="143" spans="1:17" ht="72" x14ac:dyDescent="0.25">
      <c r="A143" s="1">
        <v>5</v>
      </c>
      <c r="B143" s="68">
        <f t="shared" si="12"/>
        <v>39</v>
      </c>
      <c r="C143" s="69" t="s">
        <v>223</v>
      </c>
      <c r="D143" s="70" t="s">
        <v>105</v>
      </c>
      <c r="E143" s="80">
        <v>2741.7849999999999</v>
      </c>
      <c r="F143" s="81">
        <v>0</v>
      </c>
      <c r="G143" s="80">
        <v>2741.7849999999999</v>
      </c>
      <c r="H143" s="81">
        <v>0</v>
      </c>
      <c r="I143" s="80">
        <v>1295.825</v>
      </c>
      <c r="J143" s="81">
        <v>0</v>
      </c>
      <c r="K143" s="60">
        <v>1295.825</v>
      </c>
      <c r="L143" s="61">
        <v>0</v>
      </c>
      <c r="M143" s="80">
        <v>0</v>
      </c>
      <c r="N143" s="81">
        <v>0</v>
      </c>
      <c r="O143" s="73" t="s">
        <v>36</v>
      </c>
      <c r="P143" s="74"/>
      <c r="Q143" s="75"/>
    </row>
    <row r="144" spans="1:17" ht="108" x14ac:dyDescent="0.25">
      <c r="A144" s="1">
        <v>5</v>
      </c>
      <c r="B144" s="68">
        <f t="shared" si="12"/>
        <v>40</v>
      </c>
      <c r="C144" s="69" t="s">
        <v>224</v>
      </c>
      <c r="D144" s="70" t="s">
        <v>29</v>
      </c>
      <c r="E144" s="80">
        <v>0</v>
      </c>
      <c r="F144" s="81">
        <v>3000</v>
      </c>
      <c r="G144" s="80">
        <v>0</v>
      </c>
      <c r="H144" s="81">
        <v>3000</v>
      </c>
      <c r="I144" s="80">
        <v>0</v>
      </c>
      <c r="J144" s="81">
        <v>2999.5050000000001</v>
      </c>
      <c r="K144" s="60">
        <f>E144-I144</f>
        <v>0</v>
      </c>
      <c r="L144" s="61">
        <v>2999.5050000000001</v>
      </c>
      <c r="M144" s="80">
        <v>0</v>
      </c>
      <c r="N144" s="81">
        <v>0</v>
      </c>
      <c r="O144" s="73" t="s">
        <v>36</v>
      </c>
      <c r="P144" s="74"/>
      <c r="Q144" s="75"/>
    </row>
    <row r="145" spans="1:17" ht="90" x14ac:dyDescent="0.25">
      <c r="A145" s="1">
        <v>5</v>
      </c>
      <c r="B145" s="68">
        <f t="shared" si="12"/>
        <v>41</v>
      </c>
      <c r="C145" s="69" t="s">
        <v>225</v>
      </c>
      <c r="D145" s="70" t="s">
        <v>29</v>
      </c>
      <c r="E145" s="80">
        <v>1775.875</v>
      </c>
      <c r="F145" s="81">
        <v>1300.125</v>
      </c>
      <c r="G145" s="80">
        <v>1775.875</v>
      </c>
      <c r="H145" s="81">
        <v>1300.125</v>
      </c>
      <c r="I145" s="80">
        <v>0</v>
      </c>
      <c r="J145" s="81">
        <v>0</v>
      </c>
      <c r="K145" s="60">
        <v>0</v>
      </c>
      <c r="L145" s="61">
        <v>0</v>
      </c>
      <c r="M145" s="80">
        <v>0</v>
      </c>
      <c r="N145" s="81">
        <v>0</v>
      </c>
      <c r="O145" s="73" t="s">
        <v>36</v>
      </c>
      <c r="P145" s="74"/>
      <c r="Q145" s="75"/>
    </row>
    <row r="146" spans="1:17" ht="90" x14ac:dyDescent="0.25">
      <c r="A146" s="1">
        <v>5</v>
      </c>
      <c r="B146" s="68">
        <f t="shared" si="12"/>
        <v>42</v>
      </c>
      <c r="C146" s="69" t="s">
        <v>226</v>
      </c>
      <c r="D146" s="70" t="s">
        <v>29</v>
      </c>
      <c r="E146" s="80">
        <v>0</v>
      </c>
      <c r="F146" s="81">
        <v>7000</v>
      </c>
      <c r="G146" s="80">
        <v>0</v>
      </c>
      <c r="H146" s="81">
        <v>7000</v>
      </c>
      <c r="I146" s="80">
        <v>0</v>
      </c>
      <c r="J146" s="81">
        <v>0</v>
      </c>
      <c r="K146" s="60">
        <v>0</v>
      </c>
      <c r="L146" s="61">
        <v>0</v>
      </c>
      <c r="M146" s="80">
        <v>0</v>
      </c>
      <c r="N146" s="81">
        <v>0</v>
      </c>
      <c r="O146" s="73" t="s">
        <v>36</v>
      </c>
      <c r="P146" s="74"/>
      <c r="Q146" s="75"/>
    </row>
    <row r="147" spans="1:17" ht="90" x14ac:dyDescent="0.25">
      <c r="A147" s="1">
        <v>5</v>
      </c>
      <c r="B147" s="68">
        <f t="shared" si="12"/>
        <v>43</v>
      </c>
      <c r="C147" s="69" t="s">
        <v>227</v>
      </c>
      <c r="D147" s="70" t="s">
        <v>29</v>
      </c>
      <c r="E147" s="80">
        <v>0</v>
      </c>
      <c r="F147" s="81">
        <v>3000</v>
      </c>
      <c r="G147" s="80">
        <v>0</v>
      </c>
      <c r="H147" s="81">
        <v>3000</v>
      </c>
      <c r="I147" s="80">
        <v>0</v>
      </c>
      <c r="J147" s="81">
        <v>2720.625</v>
      </c>
      <c r="K147" s="60">
        <f>E147-I147</f>
        <v>0</v>
      </c>
      <c r="L147" s="61">
        <v>2720.625</v>
      </c>
      <c r="M147" s="80">
        <v>0</v>
      </c>
      <c r="N147" s="81">
        <v>0</v>
      </c>
      <c r="O147" s="73" t="s">
        <v>36</v>
      </c>
      <c r="P147" s="74"/>
      <c r="Q147" s="75"/>
    </row>
    <row r="148" spans="1:17" ht="90" x14ac:dyDescent="0.25">
      <c r="A148" s="1">
        <v>5</v>
      </c>
      <c r="B148" s="68">
        <f t="shared" si="12"/>
        <v>44</v>
      </c>
      <c r="C148" s="69" t="s">
        <v>228</v>
      </c>
      <c r="D148" s="70" t="s">
        <v>105</v>
      </c>
      <c r="E148" s="80">
        <v>0</v>
      </c>
      <c r="F148" s="81">
        <v>5343.7209999999995</v>
      </c>
      <c r="G148" s="80">
        <v>0</v>
      </c>
      <c r="H148" s="81">
        <v>5343.7209999999995</v>
      </c>
      <c r="I148" s="80">
        <v>0</v>
      </c>
      <c r="J148" s="81">
        <v>0</v>
      </c>
      <c r="K148" s="60">
        <f>E148-I148</f>
        <v>0</v>
      </c>
      <c r="L148" s="61">
        <v>0</v>
      </c>
      <c r="M148" s="80">
        <v>0</v>
      </c>
      <c r="N148" s="81">
        <v>0</v>
      </c>
      <c r="O148" s="73" t="s">
        <v>36</v>
      </c>
      <c r="P148" s="74"/>
      <c r="Q148" s="75"/>
    </row>
    <row r="149" spans="1:17" ht="72" x14ac:dyDescent="0.25">
      <c r="A149" s="1">
        <v>5</v>
      </c>
      <c r="B149" s="68">
        <f t="shared" si="12"/>
        <v>45</v>
      </c>
      <c r="C149" s="69" t="s">
        <v>229</v>
      </c>
      <c r="D149" s="70" t="s">
        <v>29</v>
      </c>
      <c r="E149" s="80">
        <v>0</v>
      </c>
      <c r="F149" s="81">
        <v>3292.5630000000001</v>
      </c>
      <c r="G149" s="80">
        <v>0</v>
      </c>
      <c r="H149" s="81">
        <v>3292.5630000000001</v>
      </c>
      <c r="I149" s="80">
        <v>0</v>
      </c>
      <c r="J149" s="81">
        <v>964.327</v>
      </c>
      <c r="K149" s="60">
        <v>0</v>
      </c>
      <c r="L149" s="61">
        <v>0</v>
      </c>
      <c r="M149" s="80">
        <v>0</v>
      </c>
      <c r="N149" s="81">
        <v>0</v>
      </c>
      <c r="O149" s="73" t="s">
        <v>116</v>
      </c>
      <c r="P149" s="74"/>
      <c r="Q149" s="75"/>
    </row>
    <row r="150" spans="1:17" ht="72" x14ac:dyDescent="0.25">
      <c r="A150" s="1">
        <v>5</v>
      </c>
      <c r="B150" s="68">
        <f t="shared" si="12"/>
        <v>46</v>
      </c>
      <c r="C150" s="69" t="s">
        <v>230</v>
      </c>
      <c r="D150" s="70" t="s">
        <v>29</v>
      </c>
      <c r="E150" s="80">
        <v>0</v>
      </c>
      <c r="F150" s="81">
        <v>1901.837</v>
      </c>
      <c r="G150" s="80">
        <v>0</v>
      </c>
      <c r="H150" s="81">
        <v>1901.837</v>
      </c>
      <c r="I150" s="80">
        <v>0</v>
      </c>
      <c r="J150" s="81">
        <v>0</v>
      </c>
      <c r="K150" s="60">
        <v>0</v>
      </c>
      <c r="L150" s="61">
        <v>0</v>
      </c>
      <c r="M150" s="80">
        <v>0</v>
      </c>
      <c r="N150" s="81">
        <v>0</v>
      </c>
      <c r="O150" s="73" t="s">
        <v>116</v>
      </c>
      <c r="P150" s="74"/>
      <c r="Q150" s="75"/>
    </row>
    <row r="151" spans="1:17" ht="72.75" thickBot="1" x14ac:dyDescent="0.3">
      <c r="A151" s="1">
        <v>5</v>
      </c>
      <c r="B151" s="68">
        <f t="shared" si="12"/>
        <v>47</v>
      </c>
      <c r="C151" s="69" t="s">
        <v>231</v>
      </c>
      <c r="D151" s="70" t="s">
        <v>105</v>
      </c>
      <c r="E151" s="80">
        <v>1352.047</v>
      </c>
      <c r="F151" s="81">
        <v>0</v>
      </c>
      <c r="G151" s="80">
        <v>1352.047</v>
      </c>
      <c r="H151" s="81">
        <v>0</v>
      </c>
      <c r="I151" s="80">
        <v>1352.047</v>
      </c>
      <c r="J151" s="81">
        <v>0</v>
      </c>
      <c r="K151" s="60">
        <v>1352.047</v>
      </c>
      <c r="L151" s="61">
        <v>0</v>
      </c>
      <c r="M151" s="80">
        <v>0</v>
      </c>
      <c r="N151" s="81">
        <v>0</v>
      </c>
      <c r="O151" s="73" t="s">
        <v>116</v>
      </c>
      <c r="P151" s="74"/>
      <c r="Q151" s="75"/>
    </row>
    <row r="152" spans="1:17" ht="18" x14ac:dyDescent="0.25">
      <c r="A152" s="1">
        <v>6</v>
      </c>
      <c r="B152" s="149" t="s">
        <v>232</v>
      </c>
      <c r="C152" s="150"/>
      <c r="D152" s="150"/>
      <c r="E152" s="150"/>
      <c r="F152" s="150"/>
      <c r="G152" s="150"/>
      <c r="H152" s="150"/>
      <c r="I152" s="150"/>
      <c r="J152" s="150"/>
      <c r="K152" s="150"/>
      <c r="L152" s="150"/>
      <c r="M152" s="150"/>
      <c r="N152" s="150"/>
      <c r="O152" s="150"/>
      <c r="P152" s="150"/>
      <c r="Q152" s="151"/>
    </row>
    <row r="153" spans="1:17" ht="18" x14ac:dyDescent="0.25">
      <c r="A153" s="1">
        <v>6</v>
      </c>
      <c r="B153" s="78"/>
      <c r="C153" s="41" t="s">
        <v>27</v>
      </c>
      <c r="D153" s="42"/>
      <c r="E153" s="43">
        <f t="shared" ref="E153:N153" si="13">SUM(E154,E156:E188)</f>
        <v>38563.157987999999</v>
      </c>
      <c r="F153" s="44">
        <f t="shared" si="13"/>
        <v>96407.896012000012</v>
      </c>
      <c r="G153" s="43">
        <f t="shared" si="13"/>
        <v>38563.158000000003</v>
      </c>
      <c r="H153" s="44">
        <f t="shared" si="13"/>
        <v>96407.896000000022</v>
      </c>
      <c r="I153" s="43">
        <f t="shared" si="13"/>
        <v>38015.011999999995</v>
      </c>
      <c r="J153" s="44">
        <f t="shared" si="13"/>
        <v>95466.521000000022</v>
      </c>
      <c r="K153" s="43">
        <f t="shared" si="13"/>
        <v>38015.011999999995</v>
      </c>
      <c r="L153" s="44">
        <f t="shared" si="13"/>
        <v>95466.521000000022</v>
      </c>
      <c r="M153" s="43">
        <f t="shared" si="13"/>
        <v>0</v>
      </c>
      <c r="N153" s="44">
        <f t="shared" si="13"/>
        <v>0</v>
      </c>
      <c r="O153" s="47"/>
      <c r="P153" s="48">
        <f>11+2</f>
        <v>13</v>
      </c>
      <c r="Q153" s="49"/>
    </row>
    <row r="154" spans="1:17" ht="18" x14ac:dyDescent="0.25">
      <c r="A154" s="1">
        <v>6</v>
      </c>
      <c r="B154" s="79"/>
      <c r="C154" s="50" t="s">
        <v>24</v>
      </c>
      <c r="D154" s="51"/>
      <c r="E154" s="52">
        <v>0</v>
      </c>
      <c r="F154" s="53">
        <v>0</v>
      </c>
      <c r="G154" s="52">
        <v>0</v>
      </c>
      <c r="H154" s="53">
        <v>0</v>
      </c>
      <c r="I154" s="52"/>
      <c r="J154" s="53"/>
      <c r="K154" s="52"/>
      <c r="L154" s="53"/>
      <c r="M154" s="52"/>
      <c r="N154" s="53"/>
      <c r="O154" s="56"/>
      <c r="P154" s="30"/>
      <c r="Q154" s="31"/>
    </row>
    <row r="155" spans="1:17" ht="36" x14ac:dyDescent="0.25">
      <c r="A155" s="1">
        <v>6</v>
      </c>
      <c r="B155" s="79"/>
      <c r="C155" s="50" t="s">
        <v>25</v>
      </c>
      <c r="D155" s="51"/>
      <c r="E155" s="52">
        <f>SUM(E156:E188)</f>
        <v>38563.157987999999</v>
      </c>
      <c r="F155" s="53">
        <f t="shared" ref="F155:N155" si="14">SUM(F156:F188)</f>
        <v>96407.896012000012</v>
      </c>
      <c r="G155" s="52">
        <f t="shared" si="14"/>
        <v>38563.158000000003</v>
      </c>
      <c r="H155" s="53">
        <f t="shared" si="14"/>
        <v>96407.896000000022</v>
      </c>
      <c r="I155" s="52">
        <f t="shared" si="14"/>
        <v>38015.011999999995</v>
      </c>
      <c r="J155" s="53">
        <f t="shared" si="14"/>
        <v>95466.521000000022</v>
      </c>
      <c r="K155" s="52">
        <f t="shared" si="14"/>
        <v>38015.011999999995</v>
      </c>
      <c r="L155" s="53">
        <f t="shared" si="14"/>
        <v>95466.521000000022</v>
      </c>
      <c r="M155" s="52">
        <f t="shared" si="14"/>
        <v>0</v>
      </c>
      <c r="N155" s="53">
        <f t="shared" si="14"/>
        <v>0</v>
      </c>
      <c r="O155" s="56"/>
      <c r="P155" s="30"/>
      <c r="Q155" s="31"/>
    </row>
    <row r="156" spans="1:17" ht="54" x14ac:dyDescent="0.25">
      <c r="A156" s="1">
        <v>6</v>
      </c>
      <c r="B156" s="57">
        <v>1</v>
      </c>
      <c r="C156" s="58" t="s">
        <v>233</v>
      </c>
      <c r="D156" s="59" t="s">
        <v>96</v>
      </c>
      <c r="E156" s="60">
        <f>1300.265-248.123</f>
        <v>1052.1420000000001</v>
      </c>
      <c r="F156" s="61">
        <f>3250.573-620.033</f>
        <v>2630.54</v>
      </c>
      <c r="G156" s="60">
        <v>1052.1420000000001</v>
      </c>
      <c r="H156" s="61">
        <v>2630.54</v>
      </c>
      <c r="I156" s="60">
        <v>1033.1690000000001</v>
      </c>
      <c r="J156" s="61">
        <v>2582.8820000000001</v>
      </c>
      <c r="K156" s="60">
        <v>1033.1690000000001</v>
      </c>
      <c r="L156" s="61">
        <v>2582.8820000000001</v>
      </c>
      <c r="M156" s="60">
        <v>0</v>
      </c>
      <c r="N156" s="61">
        <v>0</v>
      </c>
      <c r="O156" s="62" t="s">
        <v>36</v>
      </c>
      <c r="P156" s="63" t="s">
        <v>234</v>
      </c>
      <c r="Q156" s="64" t="s">
        <v>235</v>
      </c>
    </row>
    <row r="157" spans="1:17" ht="72" x14ac:dyDescent="0.25">
      <c r="A157" s="1">
        <v>6</v>
      </c>
      <c r="B157" s="57">
        <f>B156+1</f>
        <v>2</v>
      </c>
      <c r="C157" s="58" t="s">
        <v>236</v>
      </c>
      <c r="D157" s="59" t="s">
        <v>35</v>
      </c>
      <c r="E157" s="60">
        <f>3998.202+2512.182+493.114+0.000499</f>
        <v>7003.4984989999994</v>
      </c>
      <c r="F157" s="61">
        <f>9995.226+6280.34+1232.749-0.000499</f>
        <v>17508.314501000001</v>
      </c>
      <c r="G157" s="60">
        <v>7003.4979999999996</v>
      </c>
      <c r="H157" s="61">
        <v>17508.314999999999</v>
      </c>
      <c r="I157" s="60">
        <v>6918.4120000000003</v>
      </c>
      <c r="J157" s="61">
        <v>17486.819</v>
      </c>
      <c r="K157" s="60">
        <v>6918.4120000000003</v>
      </c>
      <c r="L157" s="61">
        <v>17486.819</v>
      </c>
      <c r="M157" s="60">
        <v>0</v>
      </c>
      <c r="N157" s="61">
        <v>0</v>
      </c>
      <c r="O157" s="62" t="s">
        <v>30</v>
      </c>
      <c r="P157" s="63"/>
      <c r="Q157" s="64"/>
    </row>
    <row r="158" spans="1:17" ht="90" x14ac:dyDescent="0.25">
      <c r="A158" s="1">
        <v>6</v>
      </c>
      <c r="B158" s="57">
        <f t="shared" ref="B158:B188" si="15">B157+1</f>
        <v>3</v>
      </c>
      <c r="C158" s="58" t="s">
        <v>237</v>
      </c>
      <c r="D158" s="59" t="s">
        <v>51</v>
      </c>
      <c r="E158" s="60">
        <f>1419.89+599.566</f>
        <v>2019.4560000000001</v>
      </c>
      <c r="F158" s="61">
        <f>3549.625+1499.37</f>
        <v>5048.9949999999999</v>
      </c>
      <c r="G158" s="60">
        <v>2019.4559999999999</v>
      </c>
      <c r="H158" s="61">
        <v>5048.9949999999999</v>
      </c>
      <c r="I158" s="60">
        <v>2019.4559999999999</v>
      </c>
      <c r="J158" s="61">
        <v>5048.9949999999999</v>
      </c>
      <c r="K158" s="60">
        <v>2019.4559999999999</v>
      </c>
      <c r="L158" s="61">
        <v>5048.9949999999999</v>
      </c>
      <c r="M158" s="60">
        <v>0</v>
      </c>
      <c r="N158" s="61">
        <v>0</v>
      </c>
      <c r="O158" s="62" t="s">
        <v>52</v>
      </c>
      <c r="P158" s="63" t="s">
        <v>238</v>
      </c>
      <c r="Q158" s="64" t="s">
        <v>41</v>
      </c>
    </row>
    <row r="159" spans="1:17" ht="72" x14ac:dyDescent="0.25">
      <c r="A159" s="1">
        <v>6</v>
      </c>
      <c r="B159" s="57">
        <f t="shared" si="15"/>
        <v>4</v>
      </c>
      <c r="C159" s="58" t="s">
        <v>239</v>
      </c>
      <c r="D159" s="59" t="s">
        <v>38</v>
      </c>
      <c r="E159" s="60">
        <v>1032.864</v>
      </c>
      <c r="F159" s="61">
        <v>2582.0880000000002</v>
      </c>
      <c r="G159" s="60">
        <v>1032.864</v>
      </c>
      <c r="H159" s="61">
        <v>2582.0880000000002</v>
      </c>
      <c r="I159" s="60">
        <v>1032.864</v>
      </c>
      <c r="J159" s="61">
        <v>2582.0880000000002</v>
      </c>
      <c r="K159" s="60">
        <v>1032.864</v>
      </c>
      <c r="L159" s="61">
        <v>2582.0880000000002</v>
      </c>
      <c r="M159" s="60">
        <v>0</v>
      </c>
      <c r="N159" s="61">
        <v>0</v>
      </c>
      <c r="O159" s="62" t="s">
        <v>52</v>
      </c>
      <c r="P159" s="63" t="s">
        <v>240</v>
      </c>
      <c r="Q159" s="64" t="s">
        <v>41</v>
      </c>
    </row>
    <row r="160" spans="1:17" ht="54" x14ac:dyDescent="0.25">
      <c r="A160" s="1">
        <v>6</v>
      </c>
      <c r="B160" s="57">
        <f t="shared" si="15"/>
        <v>5</v>
      </c>
      <c r="C160" s="58" t="s">
        <v>241</v>
      </c>
      <c r="D160" s="59" t="s">
        <v>35</v>
      </c>
      <c r="E160" s="60">
        <f>2285.97-1063.498</f>
        <v>1222.4719999999998</v>
      </c>
      <c r="F160" s="61">
        <f>5714.765-2657.364</f>
        <v>3057.4010000000003</v>
      </c>
      <c r="G160" s="60">
        <v>1222.472</v>
      </c>
      <c r="H160" s="61">
        <v>3057.4009999999998</v>
      </c>
      <c r="I160" s="60">
        <v>1214.972</v>
      </c>
      <c r="J160" s="61">
        <v>3037.643</v>
      </c>
      <c r="K160" s="60">
        <v>1214.972</v>
      </c>
      <c r="L160" s="61">
        <v>3037.643</v>
      </c>
      <c r="M160" s="60">
        <v>0</v>
      </c>
      <c r="N160" s="61">
        <v>0</v>
      </c>
      <c r="O160" s="62" t="s">
        <v>48</v>
      </c>
      <c r="P160" s="63"/>
      <c r="Q160" s="64"/>
    </row>
    <row r="161" spans="1:17" ht="90" x14ac:dyDescent="0.25">
      <c r="A161" s="1">
        <v>6</v>
      </c>
      <c r="B161" s="57">
        <f t="shared" si="15"/>
        <v>6</v>
      </c>
      <c r="C161" s="58" t="s">
        <v>242</v>
      </c>
      <c r="D161" s="59" t="s">
        <v>35</v>
      </c>
      <c r="E161" s="60">
        <v>1952.153</v>
      </c>
      <c r="F161" s="61">
        <v>4880.2470000000003</v>
      </c>
      <c r="G161" s="60">
        <v>1952.153</v>
      </c>
      <c r="H161" s="61">
        <v>4880.2470000000003</v>
      </c>
      <c r="I161" s="60">
        <v>1896.413</v>
      </c>
      <c r="J161" s="61">
        <v>4757.8649999999998</v>
      </c>
      <c r="K161" s="60">
        <v>1896.413</v>
      </c>
      <c r="L161" s="61">
        <v>4757.8649999999998</v>
      </c>
      <c r="M161" s="60">
        <v>0</v>
      </c>
      <c r="N161" s="61">
        <v>0</v>
      </c>
      <c r="O161" s="62" t="s">
        <v>48</v>
      </c>
      <c r="P161" s="63"/>
      <c r="Q161" s="64"/>
    </row>
    <row r="162" spans="1:17" ht="54" x14ac:dyDescent="0.25">
      <c r="A162" s="1">
        <v>6</v>
      </c>
      <c r="B162" s="57">
        <f t="shared" si="15"/>
        <v>7</v>
      </c>
      <c r="C162" s="58" t="s">
        <v>243</v>
      </c>
      <c r="D162" s="59" t="s">
        <v>38</v>
      </c>
      <c r="E162" s="60">
        <f>707.486-50.945</f>
        <v>656.54099999999994</v>
      </c>
      <c r="F162" s="61">
        <f>1768.666-127.2</f>
        <v>1641.4659999999999</v>
      </c>
      <c r="G162" s="60">
        <v>656.54100000000005</v>
      </c>
      <c r="H162" s="61">
        <v>1641.4659999999999</v>
      </c>
      <c r="I162" s="60">
        <v>648.58000000000004</v>
      </c>
      <c r="J162" s="61">
        <v>1621.5630000000001</v>
      </c>
      <c r="K162" s="60">
        <v>648.58000000000004</v>
      </c>
      <c r="L162" s="61">
        <v>1621.5630000000001</v>
      </c>
      <c r="M162" s="60">
        <v>0</v>
      </c>
      <c r="N162" s="61">
        <v>0</v>
      </c>
      <c r="O162" s="62" t="s">
        <v>52</v>
      </c>
      <c r="P162" s="63" t="s">
        <v>244</v>
      </c>
      <c r="Q162" s="64" t="s">
        <v>41</v>
      </c>
    </row>
    <row r="163" spans="1:17" ht="90" x14ac:dyDescent="0.25">
      <c r="A163" s="1">
        <v>6</v>
      </c>
      <c r="B163" s="57">
        <f t="shared" si="15"/>
        <v>8</v>
      </c>
      <c r="C163" s="58" t="s">
        <v>245</v>
      </c>
      <c r="D163" s="59" t="s">
        <v>38</v>
      </c>
      <c r="E163" s="60">
        <f>642.87-379.683</f>
        <v>263.18700000000001</v>
      </c>
      <c r="F163" s="61">
        <f>1607.13-949.18</f>
        <v>657.95000000000016</v>
      </c>
      <c r="G163" s="60">
        <v>263.18700000000001</v>
      </c>
      <c r="H163" s="61">
        <v>657.95</v>
      </c>
      <c r="I163" s="60">
        <v>196.61199999999999</v>
      </c>
      <c r="J163" s="61">
        <v>589.11099999999999</v>
      </c>
      <c r="K163" s="60">
        <v>196.61199999999999</v>
      </c>
      <c r="L163" s="61">
        <v>589.11099999999999</v>
      </c>
      <c r="M163" s="60">
        <v>0</v>
      </c>
      <c r="N163" s="61">
        <v>0</v>
      </c>
      <c r="O163" s="62" t="s">
        <v>48</v>
      </c>
      <c r="P163" s="63"/>
      <c r="Q163" s="64"/>
    </row>
    <row r="164" spans="1:17" ht="72" x14ac:dyDescent="0.25">
      <c r="A164" s="1">
        <v>6</v>
      </c>
      <c r="B164" s="57">
        <f t="shared" si="15"/>
        <v>9</v>
      </c>
      <c r="C164" s="58" t="s">
        <v>246</v>
      </c>
      <c r="D164" s="59" t="s">
        <v>35</v>
      </c>
      <c r="E164" s="60">
        <f>4857.243+1428.897</f>
        <v>6286.14</v>
      </c>
      <c r="F164" s="61">
        <f>12142.767+3571.103</f>
        <v>15713.869999999999</v>
      </c>
      <c r="G164" s="60">
        <v>6286.14</v>
      </c>
      <c r="H164" s="61">
        <v>15713.87</v>
      </c>
      <c r="I164" s="60">
        <v>6286.14</v>
      </c>
      <c r="J164" s="61">
        <v>15713.87</v>
      </c>
      <c r="K164" s="60">
        <v>6286.14</v>
      </c>
      <c r="L164" s="61">
        <v>15713.87</v>
      </c>
      <c r="M164" s="60">
        <v>0</v>
      </c>
      <c r="N164" s="61">
        <v>0</v>
      </c>
      <c r="O164" s="62" t="s">
        <v>36</v>
      </c>
      <c r="P164" s="63"/>
      <c r="Q164" s="64"/>
    </row>
    <row r="165" spans="1:17" ht="90" x14ac:dyDescent="0.25">
      <c r="A165" s="1">
        <v>6</v>
      </c>
      <c r="B165" s="57">
        <f t="shared" si="15"/>
        <v>10</v>
      </c>
      <c r="C165" s="58" t="s">
        <v>247</v>
      </c>
      <c r="D165" s="59" t="s">
        <v>29</v>
      </c>
      <c r="E165" s="60">
        <v>2588.3530000000001</v>
      </c>
      <c r="F165" s="61">
        <v>6470.7020000000002</v>
      </c>
      <c r="G165" s="60">
        <v>2588.3530000000001</v>
      </c>
      <c r="H165" s="61">
        <v>6470.7020000000002</v>
      </c>
      <c r="I165" s="60">
        <v>2502.4830000000002</v>
      </c>
      <c r="J165" s="61">
        <v>6263.1689999999999</v>
      </c>
      <c r="K165" s="60">
        <v>2502.4830000000002</v>
      </c>
      <c r="L165" s="61">
        <v>6263.1689999999999</v>
      </c>
      <c r="M165" s="60">
        <v>0</v>
      </c>
      <c r="N165" s="61">
        <v>0</v>
      </c>
      <c r="O165" s="62" t="s">
        <v>248</v>
      </c>
      <c r="P165" s="63"/>
      <c r="Q165" s="64"/>
    </row>
    <row r="166" spans="1:17" ht="90" x14ac:dyDescent="0.25">
      <c r="A166" s="1">
        <v>6</v>
      </c>
      <c r="B166" s="57">
        <f t="shared" si="15"/>
        <v>11</v>
      </c>
      <c r="C166" s="58" t="s">
        <v>249</v>
      </c>
      <c r="D166" s="59" t="s">
        <v>96</v>
      </c>
      <c r="E166" s="60">
        <v>1041.9680000000001</v>
      </c>
      <c r="F166" s="61">
        <v>2604.8470000000002</v>
      </c>
      <c r="G166" s="60">
        <v>1041.9680000000001</v>
      </c>
      <c r="H166" s="61">
        <v>2604.8470000000002</v>
      </c>
      <c r="I166" s="60">
        <v>1041.9680000000001</v>
      </c>
      <c r="J166" s="61">
        <v>2604.8470000000002</v>
      </c>
      <c r="K166" s="60">
        <v>1041.9680000000001</v>
      </c>
      <c r="L166" s="61">
        <v>2604.8470000000002</v>
      </c>
      <c r="M166" s="60">
        <v>0</v>
      </c>
      <c r="N166" s="61">
        <v>0</v>
      </c>
      <c r="O166" s="62" t="s">
        <v>97</v>
      </c>
      <c r="P166" s="63"/>
      <c r="Q166" s="64"/>
    </row>
    <row r="167" spans="1:17" ht="72" x14ac:dyDescent="0.25">
      <c r="A167" s="1">
        <v>6</v>
      </c>
      <c r="B167" s="57">
        <f t="shared" si="15"/>
        <v>12</v>
      </c>
      <c r="C167" s="58" t="s">
        <v>250</v>
      </c>
      <c r="D167" s="59">
        <v>2017</v>
      </c>
      <c r="E167" s="60">
        <v>222.821</v>
      </c>
      <c r="F167" s="61">
        <v>557.03599999999994</v>
      </c>
      <c r="G167" s="60">
        <v>222.821</v>
      </c>
      <c r="H167" s="61">
        <v>557.03599999999994</v>
      </c>
      <c r="I167" s="60">
        <v>222.821</v>
      </c>
      <c r="J167" s="61">
        <v>557.03599999999994</v>
      </c>
      <c r="K167" s="60">
        <v>222.821</v>
      </c>
      <c r="L167" s="61">
        <v>557.03599999999994</v>
      </c>
      <c r="M167" s="60">
        <v>0</v>
      </c>
      <c r="N167" s="61">
        <v>0</v>
      </c>
      <c r="O167" s="62" t="s">
        <v>52</v>
      </c>
      <c r="P167" s="63" t="s">
        <v>251</v>
      </c>
      <c r="Q167" s="64" t="s">
        <v>41</v>
      </c>
    </row>
    <row r="168" spans="1:17" ht="126" x14ac:dyDescent="0.25">
      <c r="A168" s="1">
        <v>6</v>
      </c>
      <c r="B168" s="57">
        <f t="shared" si="15"/>
        <v>13</v>
      </c>
      <c r="C168" s="58" t="s">
        <v>252</v>
      </c>
      <c r="D168" s="59" t="s">
        <v>101</v>
      </c>
      <c r="E168" s="60">
        <v>1323.827</v>
      </c>
      <c r="F168" s="61">
        <v>3309.4749999999999</v>
      </c>
      <c r="G168" s="60">
        <v>1323.827</v>
      </c>
      <c r="H168" s="61">
        <v>3309.4749999999999</v>
      </c>
      <c r="I168" s="60">
        <v>1313.7090000000001</v>
      </c>
      <c r="J168" s="61">
        <v>3284.502</v>
      </c>
      <c r="K168" s="60">
        <v>1313.7090000000001</v>
      </c>
      <c r="L168" s="61">
        <v>3284.502</v>
      </c>
      <c r="M168" s="60">
        <v>0</v>
      </c>
      <c r="N168" s="61">
        <v>0</v>
      </c>
      <c r="O168" s="92" t="s">
        <v>253</v>
      </c>
      <c r="P168" s="63"/>
      <c r="Q168" s="64"/>
    </row>
    <row r="169" spans="1:17" ht="54" x14ac:dyDescent="0.25">
      <c r="A169" s="1">
        <v>6</v>
      </c>
      <c r="B169" s="57">
        <f t="shared" si="15"/>
        <v>14</v>
      </c>
      <c r="C169" s="58" t="s">
        <v>254</v>
      </c>
      <c r="D169" s="59" t="s">
        <v>29</v>
      </c>
      <c r="E169" s="60">
        <f>857.16-18.949</f>
        <v>838.21100000000001</v>
      </c>
      <c r="F169" s="61">
        <f>2142.84-47.166</f>
        <v>2095.674</v>
      </c>
      <c r="G169" s="60">
        <v>838.21100000000001</v>
      </c>
      <c r="H169" s="61">
        <v>2095.674</v>
      </c>
      <c r="I169" s="60">
        <v>825.86199999999997</v>
      </c>
      <c r="J169" s="61">
        <v>2060.5520000000001</v>
      </c>
      <c r="K169" s="60">
        <v>825.86199999999997</v>
      </c>
      <c r="L169" s="61">
        <v>2060.5520000000001</v>
      </c>
      <c r="M169" s="60">
        <v>0</v>
      </c>
      <c r="N169" s="61">
        <v>0</v>
      </c>
      <c r="O169" s="62" t="s">
        <v>36</v>
      </c>
      <c r="P169" s="63"/>
      <c r="Q169" s="64"/>
    </row>
    <row r="170" spans="1:17" ht="90" x14ac:dyDescent="0.25">
      <c r="A170" s="1">
        <v>6</v>
      </c>
      <c r="B170" s="57">
        <f t="shared" si="15"/>
        <v>15</v>
      </c>
      <c r="C170" s="58" t="s">
        <v>255</v>
      </c>
      <c r="D170" s="59" t="s">
        <v>29</v>
      </c>
      <c r="E170" s="60">
        <f>546.417-41.689</f>
        <v>504.72800000000001</v>
      </c>
      <c r="F170" s="61">
        <f>1366.003-104.095</f>
        <v>1261.9079999999999</v>
      </c>
      <c r="G170" s="60">
        <v>504.72800000000001</v>
      </c>
      <c r="H170" s="61">
        <v>1261.9079999999999</v>
      </c>
      <c r="I170" s="60">
        <v>501.23500000000001</v>
      </c>
      <c r="J170" s="61">
        <v>1253.175</v>
      </c>
      <c r="K170" s="60">
        <v>501.23500000000001</v>
      </c>
      <c r="L170" s="61">
        <v>1253.175</v>
      </c>
      <c r="M170" s="60">
        <v>0</v>
      </c>
      <c r="N170" s="61">
        <v>0</v>
      </c>
      <c r="O170" s="62" t="s">
        <v>30</v>
      </c>
      <c r="P170" s="63"/>
      <c r="Q170" s="64"/>
    </row>
    <row r="171" spans="1:17" ht="126" x14ac:dyDescent="0.25">
      <c r="A171" s="1">
        <v>6</v>
      </c>
      <c r="B171" s="57">
        <f t="shared" si="15"/>
        <v>16</v>
      </c>
      <c r="C171" s="58" t="s">
        <v>256</v>
      </c>
      <c r="D171" s="59">
        <v>2017</v>
      </c>
      <c r="E171" s="60">
        <f>298.592-28.666</f>
        <v>269.92599999999999</v>
      </c>
      <c r="F171" s="61">
        <f>746.459-71.597</f>
        <v>674.86199999999997</v>
      </c>
      <c r="G171" s="60">
        <v>269.92599999999999</v>
      </c>
      <c r="H171" s="61">
        <v>674.86199999999997</v>
      </c>
      <c r="I171" s="60">
        <v>269.92599999999999</v>
      </c>
      <c r="J171" s="61">
        <v>674.86099999999999</v>
      </c>
      <c r="K171" s="60">
        <v>269.92599999999999</v>
      </c>
      <c r="L171" s="61">
        <v>674.86099999999999</v>
      </c>
      <c r="M171" s="60">
        <v>0</v>
      </c>
      <c r="N171" s="61">
        <v>0</v>
      </c>
      <c r="O171" s="62" t="s">
        <v>52</v>
      </c>
      <c r="P171" s="63" t="s">
        <v>257</v>
      </c>
      <c r="Q171" s="64" t="s">
        <v>41</v>
      </c>
    </row>
    <row r="172" spans="1:17" ht="54" x14ac:dyDescent="0.25">
      <c r="A172" s="1">
        <v>6</v>
      </c>
      <c r="B172" s="57">
        <f t="shared" si="15"/>
        <v>17</v>
      </c>
      <c r="C172" s="58" t="s">
        <v>258</v>
      </c>
      <c r="D172" s="59" t="s">
        <v>29</v>
      </c>
      <c r="E172" s="60">
        <v>1072.9369999999999</v>
      </c>
      <c r="F172" s="61">
        <v>2682.2660000000001</v>
      </c>
      <c r="G172" s="60">
        <v>1072.9369999999999</v>
      </c>
      <c r="H172" s="61">
        <v>2682.2660000000001</v>
      </c>
      <c r="I172" s="60">
        <v>1072.9369999999999</v>
      </c>
      <c r="J172" s="61">
        <v>2682.2660000000001</v>
      </c>
      <c r="K172" s="60">
        <v>1072.9369999999999</v>
      </c>
      <c r="L172" s="61">
        <v>2682.2660000000001</v>
      </c>
      <c r="M172" s="60">
        <v>0</v>
      </c>
      <c r="N172" s="61">
        <v>0</v>
      </c>
      <c r="O172" s="62" t="s">
        <v>97</v>
      </c>
      <c r="P172" s="63" t="s">
        <v>259</v>
      </c>
      <c r="Q172" s="64" t="s">
        <v>235</v>
      </c>
    </row>
    <row r="173" spans="1:17" ht="90" x14ac:dyDescent="0.25">
      <c r="A173" s="1">
        <v>6</v>
      </c>
      <c r="B173" s="57">
        <f t="shared" si="15"/>
        <v>18</v>
      </c>
      <c r="C173" s="58" t="s">
        <v>260</v>
      </c>
      <c r="D173" s="59">
        <v>2017</v>
      </c>
      <c r="E173" s="60">
        <f>732.316-49.478</f>
        <v>682.83800000000008</v>
      </c>
      <c r="F173" s="61">
        <f>1830.739-123.526</f>
        <v>1707.213</v>
      </c>
      <c r="G173" s="60">
        <v>682.83799999999997</v>
      </c>
      <c r="H173" s="61">
        <v>1707.213</v>
      </c>
      <c r="I173" s="60">
        <v>682.83699999999999</v>
      </c>
      <c r="J173" s="61">
        <v>1707.213</v>
      </c>
      <c r="K173" s="60">
        <v>682.83699999999999</v>
      </c>
      <c r="L173" s="61">
        <v>1707.213</v>
      </c>
      <c r="M173" s="60">
        <v>0</v>
      </c>
      <c r="N173" s="61">
        <v>0</v>
      </c>
      <c r="O173" s="62" t="s">
        <v>52</v>
      </c>
      <c r="P173" s="63" t="s">
        <v>261</v>
      </c>
      <c r="Q173" s="64" t="s">
        <v>41</v>
      </c>
    </row>
    <row r="174" spans="1:17" ht="72" x14ac:dyDescent="0.25">
      <c r="A174" s="1">
        <v>6</v>
      </c>
      <c r="B174" s="57">
        <f t="shared" si="15"/>
        <v>19</v>
      </c>
      <c r="C174" s="58" t="s">
        <v>262</v>
      </c>
      <c r="D174" s="59" t="s">
        <v>29</v>
      </c>
      <c r="E174" s="60">
        <v>539.47</v>
      </c>
      <c r="F174" s="61">
        <v>1348.6369999999999</v>
      </c>
      <c r="G174" s="60">
        <v>539.47</v>
      </c>
      <c r="H174" s="61">
        <v>1348.6369999999999</v>
      </c>
      <c r="I174" s="60">
        <v>537.24800000000005</v>
      </c>
      <c r="J174" s="61">
        <v>1343.213</v>
      </c>
      <c r="K174" s="60">
        <v>537.24800000000005</v>
      </c>
      <c r="L174" s="61">
        <v>1343.213</v>
      </c>
      <c r="M174" s="60">
        <v>0</v>
      </c>
      <c r="N174" s="61">
        <v>0</v>
      </c>
      <c r="O174" s="62" t="s">
        <v>248</v>
      </c>
      <c r="P174" s="63"/>
      <c r="Q174" s="64"/>
    </row>
    <row r="175" spans="1:17" ht="72" x14ac:dyDescent="0.25">
      <c r="A175" s="1">
        <v>6</v>
      </c>
      <c r="B175" s="57">
        <f t="shared" si="15"/>
        <v>20</v>
      </c>
      <c r="C175" s="58" t="s">
        <v>263</v>
      </c>
      <c r="D175" s="59" t="s">
        <v>29</v>
      </c>
      <c r="E175" s="60">
        <f>893.881-239.326</f>
        <v>654.55499999999995</v>
      </c>
      <c r="F175" s="61">
        <f>2234.639-598.135</f>
        <v>1636.5040000000001</v>
      </c>
      <c r="G175" s="60">
        <v>654.55499999999995</v>
      </c>
      <c r="H175" s="61">
        <v>1636.5039999999999</v>
      </c>
      <c r="I175" s="60">
        <v>654.55399999999997</v>
      </c>
      <c r="J175" s="61">
        <v>1636.5029999999999</v>
      </c>
      <c r="K175" s="60">
        <v>654.55399999999997</v>
      </c>
      <c r="L175" s="61">
        <v>1636.5029999999999</v>
      </c>
      <c r="M175" s="60">
        <v>0</v>
      </c>
      <c r="N175" s="61">
        <v>0</v>
      </c>
      <c r="O175" s="62" t="s">
        <v>248</v>
      </c>
      <c r="P175" s="63"/>
      <c r="Q175" s="64"/>
    </row>
    <row r="176" spans="1:17" ht="54" x14ac:dyDescent="0.25">
      <c r="A176" s="1">
        <v>6</v>
      </c>
      <c r="B176" s="57">
        <f t="shared" si="15"/>
        <v>21</v>
      </c>
      <c r="C176" s="58" t="s">
        <v>264</v>
      </c>
      <c r="D176" s="59">
        <v>2017</v>
      </c>
      <c r="E176" s="60">
        <v>528.91999999999996</v>
      </c>
      <c r="F176" s="61">
        <v>1322.2629999999999</v>
      </c>
      <c r="G176" s="60">
        <v>528.91999999999996</v>
      </c>
      <c r="H176" s="61">
        <v>1322.2629999999999</v>
      </c>
      <c r="I176" s="60">
        <v>528.91999999999996</v>
      </c>
      <c r="J176" s="61">
        <v>1322.2629999999999</v>
      </c>
      <c r="K176" s="60">
        <v>528.91999999999996</v>
      </c>
      <c r="L176" s="61">
        <v>1322.2629999999999</v>
      </c>
      <c r="M176" s="60">
        <v>0</v>
      </c>
      <c r="N176" s="61">
        <v>0</v>
      </c>
      <c r="O176" s="62" t="s">
        <v>52</v>
      </c>
      <c r="P176" s="63" t="s">
        <v>265</v>
      </c>
      <c r="Q176" s="64" t="s">
        <v>41</v>
      </c>
    </row>
    <row r="177" spans="1:17" ht="90" x14ac:dyDescent="0.25">
      <c r="A177" s="1">
        <v>6</v>
      </c>
      <c r="B177" s="57">
        <f t="shared" si="15"/>
        <v>22</v>
      </c>
      <c r="C177" s="58" t="s">
        <v>266</v>
      </c>
      <c r="D177" s="59">
        <v>2017</v>
      </c>
      <c r="E177" s="60">
        <v>270.524</v>
      </c>
      <c r="F177" s="61">
        <v>676.29200000000003</v>
      </c>
      <c r="G177" s="60">
        <v>270.524</v>
      </c>
      <c r="H177" s="61">
        <v>676.29200000000003</v>
      </c>
      <c r="I177" s="60">
        <v>224.52799999999999</v>
      </c>
      <c r="J177" s="61">
        <v>676.29200000000003</v>
      </c>
      <c r="K177" s="60">
        <v>224.52799999999999</v>
      </c>
      <c r="L177" s="61">
        <v>676.29200000000003</v>
      </c>
      <c r="M177" s="60">
        <v>0</v>
      </c>
      <c r="N177" s="61">
        <v>0</v>
      </c>
      <c r="O177" s="62" t="s">
        <v>52</v>
      </c>
      <c r="P177" s="63" t="s">
        <v>267</v>
      </c>
      <c r="Q177" s="64" t="s">
        <v>41</v>
      </c>
    </row>
    <row r="178" spans="1:17" ht="72" x14ac:dyDescent="0.25">
      <c r="A178" s="1">
        <v>6</v>
      </c>
      <c r="B178" s="57">
        <f t="shared" si="15"/>
        <v>23</v>
      </c>
      <c r="C178" s="58" t="s">
        <v>268</v>
      </c>
      <c r="D178" s="59" t="s">
        <v>29</v>
      </c>
      <c r="E178" s="60">
        <v>737.07600000000002</v>
      </c>
      <c r="F178" s="61">
        <v>1842.6369999999999</v>
      </c>
      <c r="G178" s="60">
        <v>737.07600000000002</v>
      </c>
      <c r="H178" s="61">
        <v>1842.6369999999999</v>
      </c>
      <c r="I178" s="60">
        <v>723.42200000000003</v>
      </c>
      <c r="J178" s="61">
        <v>1809.49</v>
      </c>
      <c r="K178" s="60">
        <v>723.42200000000003</v>
      </c>
      <c r="L178" s="61">
        <v>1809.49</v>
      </c>
      <c r="M178" s="60">
        <v>0</v>
      </c>
      <c r="N178" s="61">
        <v>0</v>
      </c>
      <c r="O178" s="62" t="s">
        <v>248</v>
      </c>
      <c r="P178" s="63"/>
      <c r="Q178" s="64"/>
    </row>
    <row r="179" spans="1:17" ht="72" x14ac:dyDescent="0.25">
      <c r="A179" s="1">
        <v>6</v>
      </c>
      <c r="B179" s="57">
        <f t="shared" si="15"/>
        <v>24</v>
      </c>
      <c r="C179" s="58" t="s">
        <v>269</v>
      </c>
      <c r="D179" s="59" t="s">
        <v>29</v>
      </c>
      <c r="E179" s="60">
        <f>800.743-16.824</f>
        <v>783.9190000000001</v>
      </c>
      <c r="F179" s="61">
        <f>2001.803-41.869</f>
        <v>1959.9340000000002</v>
      </c>
      <c r="G179" s="60">
        <v>783.91899999999998</v>
      </c>
      <c r="H179" s="61">
        <v>1959.934</v>
      </c>
      <c r="I179" s="60">
        <v>783.91899999999998</v>
      </c>
      <c r="J179" s="61">
        <v>1959.933</v>
      </c>
      <c r="K179" s="60">
        <v>783.91899999999998</v>
      </c>
      <c r="L179" s="61">
        <v>1959.933</v>
      </c>
      <c r="M179" s="60">
        <v>0</v>
      </c>
      <c r="N179" s="61">
        <v>0</v>
      </c>
      <c r="O179" s="62" t="s">
        <v>48</v>
      </c>
      <c r="P179" s="63"/>
      <c r="Q179" s="64"/>
    </row>
    <row r="180" spans="1:17" ht="54" x14ac:dyDescent="0.25">
      <c r="A180" s="1">
        <v>6</v>
      </c>
      <c r="B180" s="57">
        <f t="shared" si="15"/>
        <v>25</v>
      </c>
      <c r="C180" s="58" t="s">
        <v>270</v>
      </c>
      <c r="D180" s="59" t="s">
        <v>29</v>
      </c>
      <c r="E180" s="60">
        <f>722.111-113.431</f>
        <v>608.67999999999995</v>
      </c>
      <c r="F180" s="61">
        <f>1805.228-283.569</f>
        <v>1521.6590000000001</v>
      </c>
      <c r="G180" s="60">
        <v>608.67999999999995</v>
      </c>
      <c r="H180" s="61">
        <v>1521.6590000000001</v>
      </c>
      <c r="I180" s="60">
        <v>603.64599999999996</v>
      </c>
      <c r="J180" s="61">
        <v>1509.075</v>
      </c>
      <c r="K180" s="60">
        <v>603.64599999999996</v>
      </c>
      <c r="L180" s="61">
        <v>1509.075</v>
      </c>
      <c r="M180" s="60">
        <v>0</v>
      </c>
      <c r="N180" s="61">
        <v>0</v>
      </c>
      <c r="O180" s="62" t="s">
        <v>48</v>
      </c>
      <c r="P180" s="63"/>
      <c r="Q180" s="64"/>
    </row>
    <row r="181" spans="1:17" ht="72" x14ac:dyDescent="0.25">
      <c r="A181" s="1">
        <v>6</v>
      </c>
      <c r="B181" s="57">
        <f t="shared" si="15"/>
        <v>26</v>
      </c>
      <c r="C181" s="58" t="s">
        <v>271</v>
      </c>
      <c r="D181" s="59" t="s">
        <v>29</v>
      </c>
      <c r="E181" s="60">
        <f>898.005-46.388</f>
        <v>851.61699999999996</v>
      </c>
      <c r="F181" s="61">
        <f>2244.949-115.756</f>
        <v>2129.1930000000002</v>
      </c>
      <c r="G181" s="60">
        <v>851.61699999999996</v>
      </c>
      <c r="H181" s="61">
        <v>2129.1930000000002</v>
      </c>
      <c r="I181" s="60">
        <v>851.61699999999996</v>
      </c>
      <c r="J181" s="61">
        <v>2116.567</v>
      </c>
      <c r="K181" s="60">
        <v>851.61699999999996</v>
      </c>
      <c r="L181" s="61">
        <v>2116.567</v>
      </c>
      <c r="M181" s="60">
        <v>0</v>
      </c>
      <c r="N181" s="61">
        <v>0</v>
      </c>
      <c r="O181" s="62" t="s">
        <v>248</v>
      </c>
      <c r="P181" s="63"/>
      <c r="Q181" s="64"/>
    </row>
    <row r="182" spans="1:17" ht="54" x14ac:dyDescent="0.25">
      <c r="A182" s="1">
        <v>6</v>
      </c>
      <c r="B182" s="57">
        <f t="shared" si="15"/>
        <v>27</v>
      </c>
      <c r="C182" s="58" t="s">
        <v>272</v>
      </c>
      <c r="D182" s="59">
        <v>2017</v>
      </c>
      <c r="E182" s="60">
        <v>81.271000000000001</v>
      </c>
      <c r="F182" s="61">
        <v>203.17099999999999</v>
      </c>
      <c r="G182" s="60">
        <v>81.271000000000001</v>
      </c>
      <c r="H182" s="61">
        <v>203.17099999999999</v>
      </c>
      <c r="I182" s="60">
        <v>81.271000000000001</v>
      </c>
      <c r="J182" s="61">
        <v>202.78299999999999</v>
      </c>
      <c r="K182" s="60">
        <v>81.271000000000001</v>
      </c>
      <c r="L182" s="61">
        <v>202.78299999999999</v>
      </c>
      <c r="M182" s="60">
        <v>0</v>
      </c>
      <c r="N182" s="61">
        <v>0</v>
      </c>
      <c r="O182" s="62" t="s">
        <v>52</v>
      </c>
      <c r="P182" s="63" t="s">
        <v>273</v>
      </c>
      <c r="Q182" s="64" t="s">
        <v>41</v>
      </c>
    </row>
    <row r="183" spans="1:17" ht="54" x14ac:dyDescent="0.25">
      <c r="A183" s="1">
        <v>6</v>
      </c>
      <c r="B183" s="57">
        <f t="shared" si="15"/>
        <v>28</v>
      </c>
      <c r="C183" s="58" t="s">
        <v>274</v>
      </c>
      <c r="D183" s="59">
        <v>2017</v>
      </c>
      <c r="E183" s="60">
        <v>96.343000000000004</v>
      </c>
      <c r="F183" s="61">
        <v>240.85</v>
      </c>
      <c r="G183" s="60">
        <v>96.343000000000004</v>
      </c>
      <c r="H183" s="61">
        <v>240.85</v>
      </c>
      <c r="I183" s="60">
        <v>96.341999999999999</v>
      </c>
      <c r="J183" s="61">
        <v>240.79900000000001</v>
      </c>
      <c r="K183" s="60">
        <v>96.341999999999999</v>
      </c>
      <c r="L183" s="61">
        <v>240.79900000000001</v>
      </c>
      <c r="M183" s="60">
        <v>0</v>
      </c>
      <c r="N183" s="61">
        <v>0</v>
      </c>
      <c r="O183" s="62" t="s">
        <v>52</v>
      </c>
      <c r="P183" s="63" t="s">
        <v>273</v>
      </c>
      <c r="Q183" s="64" t="s">
        <v>41</v>
      </c>
    </row>
    <row r="184" spans="1:17" ht="72" x14ac:dyDescent="0.25">
      <c r="A184" s="1">
        <v>6</v>
      </c>
      <c r="B184" s="57">
        <f t="shared" si="15"/>
        <v>29</v>
      </c>
      <c r="C184" s="58" t="s">
        <v>275</v>
      </c>
      <c r="D184" s="59" t="s">
        <v>29</v>
      </c>
      <c r="E184" s="60">
        <v>1345.223</v>
      </c>
      <c r="F184" s="61">
        <v>3362.9630000000002</v>
      </c>
      <c r="G184" s="60">
        <v>1345.223</v>
      </c>
      <c r="H184" s="61">
        <v>3362.9630000000002</v>
      </c>
      <c r="I184" s="60">
        <v>1305.6859999999999</v>
      </c>
      <c r="J184" s="61">
        <v>3094.8150000000001</v>
      </c>
      <c r="K184" s="60">
        <v>1305.6859999999999</v>
      </c>
      <c r="L184" s="61">
        <v>3094.8150000000001</v>
      </c>
      <c r="M184" s="60">
        <v>0</v>
      </c>
      <c r="N184" s="61">
        <v>0</v>
      </c>
      <c r="O184" s="62" t="s">
        <v>248</v>
      </c>
      <c r="P184" s="63"/>
      <c r="Q184" s="64"/>
    </row>
    <row r="185" spans="1:17" ht="90" x14ac:dyDescent="0.25">
      <c r="A185" s="1">
        <v>6</v>
      </c>
      <c r="B185" s="57">
        <f t="shared" si="15"/>
        <v>30</v>
      </c>
      <c r="C185" s="58" t="s">
        <v>276</v>
      </c>
      <c r="D185" s="59" t="s">
        <v>29</v>
      </c>
      <c r="E185" s="60">
        <f>695.134-16.103</f>
        <v>679.03100000000006</v>
      </c>
      <c r="F185" s="61">
        <f>1737.786-40.091</f>
        <v>1697.6950000000002</v>
      </c>
      <c r="G185" s="60">
        <v>679.03099999999995</v>
      </c>
      <c r="H185" s="61">
        <v>1697.6949999999999</v>
      </c>
      <c r="I185" s="60">
        <v>679.03099999999995</v>
      </c>
      <c r="J185" s="61">
        <v>1697.6949999999999</v>
      </c>
      <c r="K185" s="60">
        <v>679.03099999999995</v>
      </c>
      <c r="L185" s="61">
        <v>1697.6949999999999</v>
      </c>
      <c r="M185" s="60">
        <v>0</v>
      </c>
      <c r="N185" s="61">
        <v>0</v>
      </c>
      <c r="O185" s="62" t="s">
        <v>48</v>
      </c>
      <c r="P185" s="63"/>
      <c r="Q185" s="64"/>
    </row>
    <row r="186" spans="1:17" ht="72" x14ac:dyDescent="0.25">
      <c r="A186" s="1">
        <v>6</v>
      </c>
      <c r="B186" s="68">
        <f t="shared" si="15"/>
        <v>31</v>
      </c>
      <c r="C186" s="69" t="s">
        <v>277</v>
      </c>
      <c r="D186" s="70" t="s">
        <v>29</v>
      </c>
      <c r="E186" s="80">
        <f>509.136-1.242</f>
        <v>507.89400000000001</v>
      </c>
      <c r="F186" s="81">
        <f>1275.506-5.682</f>
        <v>1269.8240000000001</v>
      </c>
      <c r="G186" s="80">
        <v>507.89400000000001</v>
      </c>
      <c r="H186" s="81">
        <v>1269.8240000000001</v>
      </c>
      <c r="I186" s="80">
        <v>507.89400000000001</v>
      </c>
      <c r="J186" s="81">
        <v>1269.8240000000001</v>
      </c>
      <c r="K186" s="80">
        <v>507.89400000000001</v>
      </c>
      <c r="L186" s="81">
        <v>1269.8240000000001</v>
      </c>
      <c r="M186" s="80">
        <v>0</v>
      </c>
      <c r="N186" s="81">
        <v>0</v>
      </c>
      <c r="O186" s="73" t="s">
        <v>48</v>
      </c>
      <c r="P186" s="74"/>
      <c r="Q186" s="75"/>
    </row>
    <row r="187" spans="1:17" ht="180" x14ac:dyDescent="0.25">
      <c r="A187" s="1">
        <v>6</v>
      </c>
      <c r="B187" s="68">
        <f t="shared" si="15"/>
        <v>32</v>
      </c>
      <c r="C187" s="69" t="s">
        <v>278</v>
      </c>
      <c r="D187" s="70" t="s">
        <v>29</v>
      </c>
      <c r="E187" s="80">
        <v>571.4</v>
      </c>
      <c r="F187" s="81">
        <v>1428.6</v>
      </c>
      <c r="G187" s="80">
        <v>571.4</v>
      </c>
      <c r="H187" s="81">
        <v>1428.6</v>
      </c>
      <c r="I187" s="80">
        <v>558.35799999999995</v>
      </c>
      <c r="J187" s="81">
        <v>1395.992</v>
      </c>
      <c r="K187" s="80">
        <v>558.35799999999995</v>
      </c>
      <c r="L187" s="81">
        <v>1395.992</v>
      </c>
      <c r="M187" s="80">
        <v>0</v>
      </c>
      <c r="N187" s="81">
        <v>0</v>
      </c>
      <c r="O187" s="73" t="s">
        <v>64</v>
      </c>
      <c r="P187" s="74"/>
      <c r="Q187" s="75"/>
    </row>
    <row r="188" spans="1:17" ht="54.75" thickBot="1" x14ac:dyDescent="0.3">
      <c r="A188" s="1">
        <v>6</v>
      </c>
      <c r="B188" s="68">
        <f t="shared" si="15"/>
        <v>33</v>
      </c>
      <c r="C188" s="69" t="s">
        <v>279</v>
      </c>
      <c r="D188" s="70">
        <v>2017</v>
      </c>
      <c r="E188" s="80">
        <f>273.173-0.000511</f>
        <v>273.17248899999998</v>
      </c>
      <c r="F188" s="81">
        <f>682.819+0.000511</f>
        <v>682.81951099999992</v>
      </c>
      <c r="G188" s="80">
        <v>273.173</v>
      </c>
      <c r="H188" s="81">
        <v>682.81899999999996</v>
      </c>
      <c r="I188" s="80">
        <v>198.18</v>
      </c>
      <c r="J188" s="81">
        <v>682.82</v>
      </c>
      <c r="K188" s="80">
        <v>198.18</v>
      </c>
      <c r="L188" s="81">
        <v>682.82</v>
      </c>
      <c r="M188" s="80">
        <v>0</v>
      </c>
      <c r="N188" s="81">
        <v>0</v>
      </c>
      <c r="O188" s="73" t="s">
        <v>52</v>
      </c>
      <c r="P188" s="74" t="s">
        <v>280</v>
      </c>
      <c r="Q188" s="75" t="s">
        <v>41</v>
      </c>
    </row>
    <row r="189" spans="1:17" ht="18" x14ac:dyDescent="0.25">
      <c r="A189" s="1">
        <v>7</v>
      </c>
      <c r="B189" s="149" t="s">
        <v>281</v>
      </c>
      <c r="C189" s="150"/>
      <c r="D189" s="150"/>
      <c r="E189" s="150"/>
      <c r="F189" s="150"/>
      <c r="G189" s="150"/>
      <c r="H189" s="150"/>
      <c r="I189" s="150"/>
      <c r="J189" s="150"/>
      <c r="K189" s="150"/>
      <c r="L189" s="150"/>
      <c r="M189" s="150"/>
      <c r="N189" s="150"/>
      <c r="O189" s="150"/>
      <c r="P189" s="150"/>
      <c r="Q189" s="151"/>
    </row>
    <row r="190" spans="1:17" ht="18" x14ac:dyDescent="0.25">
      <c r="A190" s="1">
        <v>7</v>
      </c>
      <c r="B190" s="78"/>
      <c r="C190" s="41" t="s">
        <v>27</v>
      </c>
      <c r="D190" s="42"/>
      <c r="E190" s="43">
        <f t="shared" ref="E190:N190" si="16">SUM(E191,E193:E264)</f>
        <v>39064.745999999999</v>
      </c>
      <c r="F190" s="44">
        <f t="shared" si="16"/>
        <v>97661.866000000009</v>
      </c>
      <c r="G190" s="43">
        <f t="shared" si="16"/>
        <v>39064.745999999999</v>
      </c>
      <c r="H190" s="44">
        <f t="shared" si="16"/>
        <v>97661.866000000009</v>
      </c>
      <c r="I190" s="43">
        <f t="shared" si="16"/>
        <v>36070.862000000001</v>
      </c>
      <c r="J190" s="44">
        <f t="shared" si="16"/>
        <v>94721.959000000046</v>
      </c>
      <c r="K190" s="43">
        <f t="shared" si="16"/>
        <v>36070.862000000001</v>
      </c>
      <c r="L190" s="44">
        <f t="shared" si="16"/>
        <v>94721.959000000046</v>
      </c>
      <c r="M190" s="43">
        <f t="shared" si="16"/>
        <v>1400.2539999999999</v>
      </c>
      <c r="N190" s="44">
        <f t="shared" si="16"/>
        <v>271.40800000000002</v>
      </c>
      <c r="O190" s="47"/>
      <c r="P190" s="48">
        <v>47</v>
      </c>
      <c r="Q190" s="49"/>
    </row>
    <row r="191" spans="1:17" ht="18" x14ac:dyDescent="0.25">
      <c r="A191" s="1">
        <v>7</v>
      </c>
      <c r="B191" s="79"/>
      <c r="C191" s="50" t="s">
        <v>24</v>
      </c>
      <c r="D191" s="51"/>
      <c r="E191" s="52">
        <v>0</v>
      </c>
      <c r="F191" s="53">
        <v>0</v>
      </c>
      <c r="G191" s="52">
        <v>0</v>
      </c>
      <c r="H191" s="53">
        <v>0</v>
      </c>
      <c r="I191" s="52"/>
      <c r="J191" s="53"/>
      <c r="K191" s="52"/>
      <c r="L191" s="53"/>
      <c r="M191" s="52"/>
      <c r="N191" s="53"/>
      <c r="O191" s="56"/>
      <c r="P191" s="30"/>
      <c r="Q191" s="31"/>
    </row>
    <row r="192" spans="1:17" ht="36" x14ac:dyDescent="0.25">
      <c r="A192" s="1">
        <v>7</v>
      </c>
      <c r="B192" s="79"/>
      <c r="C192" s="50" t="s">
        <v>25</v>
      </c>
      <c r="D192" s="51"/>
      <c r="E192" s="52">
        <f>SUM(E193:E264)</f>
        <v>39064.745999999999</v>
      </c>
      <c r="F192" s="53">
        <f t="shared" ref="F192:N192" si="17">SUM(F193:F264)</f>
        <v>97661.866000000009</v>
      </c>
      <c r="G192" s="52">
        <f t="shared" si="17"/>
        <v>39064.745999999999</v>
      </c>
      <c r="H192" s="53">
        <f t="shared" si="17"/>
        <v>97661.866000000009</v>
      </c>
      <c r="I192" s="52">
        <f t="shared" si="17"/>
        <v>36070.862000000001</v>
      </c>
      <c r="J192" s="53">
        <f t="shared" si="17"/>
        <v>94721.959000000046</v>
      </c>
      <c r="K192" s="52">
        <f t="shared" si="17"/>
        <v>36070.862000000001</v>
      </c>
      <c r="L192" s="53">
        <f t="shared" si="17"/>
        <v>94721.959000000046</v>
      </c>
      <c r="M192" s="52">
        <f t="shared" si="17"/>
        <v>1400.2539999999999</v>
      </c>
      <c r="N192" s="53">
        <f t="shared" si="17"/>
        <v>271.40800000000002</v>
      </c>
      <c r="O192" s="56"/>
      <c r="P192" s="30"/>
      <c r="Q192" s="31"/>
    </row>
    <row r="193" spans="1:17" ht="108" x14ac:dyDescent="0.25">
      <c r="A193" s="1">
        <v>7</v>
      </c>
      <c r="B193" s="57">
        <v>1</v>
      </c>
      <c r="C193" s="58" t="s">
        <v>282</v>
      </c>
      <c r="D193" s="59" t="s">
        <v>35</v>
      </c>
      <c r="E193" s="60">
        <v>500</v>
      </c>
      <c r="F193" s="61">
        <v>500</v>
      </c>
      <c r="G193" s="60">
        <v>500</v>
      </c>
      <c r="H193" s="61">
        <v>500</v>
      </c>
      <c r="I193" s="60">
        <v>500</v>
      </c>
      <c r="J193" s="61">
        <v>500</v>
      </c>
      <c r="K193" s="60">
        <v>500</v>
      </c>
      <c r="L193" s="61">
        <v>500</v>
      </c>
      <c r="M193" s="60">
        <v>0</v>
      </c>
      <c r="N193" s="61">
        <v>0</v>
      </c>
      <c r="O193" s="73" t="s">
        <v>36</v>
      </c>
      <c r="P193" s="63"/>
      <c r="Q193" s="64"/>
    </row>
    <row r="194" spans="1:17" ht="72" x14ac:dyDescent="0.25">
      <c r="A194" s="1">
        <v>7</v>
      </c>
      <c r="B194" s="57">
        <f>B193+1</f>
        <v>2</v>
      </c>
      <c r="C194" s="58" t="s">
        <v>283</v>
      </c>
      <c r="D194" s="59" t="s">
        <v>38</v>
      </c>
      <c r="E194" s="60">
        <f>500+1000</f>
        <v>1500</v>
      </c>
      <c r="F194" s="61">
        <v>500</v>
      </c>
      <c r="G194" s="60">
        <v>1500</v>
      </c>
      <c r="H194" s="61">
        <v>500</v>
      </c>
      <c r="I194" s="60">
        <v>1396.59</v>
      </c>
      <c r="J194" s="61">
        <v>500</v>
      </c>
      <c r="K194" s="60">
        <v>1396.59</v>
      </c>
      <c r="L194" s="61">
        <v>500</v>
      </c>
      <c r="M194" s="60">
        <v>0</v>
      </c>
      <c r="N194" s="61">
        <v>0</v>
      </c>
      <c r="O194" s="73" t="s">
        <v>36</v>
      </c>
      <c r="P194" s="63"/>
      <c r="Q194" s="64"/>
    </row>
    <row r="195" spans="1:17" ht="72" x14ac:dyDescent="0.25">
      <c r="A195" s="1">
        <v>7</v>
      </c>
      <c r="B195" s="57">
        <f t="shared" ref="B195:B258" si="18">B194+1</f>
        <v>3</v>
      </c>
      <c r="C195" s="58" t="s">
        <v>284</v>
      </c>
      <c r="D195" s="59" t="s">
        <v>38</v>
      </c>
      <c r="E195" s="60">
        <v>500</v>
      </c>
      <c r="F195" s="61">
        <v>670</v>
      </c>
      <c r="G195" s="60">
        <v>500</v>
      </c>
      <c r="H195" s="61">
        <v>670</v>
      </c>
      <c r="I195" s="60">
        <v>500</v>
      </c>
      <c r="J195" s="61">
        <v>669.00400000000002</v>
      </c>
      <c r="K195" s="60">
        <v>500</v>
      </c>
      <c r="L195" s="61">
        <v>669.00400000000002</v>
      </c>
      <c r="M195" s="60">
        <v>0</v>
      </c>
      <c r="N195" s="61">
        <v>0</v>
      </c>
      <c r="O195" s="73" t="s">
        <v>36</v>
      </c>
      <c r="P195" s="63"/>
      <c r="Q195" s="64"/>
    </row>
    <row r="196" spans="1:17" ht="72" x14ac:dyDescent="0.25">
      <c r="A196" s="1">
        <v>7</v>
      </c>
      <c r="B196" s="57">
        <f t="shared" si="18"/>
        <v>4</v>
      </c>
      <c r="C196" s="58" t="s">
        <v>285</v>
      </c>
      <c r="D196" s="59" t="s">
        <v>35</v>
      </c>
      <c r="E196" s="60">
        <f>2500+1065.813</f>
        <v>3565.8130000000001</v>
      </c>
      <c r="F196" s="61">
        <f>2500+695.466+1868.798</f>
        <v>5064.2640000000001</v>
      </c>
      <c r="G196" s="60">
        <v>3565.8130000000001</v>
      </c>
      <c r="H196" s="61">
        <v>5064.2640000000001</v>
      </c>
      <c r="I196" s="60">
        <v>3565.8130000000001</v>
      </c>
      <c r="J196" s="61">
        <v>5063.5789999999997</v>
      </c>
      <c r="K196" s="60">
        <v>3565.8130000000001</v>
      </c>
      <c r="L196" s="61">
        <v>5063.5789999999997</v>
      </c>
      <c r="M196" s="60">
        <v>0</v>
      </c>
      <c r="N196" s="61">
        <v>0</v>
      </c>
      <c r="O196" s="73" t="s">
        <v>36</v>
      </c>
      <c r="P196" s="63"/>
      <c r="Q196" s="64"/>
    </row>
    <row r="197" spans="1:17" ht="72" x14ac:dyDescent="0.25">
      <c r="A197" s="1">
        <v>7</v>
      </c>
      <c r="B197" s="57">
        <f t="shared" si="18"/>
        <v>5</v>
      </c>
      <c r="C197" s="58" t="s">
        <v>286</v>
      </c>
      <c r="D197" s="59" t="s">
        <v>38</v>
      </c>
      <c r="E197" s="60">
        <v>350</v>
      </c>
      <c r="F197" s="61">
        <v>1000</v>
      </c>
      <c r="G197" s="60">
        <v>350</v>
      </c>
      <c r="H197" s="61">
        <v>1000</v>
      </c>
      <c r="I197" s="60">
        <v>350</v>
      </c>
      <c r="J197" s="61">
        <v>1000</v>
      </c>
      <c r="K197" s="60">
        <v>350</v>
      </c>
      <c r="L197" s="61">
        <v>1000</v>
      </c>
      <c r="M197" s="60">
        <v>0</v>
      </c>
      <c r="N197" s="61">
        <v>0</v>
      </c>
      <c r="O197" s="62" t="s">
        <v>52</v>
      </c>
      <c r="P197" s="63" t="s">
        <v>287</v>
      </c>
      <c r="Q197" s="64" t="s">
        <v>41</v>
      </c>
    </row>
    <row r="198" spans="1:17" ht="72" x14ac:dyDescent="0.25">
      <c r="A198" s="1">
        <v>7</v>
      </c>
      <c r="B198" s="57">
        <f t="shared" si="18"/>
        <v>6</v>
      </c>
      <c r="C198" s="58" t="s">
        <v>288</v>
      </c>
      <c r="D198" s="59">
        <v>2017</v>
      </c>
      <c r="E198" s="60">
        <f>966.73-68.139</f>
        <v>898.59100000000001</v>
      </c>
      <c r="F198" s="61">
        <f>11005.324-810.209</f>
        <v>10195.115</v>
      </c>
      <c r="G198" s="60">
        <v>898.59100000000001</v>
      </c>
      <c r="H198" s="61">
        <v>10195.115</v>
      </c>
      <c r="I198" s="60">
        <v>898.59</v>
      </c>
      <c r="J198" s="61">
        <v>10195.115</v>
      </c>
      <c r="K198" s="60">
        <v>898.59</v>
      </c>
      <c r="L198" s="61">
        <v>10195.115</v>
      </c>
      <c r="M198" s="60">
        <v>0</v>
      </c>
      <c r="N198" s="61">
        <v>0</v>
      </c>
      <c r="O198" s="62" t="s">
        <v>52</v>
      </c>
      <c r="P198" s="63" t="s">
        <v>287</v>
      </c>
      <c r="Q198" s="64" t="s">
        <v>41</v>
      </c>
    </row>
    <row r="199" spans="1:17" ht="90" x14ac:dyDescent="0.25">
      <c r="A199" s="1">
        <v>7</v>
      </c>
      <c r="B199" s="57">
        <f t="shared" si="18"/>
        <v>7</v>
      </c>
      <c r="C199" s="58" t="s">
        <v>289</v>
      </c>
      <c r="D199" s="59" t="s">
        <v>35</v>
      </c>
      <c r="E199" s="60">
        <v>0</v>
      </c>
      <c r="F199" s="61">
        <v>1882.9</v>
      </c>
      <c r="G199" s="60">
        <v>0</v>
      </c>
      <c r="H199" s="61">
        <v>1882.9</v>
      </c>
      <c r="I199" s="60">
        <v>0</v>
      </c>
      <c r="J199" s="61">
        <v>1882.9</v>
      </c>
      <c r="K199" s="60">
        <v>0</v>
      </c>
      <c r="L199" s="61">
        <v>1882.9</v>
      </c>
      <c r="M199" s="60">
        <v>0</v>
      </c>
      <c r="N199" s="61">
        <v>0</v>
      </c>
      <c r="O199" s="73" t="s">
        <v>36</v>
      </c>
      <c r="P199" s="63"/>
      <c r="Q199" s="64"/>
    </row>
    <row r="200" spans="1:17" ht="126" x14ac:dyDescent="0.25">
      <c r="A200" s="1">
        <v>7</v>
      </c>
      <c r="B200" s="57">
        <f t="shared" si="18"/>
        <v>8</v>
      </c>
      <c r="C200" s="58" t="s">
        <v>290</v>
      </c>
      <c r="D200" s="59" t="s">
        <v>29</v>
      </c>
      <c r="E200" s="60">
        <v>0</v>
      </c>
      <c r="F200" s="61">
        <v>1450.3879999999999</v>
      </c>
      <c r="G200" s="60">
        <v>0</v>
      </c>
      <c r="H200" s="61">
        <v>1450.3879999999999</v>
      </c>
      <c r="I200" s="60">
        <v>0</v>
      </c>
      <c r="J200" s="61">
        <v>1450.3879999999999</v>
      </c>
      <c r="K200" s="60">
        <v>0</v>
      </c>
      <c r="L200" s="61">
        <v>1450.3879999999999</v>
      </c>
      <c r="M200" s="60">
        <v>0</v>
      </c>
      <c r="N200" s="61">
        <v>0</v>
      </c>
      <c r="O200" s="73" t="s">
        <v>36</v>
      </c>
      <c r="P200" s="63"/>
      <c r="Q200" s="64"/>
    </row>
    <row r="201" spans="1:17" ht="54" x14ac:dyDescent="0.25">
      <c r="A201" s="1">
        <v>7</v>
      </c>
      <c r="B201" s="57">
        <f t="shared" si="18"/>
        <v>9</v>
      </c>
      <c r="C201" s="58" t="s">
        <v>291</v>
      </c>
      <c r="D201" s="59" t="s">
        <v>29</v>
      </c>
      <c r="E201" s="60">
        <f>0+68.139</f>
        <v>68.138999999999996</v>
      </c>
      <c r="F201" s="61">
        <f>1014.834+810.21</f>
        <v>1825.0439999999999</v>
      </c>
      <c r="G201" s="60">
        <v>68.138999999999996</v>
      </c>
      <c r="H201" s="61">
        <v>1825.0440000000001</v>
      </c>
      <c r="I201" s="60">
        <v>68.138999999999996</v>
      </c>
      <c r="J201" s="61">
        <v>1825.0440000000001</v>
      </c>
      <c r="K201" s="60">
        <v>68.138999999999996</v>
      </c>
      <c r="L201" s="61">
        <v>1825.0440000000001</v>
      </c>
      <c r="M201" s="60">
        <v>0</v>
      </c>
      <c r="N201" s="61">
        <v>0</v>
      </c>
      <c r="O201" s="73" t="s">
        <v>36</v>
      </c>
      <c r="P201" s="63"/>
      <c r="Q201" s="64"/>
    </row>
    <row r="202" spans="1:17" ht="54" x14ac:dyDescent="0.25">
      <c r="A202" s="1">
        <v>7</v>
      </c>
      <c r="B202" s="57">
        <f t="shared" si="18"/>
        <v>10</v>
      </c>
      <c r="C202" s="58" t="s">
        <v>292</v>
      </c>
      <c r="D202" s="59" t="s">
        <v>293</v>
      </c>
      <c r="E202" s="60">
        <v>3963.8119999999999</v>
      </c>
      <c r="F202" s="61">
        <v>0</v>
      </c>
      <c r="G202" s="60">
        <v>3963.8119999999999</v>
      </c>
      <c r="H202" s="61"/>
      <c r="I202" s="60">
        <v>3943.5030000000002</v>
      </c>
      <c r="J202" s="61">
        <v>0</v>
      </c>
      <c r="K202" s="60">
        <v>3943.5030000000002</v>
      </c>
      <c r="L202" s="61">
        <v>0</v>
      </c>
      <c r="M202" s="60">
        <v>6.59</v>
      </c>
      <c r="N202" s="61">
        <v>0</v>
      </c>
      <c r="O202" s="62" t="s">
        <v>52</v>
      </c>
      <c r="P202" s="63" t="s">
        <v>287</v>
      </c>
      <c r="Q202" s="64" t="s">
        <v>41</v>
      </c>
    </row>
    <row r="203" spans="1:17" ht="72" x14ac:dyDescent="0.25">
      <c r="A203" s="1">
        <v>7</v>
      </c>
      <c r="B203" s="57">
        <f t="shared" si="18"/>
        <v>11</v>
      </c>
      <c r="C203" s="58" t="s">
        <v>294</v>
      </c>
      <c r="D203" s="59" t="s">
        <v>101</v>
      </c>
      <c r="E203" s="60">
        <v>3033.489</v>
      </c>
      <c r="F203" s="61">
        <v>2816.511</v>
      </c>
      <c r="G203" s="60">
        <v>3033.489</v>
      </c>
      <c r="H203" s="61">
        <v>2816.511</v>
      </c>
      <c r="I203" s="60">
        <v>3033.489</v>
      </c>
      <c r="J203" s="61">
        <v>2816.511</v>
      </c>
      <c r="K203" s="60">
        <v>3033.489</v>
      </c>
      <c r="L203" s="61">
        <v>2816.511</v>
      </c>
      <c r="M203" s="60">
        <v>0</v>
      </c>
      <c r="N203" s="61">
        <v>0</v>
      </c>
      <c r="O203" s="73" t="s">
        <v>102</v>
      </c>
      <c r="P203" s="63"/>
      <c r="Q203" s="64"/>
    </row>
    <row r="204" spans="1:17" ht="54" x14ac:dyDescent="0.25">
      <c r="A204" s="1">
        <v>7</v>
      </c>
      <c r="B204" s="57">
        <f t="shared" si="18"/>
        <v>12</v>
      </c>
      <c r="C204" s="58" t="s">
        <v>295</v>
      </c>
      <c r="D204" s="59" t="s">
        <v>296</v>
      </c>
      <c r="E204" s="60">
        <v>2964.614</v>
      </c>
      <c r="F204" s="61">
        <v>3500</v>
      </c>
      <c r="G204" s="60">
        <v>2964.614</v>
      </c>
      <c r="H204" s="61">
        <v>3500</v>
      </c>
      <c r="I204" s="60">
        <v>1547.606</v>
      </c>
      <c r="J204" s="61">
        <v>3228.5920000000001</v>
      </c>
      <c r="K204" s="60">
        <v>1547.606</v>
      </c>
      <c r="L204" s="61">
        <v>3228.5920000000001</v>
      </c>
      <c r="M204" s="60">
        <v>1392.6849999999999</v>
      </c>
      <c r="N204" s="61">
        <v>271.40800000000002</v>
      </c>
      <c r="O204" s="73" t="s">
        <v>36</v>
      </c>
      <c r="P204" s="63"/>
      <c r="Q204" s="64"/>
    </row>
    <row r="205" spans="1:17" ht="108" x14ac:dyDescent="0.25">
      <c r="A205" s="1">
        <v>7</v>
      </c>
      <c r="B205" s="57">
        <f t="shared" si="18"/>
        <v>13</v>
      </c>
      <c r="C205" s="58" t="s">
        <v>297</v>
      </c>
      <c r="D205" s="59" t="s">
        <v>29</v>
      </c>
      <c r="E205" s="60">
        <v>700</v>
      </c>
      <c r="F205" s="61">
        <v>1000</v>
      </c>
      <c r="G205" s="60">
        <v>700</v>
      </c>
      <c r="H205" s="61">
        <v>1000</v>
      </c>
      <c r="I205" s="60">
        <v>700</v>
      </c>
      <c r="J205" s="61">
        <v>1000</v>
      </c>
      <c r="K205" s="60">
        <v>700</v>
      </c>
      <c r="L205" s="61">
        <v>1000</v>
      </c>
      <c r="M205" s="60">
        <v>0</v>
      </c>
      <c r="N205" s="61">
        <v>0</v>
      </c>
      <c r="O205" s="73" t="s">
        <v>36</v>
      </c>
      <c r="P205" s="63"/>
      <c r="Q205" s="64"/>
    </row>
    <row r="206" spans="1:17" ht="126" x14ac:dyDescent="0.25">
      <c r="A206" s="1">
        <v>7</v>
      </c>
      <c r="B206" s="57">
        <f t="shared" si="18"/>
        <v>14</v>
      </c>
      <c r="C206" s="58" t="s">
        <v>298</v>
      </c>
      <c r="D206" s="59" t="s">
        <v>29</v>
      </c>
      <c r="E206" s="60">
        <v>800</v>
      </c>
      <c r="F206" s="61">
        <v>1000</v>
      </c>
      <c r="G206" s="60">
        <v>800</v>
      </c>
      <c r="H206" s="61">
        <v>1000</v>
      </c>
      <c r="I206" s="60">
        <v>800</v>
      </c>
      <c r="J206" s="61">
        <v>1000</v>
      </c>
      <c r="K206" s="60">
        <v>800</v>
      </c>
      <c r="L206" s="61">
        <v>1000</v>
      </c>
      <c r="M206" s="60">
        <v>0</v>
      </c>
      <c r="N206" s="61">
        <v>0</v>
      </c>
      <c r="O206" s="73" t="s">
        <v>36</v>
      </c>
      <c r="P206" s="63"/>
      <c r="Q206" s="64"/>
    </row>
    <row r="207" spans="1:17" ht="72" x14ac:dyDescent="0.25">
      <c r="A207" s="1">
        <v>7</v>
      </c>
      <c r="B207" s="57">
        <f t="shared" si="18"/>
        <v>15</v>
      </c>
      <c r="C207" s="58" t="s">
        <v>299</v>
      </c>
      <c r="D207" s="59" t="s">
        <v>101</v>
      </c>
      <c r="E207" s="60">
        <v>500</v>
      </c>
      <c r="F207" s="61">
        <v>1617.4839999999999</v>
      </c>
      <c r="G207" s="60">
        <v>500</v>
      </c>
      <c r="H207" s="61">
        <v>1617.4839999999999</v>
      </c>
      <c r="I207" s="60">
        <v>500</v>
      </c>
      <c r="J207" s="61">
        <v>1617.4839999999999</v>
      </c>
      <c r="K207" s="60">
        <v>500</v>
      </c>
      <c r="L207" s="61">
        <v>1617.4839999999999</v>
      </c>
      <c r="M207" s="60">
        <v>0</v>
      </c>
      <c r="N207" s="61">
        <v>0</v>
      </c>
      <c r="O207" s="73" t="s">
        <v>102</v>
      </c>
      <c r="P207" s="63"/>
      <c r="Q207" s="64"/>
    </row>
    <row r="208" spans="1:17" ht="90" x14ac:dyDescent="0.25">
      <c r="A208" s="1">
        <v>7</v>
      </c>
      <c r="B208" s="57">
        <f t="shared" si="18"/>
        <v>16</v>
      </c>
      <c r="C208" s="58" t="s">
        <v>300</v>
      </c>
      <c r="D208" s="59" t="s">
        <v>101</v>
      </c>
      <c r="E208" s="60">
        <v>700</v>
      </c>
      <c r="F208" s="61">
        <v>2000</v>
      </c>
      <c r="G208" s="60">
        <v>700</v>
      </c>
      <c r="H208" s="61">
        <v>2000</v>
      </c>
      <c r="I208" s="60">
        <v>700</v>
      </c>
      <c r="J208" s="61">
        <v>2000</v>
      </c>
      <c r="K208" s="60">
        <v>700</v>
      </c>
      <c r="L208" s="61">
        <v>2000</v>
      </c>
      <c r="M208" s="60">
        <v>0</v>
      </c>
      <c r="N208" s="61">
        <v>0</v>
      </c>
      <c r="O208" s="73" t="s">
        <v>102</v>
      </c>
      <c r="P208" s="63"/>
      <c r="Q208" s="64"/>
    </row>
    <row r="209" spans="1:17" ht="54" x14ac:dyDescent="0.25">
      <c r="A209" s="1">
        <v>7</v>
      </c>
      <c r="B209" s="57">
        <f t="shared" si="18"/>
        <v>17</v>
      </c>
      <c r="C209" s="58" t="s">
        <v>301</v>
      </c>
      <c r="D209" s="59">
        <v>2017</v>
      </c>
      <c r="E209" s="60">
        <v>200</v>
      </c>
      <c r="F209" s="61">
        <v>1000</v>
      </c>
      <c r="G209" s="60">
        <v>200</v>
      </c>
      <c r="H209" s="61">
        <v>1000</v>
      </c>
      <c r="I209" s="60">
        <v>200</v>
      </c>
      <c r="J209" s="61">
        <v>1000</v>
      </c>
      <c r="K209" s="60">
        <v>200</v>
      </c>
      <c r="L209" s="61">
        <v>1000</v>
      </c>
      <c r="M209" s="60">
        <v>0</v>
      </c>
      <c r="N209" s="61">
        <v>0</v>
      </c>
      <c r="O209" s="62" t="s">
        <v>52</v>
      </c>
      <c r="P209" s="63" t="s">
        <v>287</v>
      </c>
      <c r="Q209" s="64" t="s">
        <v>41</v>
      </c>
    </row>
    <row r="210" spans="1:17" ht="72" x14ac:dyDescent="0.25">
      <c r="A210" s="1">
        <v>7</v>
      </c>
      <c r="B210" s="57">
        <f t="shared" si="18"/>
        <v>18</v>
      </c>
      <c r="C210" s="58" t="s">
        <v>302</v>
      </c>
      <c r="D210" s="59">
        <v>2017</v>
      </c>
      <c r="E210" s="60">
        <v>1000</v>
      </c>
      <c r="F210" s="61">
        <v>349.37400000000002</v>
      </c>
      <c r="G210" s="60">
        <v>1000</v>
      </c>
      <c r="H210" s="61">
        <v>349.37400000000002</v>
      </c>
      <c r="I210" s="60">
        <v>999.68</v>
      </c>
      <c r="J210" s="61">
        <v>348.95100000000002</v>
      </c>
      <c r="K210" s="60">
        <v>999.68</v>
      </c>
      <c r="L210" s="61">
        <v>348.95100000000002</v>
      </c>
      <c r="M210" s="60">
        <v>0</v>
      </c>
      <c r="N210" s="61">
        <v>0</v>
      </c>
      <c r="O210" s="62" t="s">
        <v>52</v>
      </c>
      <c r="P210" s="63" t="s">
        <v>287</v>
      </c>
      <c r="Q210" s="64" t="s">
        <v>41</v>
      </c>
    </row>
    <row r="211" spans="1:17" ht="72" x14ac:dyDescent="0.25">
      <c r="A211" s="1">
        <v>7</v>
      </c>
      <c r="B211" s="57">
        <f t="shared" si="18"/>
        <v>19</v>
      </c>
      <c r="C211" s="58" t="s">
        <v>303</v>
      </c>
      <c r="D211" s="59">
        <v>2017</v>
      </c>
      <c r="E211" s="60">
        <v>0</v>
      </c>
      <c r="F211" s="61">
        <v>640.16399999999999</v>
      </c>
      <c r="G211" s="60">
        <v>0</v>
      </c>
      <c r="H211" s="61">
        <v>640.16399999999999</v>
      </c>
      <c r="I211" s="60">
        <v>0</v>
      </c>
      <c r="J211" s="61">
        <v>640.16399999999999</v>
      </c>
      <c r="K211" s="60">
        <v>0</v>
      </c>
      <c r="L211" s="61">
        <v>640.16399999999999</v>
      </c>
      <c r="M211" s="60">
        <v>0</v>
      </c>
      <c r="N211" s="61">
        <v>0</v>
      </c>
      <c r="O211" s="62" t="s">
        <v>52</v>
      </c>
      <c r="P211" s="63" t="s">
        <v>287</v>
      </c>
      <c r="Q211" s="64" t="s">
        <v>41</v>
      </c>
    </row>
    <row r="212" spans="1:17" ht="72" x14ac:dyDescent="0.25">
      <c r="A212" s="1">
        <v>7</v>
      </c>
      <c r="B212" s="57">
        <f t="shared" si="18"/>
        <v>20</v>
      </c>
      <c r="C212" s="58" t="s">
        <v>304</v>
      </c>
      <c r="D212" s="59">
        <v>2017</v>
      </c>
      <c r="E212" s="60">
        <v>0</v>
      </c>
      <c r="F212" s="61">
        <v>585</v>
      </c>
      <c r="G212" s="60">
        <v>0</v>
      </c>
      <c r="H212" s="61">
        <v>585</v>
      </c>
      <c r="I212" s="60">
        <v>0</v>
      </c>
      <c r="J212" s="61">
        <v>584.27700000000004</v>
      </c>
      <c r="K212" s="60">
        <v>0</v>
      </c>
      <c r="L212" s="61">
        <v>584.27700000000004</v>
      </c>
      <c r="M212" s="60">
        <v>0</v>
      </c>
      <c r="N212" s="61">
        <v>0</v>
      </c>
      <c r="O212" s="62" t="s">
        <v>52</v>
      </c>
      <c r="P212" s="63" t="s">
        <v>287</v>
      </c>
      <c r="Q212" s="64" t="s">
        <v>41</v>
      </c>
    </row>
    <row r="213" spans="1:17" ht="72" x14ac:dyDescent="0.25">
      <c r="A213" s="1">
        <v>7</v>
      </c>
      <c r="B213" s="57">
        <f t="shared" si="18"/>
        <v>21</v>
      </c>
      <c r="C213" s="58" t="s">
        <v>305</v>
      </c>
      <c r="D213" s="59" t="s">
        <v>101</v>
      </c>
      <c r="E213" s="60">
        <f>1800-1016.708</f>
        <v>783.29200000000003</v>
      </c>
      <c r="F213" s="61">
        <v>1200</v>
      </c>
      <c r="G213" s="60">
        <v>783.29200000000003</v>
      </c>
      <c r="H213" s="61">
        <v>1200</v>
      </c>
      <c r="I213" s="60">
        <v>783.29200000000003</v>
      </c>
      <c r="J213" s="61">
        <v>1200</v>
      </c>
      <c r="K213" s="60">
        <v>783.29200000000003</v>
      </c>
      <c r="L213" s="61">
        <v>1200</v>
      </c>
      <c r="M213" s="60">
        <v>0</v>
      </c>
      <c r="N213" s="61">
        <v>0</v>
      </c>
      <c r="O213" s="73" t="s">
        <v>102</v>
      </c>
      <c r="P213" s="63"/>
      <c r="Q213" s="64"/>
    </row>
    <row r="214" spans="1:17" ht="54" x14ac:dyDescent="0.25">
      <c r="A214" s="1">
        <v>7</v>
      </c>
      <c r="B214" s="57">
        <f t="shared" si="18"/>
        <v>22</v>
      </c>
      <c r="C214" s="58" t="s">
        <v>306</v>
      </c>
      <c r="D214" s="59">
        <v>2017</v>
      </c>
      <c r="E214" s="60">
        <v>0</v>
      </c>
      <c r="F214" s="61">
        <v>832.79399999999998</v>
      </c>
      <c r="G214" s="60">
        <v>0</v>
      </c>
      <c r="H214" s="61">
        <v>832.79399999999998</v>
      </c>
      <c r="I214" s="60">
        <v>0</v>
      </c>
      <c r="J214" s="61">
        <v>832.79399999999998</v>
      </c>
      <c r="K214" s="60">
        <v>0</v>
      </c>
      <c r="L214" s="61">
        <v>832.79399999999998</v>
      </c>
      <c r="M214" s="60">
        <v>0</v>
      </c>
      <c r="N214" s="61">
        <v>0</v>
      </c>
      <c r="O214" s="62" t="s">
        <v>52</v>
      </c>
      <c r="P214" s="63" t="s">
        <v>287</v>
      </c>
      <c r="Q214" s="64" t="s">
        <v>41</v>
      </c>
    </row>
    <row r="215" spans="1:17" ht="72" x14ac:dyDescent="0.25">
      <c r="A215" s="1">
        <v>7</v>
      </c>
      <c r="B215" s="57">
        <f t="shared" si="18"/>
        <v>23</v>
      </c>
      <c r="C215" s="58" t="s">
        <v>307</v>
      </c>
      <c r="D215" s="59" t="s">
        <v>101</v>
      </c>
      <c r="E215" s="60">
        <v>2000</v>
      </c>
      <c r="F215" s="61">
        <v>2000</v>
      </c>
      <c r="G215" s="60">
        <v>2000</v>
      </c>
      <c r="H215" s="61">
        <v>2000</v>
      </c>
      <c r="I215" s="60">
        <v>2000</v>
      </c>
      <c r="J215" s="61">
        <v>2000</v>
      </c>
      <c r="K215" s="60">
        <v>2000</v>
      </c>
      <c r="L215" s="61">
        <v>2000</v>
      </c>
      <c r="M215" s="60">
        <v>0</v>
      </c>
      <c r="N215" s="61">
        <v>0</v>
      </c>
      <c r="O215" s="73" t="s">
        <v>102</v>
      </c>
      <c r="P215" s="63"/>
      <c r="Q215" s="64"/>
    </row>
    <row r="216" spans="1:17" ht="90" x14ac:dyDescent="0.25">
      <c r="A216" s="1">
        <v>7</v>
      </c>
      <c r="B216" s="57">
        <f t="shared" si="18"/>
        <v>24</v>
      </c>
      <c r="C216" s="58" t="s">
        <v>308</v>
      </c>
      <c r="D216" s="59">
        <v>2017</v>
      </c>
      <c r="E216" s="60">
        <v>0</v>
      </c>
      <c r="F216" s="61">
        <v>1384.1320000000001</v>
      </c>
      <c r="G216" s="60">
        <v>0</v>
      </c>
      <c r="H216" s="61">
        <v>1384.1320000000001</v>
      </c>
      <c r="I216" s="60">
        <v>0</v>
      </c>
      <c r="J216" s="61">
        <v>1384.1320000000001</v>
      </c>
      <c r="K216" s="60">
        <v>0</v>
      </c>
      <c r="L216" s="61">
        <v>1384.1320000000001</v>
      </c>
      <c r="M216" s="60">
        <v>0</v>
      </c>
      <c r="N216" s="61">
        <v>0</v>
      </c>
      <c r="O216" s="62" t="s">
        <v>52</v>
      </c>
      <c r="P216" s="63" t="s">
        <v>287</v>
      </c>
      <c r="Q216" s="64" t="s">
        <v>41</v>
      </c>
    </row>
    <row r="217" spans="1:17" ht="90" x14ac:dyDescent="0.25">
      <c r="A217" s="1">
        <v>7</v>
      </c>
      <c r="B217" s="57">
        <f t="shared" si="18"/>
        <v>25</v>
      </c>
      <c r="C217" s="58" t="s">
        <v>309</v>
      </c>
      <c r="D217" s="59" t="s">
        <v>101</v>
      </c>
      <c r="E217" s="60">
        <v>980</v>
      </c>
      <c r="F217" s="61">
        <v>0</v>
      </c>
      <c r="G217" s="60">
        <v>980</v>
      </c>
      <c r="H217" s="61">
        <v>0</v>
      </c>
      <c r="I217" s="60">
        <v>980</v>
      </c>
      <c r="J217" s="61">
        <v>0</v>
      </c>
      <c r="K217" s="60">
        <v>980</v>
      </c>
      <c r="L217" s="61">
        <v>0</v>
      </c>
      <c r="M217" s="60">
        <v>0</v>
      </c>
      <c r="N217" s="61">
        <v>0</v>
      </c>
      <c r="O217" s="73" t="s">
        <v>102</v>
      </c>
      <c r="P217" s="63"/>
      <c r="Q217" s="64"/>
    </row>
    <row r="218" spans="1:17" ht="72" x14ac:dyDescent="0.25">
      <c r="A218" s="1">
        <v>7</v>
      </c>
      <c r="B218" s="57">
        <f t="shared" si="18"/>
        <v>26</v>
      </c>
      <c r="C218" s="58" t="s">
        <v>310</v>
      </c>
      <c r="D218" s="59">
        <v>2017</v>
      </c>
      <c r="E218" s="60">
        <v>0</v>
      </c>
      <c r="F218" s="61">
        <v>1337.2739999999999</v>
      </c>
      <c r="G218" s="60">
        <v>0</v>
      </c>
      <c r="H218" s="61">
        <v>1337.2739999999999</v>
      </c>
      <c r="I218" s="60">
        <v>0</v>
      </c>
      <c r="J218" s="61">
        <v>1327.2629999999999</v>
      </c>
      <c r="K218" s="60">
        <v>0</v>
      </c>
      <c r="L218" s="61">
        <v>1327.2629999999999</v>
      </c>
      <c r="M218" s="60">
        <v>0</v>
      </c>
      <c r="N218" s="61">
        <v>0</v>
      </c>
      <c r="O218" s="62" t="s">
        <v>52</v>
      </c>
      <c r="P218" s="63" t="s">
        <v>287</v>
      </c>
      <c r="Q218" s="64" t="s">
        <v>41</v>
      </c>
    </row>
    <row r="219" spans="1:17" ht="54" x14ac:dyDescent="0.25">
      <c r="A219" s="1">
        <v>7</v>
      </c>
      <c r="B219" s="57">
        <f t="shared" si="18"/>
        <v>27</v>
      </c>
      <c r="C219" s="58" t="s">
        <v>311</v>
      </c>
      <c r="D219" s="59">
        <v>2017</v>
      </c>
      <c r="E219" s="60">
        <v>1014.467</v>
      </c>
      <c r="F219" s="61">
        <v>0</v>
      </c>
      <c r="G219" s="60">
        <v>1014.467</v>
      </c>
      <c r="H219" s="61">
        <v>0</v>
      </c>
      <c r="I219" s="60">
        <v>1014.467</v>
      </c>
      <c r="J219" s="61">
        <v>0</v>
      </c>
      <c r="K219" s="60">
        <v>1014.467</v>
      </c>
      <c r="L219" s="61">
        <v>0</v>
      </c>
      <c r="M219" s="60">
        <v>0</v>
      </c>
      <c r="N219" s="61">
        <v>0</v>
      </c>
      <c r="O219" s="62" t="s">
        <v>52</v>
      </c>
      <c r="P219" s="63" t="s">
        <v>287</v>
      </c>
      <c r="Q219" s="64" t="s">
        <v>41</v>
      </c>
    </row>
    <row r="220" spans="1:17" ht="72" x14ac:dyDescent="0.25">
      <c r="A220" s="1">
        <v>7</v>
      </c>
      <c r="B220" s="57">
        <f t="shared" si="18"/>
        <v>28</v>
      </c>
      <c r="C220" s="58" t="s">
        <v>312</v>
      </c>
      <c r="D220" s="59" t="s">
        <v>29</v>
      </c>
      <c r="E220" s="60">
        <v>500</v>
      </c>
      <c r="F220" s="61">
        <v>1500</v>
      </c>
      <c r="G220" s="60">
        <v>500</v>
      </c>
      <c r="H220" s="61">
        <v>1500</v>
      </c>
      <c r="I220" s="60">
        <v>361.584</v>
      </c>
      <c r="J220" s="61">
        <v>1439.87</v>
      </c>
      <c r="K220" s="60">
        <v>361.584</v>
      </c>
      <c r="L220" s="61">
        <v>1439.87</v>
      </c>
      <c r="M220" s="60">
        <v>0</v>
      </c>
      <c r="N220" s="61">
        <v>0</v>
      </c>
      <c r="O220" s="73" t="s">
        <v>36</v>
      </c>
      <c r="P220" s="63"/>
      <c r="Q220" s="64"/>
    </row>
    <row r="221" spans="1:17" ht="72" x14ac:dyDescent="0.25">
      <c r="A221" s="1">
        <v>7</v>
      </c>
      <c r="B221" s="57">
        <f t="shared" si="18"/>
        <v>29</v>
      </c>
      <c r="C221" s="58" t="s">
        <v>313</v>
      </c>
      <c r="D221" s="59">
        <v>2017</v>
      </c>
      <c r="E221" s="60">
        <v>750</v>
      </c>
      <c r="F221" s="61">
        <v>573.15300000000002</v>
      </c>
      <c r="G221" s="60">
        <v>750</v>
      </c>
      <c r="H221" s="61">
        <v>573.15300000000002</v>
      </c>
      <c r="I221" s="60">
        <v>746.447</v>
      </c>
      <c r="J221" s="61">
        <v>573.15300000000002</v>
      </c>
      <c r="K221" s="60">
        <v>746.447</v>
      </c>
      <c r="L221" s="61">
        <v>573.15300000000002</v>
      </c>
      <c r="M221" s="60">
        <v>0</v>
      </c>
      <c r="N221" s="61">
        <v>0</v>
      </c>
      <c r="O221" s="62" t="s">
        <v>52</v>
      </c>
      <c r="P221" s="63" t="s">
        <v>287</v>
      </c>
      <c r="Q221" s="64" t="s">
        <v>41</v>
      </c>
    </row>
    <row r="222" spans="1:17" ht="72" x14ac:dyDescent="0.25">
      <c r="A222" s="1">
        <v>7</v>
      </c>
      <c r="B222" s="57">
        <f t="shared" si="18"/>
        <v>30</v>
      </c>
      <c r="C222" s="58" t="s">
        <v>314</v>
      </c>
      <c r="D222" s="59">
        <v>2017</v>
      </c>
      <c r="E222" s="60">
        <v>1000</v>
      </c>
      <c r="F222" s="61">
        <v>339.01499999999999</v>
      </c>
      <c r="G222" s="60">
        <v>1000</v>
      </c>
      <c r="H222" s="61">
        <v>339.01499999999999</v>
      </c>
      <c r="I222" s="60">
        <v>906.44399999999996</v>
      </c>
      <c r="J222" s="61">
        <v>339.01499999999999</v>
      </c>
      <c r="K222" s="60">
        <v>906.44399999999996</v>
      </c>
      <c r="L222" s="61">
        <v>339.01499999999999</v>
      </c>
      <c r="M222" s="60">
        <v>0</v>
      </c>
      <c r="N222" s="61">
        <v>0</v>
      </c>
      <c r="O222" s="62" t="s">
        <v>52</v>
      </c>
      <c r="P222" s="63" t="s">
        <v>287</v>
      </c>
      <c r="Q222" s="64" t="s">
        <v>41</v>
      </c>
    </row>
    <row r="223" spans="1:17" ht="54" x14ac:dyDescent="0.25">
      <c r="A223" s="1">
        <v>7</v>
      </c>
      <c r="B223" s="57">
        <f t="shared" si="18"/>
        <v>31</v>
      </c>
      <c r="C223" s="58" t="s">
        <v>315</v>
      </c>
      <c r="D223" s="59">
        <v>2017</v>
      </c>
      <c r="E223" s="60">
        <v>499.291</v>
      </c>
      <c r="F223" s="61">
        <v>0</v>
      </c>
      <c r="G223" s="60">
        <v>499.291</v>
      </c>
      <c r="H223" s="61">
        <v>0</v>
      </c>
      <c r="I223" s="60">
        <v>499.291</v>
      </c>
      <c r="J223" s="61">
        <v>0</v>
      </c>
      <c r="K223" s="60">
        <v>499.291</v>
      </c>
      <c r="L223" s="61">
        <v>0</v>
      </c>
      <c r="M223" s="60">
        <v>0</v>
      </c>
      <c r="N223" s="61">
        <v>0</v>
      </c>
      <c r="O223" s="62" t="s">
        <v>52</v>
      </c>
      <c r="P223" s="63" t="s">
        <v>287</v>
      </c>
      <c r="Q223" s="64" t="s">
        <v>41</v>
      </c>
    </row>
    <row r="224" spans="1:17" ht="72" x14ac:dyDescent="0.25">
      <c r="A224" s="1">
        <v>7</v>
      </c>
      <c r="B224" s="57">
        <f t="shared" si="18"/>
        <v>32</v>
      </c>
      <c r="C224" s="58" t="s">
        <v>316</v>
      </c>
      <c r="D224" s="59">
        <v>2017</v>
      </c>
      <c r="E224" s="60">
        <v>0</v>
      </c>
      <c r="F224" s="61">
        <v>2171.009</v>
      </c>
      <c r="G224" s="60">
        <v>0</v>
      </c>
      <c r="H224" s="61">
        <v>2171.009</v>
      </c>
      <c r="I224" s="60">
        <v>0</v>
      </c>
      <c r="J224" s="61">
        <v>1837.4090000000001</v>
      </c>
      <c r="K224" s="60">
        <v>0</v>
      </c>
      <c r="L224" s="61">
        <v>1837.4090000000001</v>
      </c>
      <c r="M224" s="60">
        <v>0</v>
      </c>
      <c r="N224" s="61">
        <v>0</v>
      </c>
      <c r="O224" s="62" t="s">
        <v>52</v>
      </c>
      <c r="P224" s="63" t="s">
        <v>287</v>
      </c>
      <c r="Q224" s="64" t="s">
        <v>41</v>
      </c>
    </row>
    <row r="225" spans="1:17" ht="90" x14ac:dyDescent="0.25">
      <c r="A225" s="1">
        <v>7</v>
      </c>
      <c r="B225" s="57">
        <f t="shared" si="18"/>
        <v>33</v>
      </c>
      <c r="C225" s="58" t="s">
        <v>317</v>
      </c>
      <c r="D225" s="59">
        <v>2017</v>
      </c>
      <c r="E225" s="60">
        <v>1279.742</v>
      </c>
      <c r="F225" s="61">
        <v>0</v>
      </c>
      <c r="G225" s="60">
        <v>1279.742</v>
      </c>
      <c r="H225" s="61">
        <v>0</v>
      </c>
      <c r="I225" s="60">
        <v>1279.742</v>
      </c>
      <c r="J225" s="61">
        <v>0</v>
      </c>
      <c r="K225" s="60">
        <v>1279.742</v>
      </c>
      <c r="L225" s="61">
        <v>0</v>
      </c>
      <c r="M225" s="60">
        <v>0</v>
      </c>
      <c r="N225" s="61">
        <v>0</v>
      </c>
      <c r="O225" s="62" t="s">
        <v>52</v>
      </c>
      <c r="P225" s="63" t="s">
        <v>287</v>
      </c>
      <c r="Q225" s="64" t="s">
        <v>41</v>
      </c>
    </row>
    <row r="226" spans="1:17" ht="72" x14ac:dyDescent="0.25">
      <c r="A226" s="1">
        <v>7</v>
      </c>
      <c r="B226" s="57">
        <f t="shared" si="18"/>
        <v>34</v>
      </c>
      <c r="C226" s="58" t="s">
        <v>318</v>
      </c>
      <c r="D226" s="59">
        <v>2017</v>
      </c>
      <c r="E226" s="60">
        <v>1100.3240000000001</v>
      </c>
      <c r="F226" s="61">
        <v>240.81299999999999</v>
      </c>
      <c r="G226" s="60">
        <v>1100.3240000000001</v>
      </c>
      <c r="H226" s="61">
        <v>240.81299999999999</v>
      </c>
      <c r="I226" s="60">
        <v>1100.002</v>
      </c>
      <c r="J226" s="61">
        <v>240.81299999999999</v>
      </c>
      <c r="K226" s="60">
        <v>1100.002</v>
      </c>
      <c r="L226" s="61">
        <v>240.81299999999999</v>
      </c>
      <c r="M226" s="60">
        <v>0</v>
      </c>
      <c r="N226" s="61">
        <v>0</v>
      </c>
      <c r="O226" s="62" t="s">
        <v>52</v>
      </c>
      <c r="P226" s="63" t="s">
        <v>287</v>
      </c>
      <c r="Q226" s="64" t="s">
        <v>41</v>
      </c>
    </row>
    <row r="227" spans="1:17" ht="54" x14ac:dyDescent="0.25">
      <c r="A227" s="1">
        <v>7</v>
      </c>
      <c r="B227" s="57">
        <f t="shared" si="18"/>
        <v>35</v>
      </c>
      <c r="C227" s="58" t="s">
        <v>319</v>
      </c>
      <c r="D227" s="59">
        <v>2017</v>
      </c>
      <c r="E227" s="60">
        <v>0</v>
      </c>
      <c r="F227" s="61">
        <v>495.59699999999998</v>
      </c>
      <c r="G227" s="60">
        <v>0</v>
      </c>
      <c r="H227" s="61">
        <v>495.59699999999998</v>
      </c>
      <c r="I227" s="60">
        <v>0</v>
      </c>
      <c r="J227" s="61">
        <v>495.59699999999998</v>
      </c>
      <c r="K227" s="60">
        <v>0</v>
      </c>
      <c r="L227" s="61">
        <v>495.59699999999998</v>
      </c>
      <c r="M227" s="60">
        <v>0</v>
      </c>
      <c r="N227" s="61">
        <v>0</v>
      </c>
      <c r="O227" s="62" t="s">
        <v>52</v>
      </c>
      <c r="P227" s="63" t="s">
        <v>287</v>
      </c>
      <c r="Q227" s="64" t="s">
        <v>41</v>
      </c>
    </row>
    <row r="228" spans="1:17" ht="54" x14ac:dyDescent="0.25">
      <c r="A228" s="1">
        <v>7</v>
      </c>
      <c r="B228" s="57">
        <f t="shared" si="18"/>
        <v>36</v>
      </c>
      <c r="C228" s="58" t="s">
        <v>320</v>
      </c>
      <c r="D228" s="59">
        <v>2017</v>
      </c>
      <c r="E228" s="60">
        <v>0</v>
      </c>
      <c r="F228" s="61">
        <f>1050.936-39.41</f>
        <v>1011.526</v>
      </c>
      <c r="G228" s="60">
        <v>0</v>
      </c>
      <c r="H228" s="61">
        <v>1011.526</v>
      </c>
      <c r="I228" s="60">
        <v>0</v>
      </c>
      <c r="J228" s="61">
        <v>1011.526</v>
      </c>
      <c r="K228" s="60">
        <v>0</v>
      </c>
      <c r="L228" s="61">
        <v>1011.526</v>
      </c>
      <c r="M228" s="60">
        <v>0</v>
      </c>
      <c r="N228" s="61">
        <v>0</v>
      </c>
      <c r="O228" s="62" t="s">
        <v>52</v>
      </c>
      <c r="P228" s="63" t="s">
        <v>287</v>
      </c>
      <c r="Q228" s="64" t="s">
        <v>41</v>
      </c>
    </row>
    <row r="229" spans="1:17" ht="72" x14ac:dyDescent="0.25">
      <c r="A229" s="1">
        <v>7</v>
      </c>
      <c r="B229" s="57">
        <f t="shared" si="18"/>
        <v>37</v>
      </c>
      <c r="C229" s="58" t="s">
        <v>321</v>
      </c>
      <c r="D229" s="59">
        <v>2017</v>
      </c>
      <c r="E229" s="60">
        <v>0</v>
      </c>
      <c r="F229" s="61">
        <v>990.08100000000002</v>
      </c>
      <c r="G229" s="60">
        <v>0</v>
      </c>
      <c r="H229" s="61">
        <v>990.08100000000002</v>
      </c>
      <c r="I229" s="60">
        <v>0</v>
      </c>
      <c r="J229" s="61">
        <v>990.08100000000002</v>
      </c>
      <c r="K229" s="60">
        <v>0</v>
      </c>
      <c r="L229" s="61">
        <v>990.08100000000002</v>
      </c>
      <c r="M229" s="60">
        <v>0</v>
      </c>
      <c r="N229" s="61">
        <v>0</v>
      </c>
      <c r="O229" s="62" t="s">
        <v>52</v>
      </c>
      <c r="P229" s="63" t="s">
        <v>287</v>
      </c>
      <c r="Q229" s="64" t="s">
        <v>41</v>
      </c>
    </row>
    <row r="230" spans="1:17" ht="72" x14ac:dyDescent="0.25">
      <c r="A230" s="1">
        <v>7</v>
      </c>
      <c r="B230" s="57">
        <f t="shared" si="18"/>
        <v>38</v>
      </c>
      <c r="C230" s="58" t="s">
        <v>322</v>
      </c>
      <c r="D230" s="59">
        <v>2017</v>
      </c>
      <c r="E230" s="60">
        <v>1000</v>
      </c>
      <c r="F230" s="61">
        <v>0</v>
      </c>
      <c r="G230" s="60">
        <v>1000</v>
      </c>
      <c r="H230" s="61">
        <v>0</v>
      </c>
      <c r="I230" s="60">
        <v>1000</v>
      </c>
      <c r="J230" s="61">
        <v>0</v>
      </c>
      <c r="K230" s="60">
        <v>1000</v>
      </c>
      <c r="L230" s="61">
        <v>0</v>
      </c>
      <c r="M230" s="60">
        <v>0</v>
      </c>
      <c r="N230" s="61">
        <v>0</v>
      </c>
      <c r="O230" s="62" t="s">
        <v>52</v>
      </c>
      <c r="P230" s="63" t="s">
        <v>287</v>
      </c>
      <c r="Q230" s="64" t="s">
        <v>41</v>
      </c>
    </row>
    <row r="231" spans="1:17" ht="72" x14ac:dyDescent="0.25">
      <c r="A231" s="1">
        <v>7</v>
      </c>
      <c r="B231" s="57">
        <f t="shared" si="18"/>
        <v>39</v>
      </c>
      <c r="C231" s="58" t="s">
        <v>323</v>
      </c>
      <c r="D231" s="59">
        <v>2017</v>
      </c>
      <c r="E231" s="60">
        <v>500</v>
      </c>
      <c r="F231" s="61">
        <v>500</v>
      </c>
      <c r="G231" s="60">
        <v>500</v>
      </c>
      <c r="H231" s="61">
        <v>500</v>
      </c>
      <c r="I231" s="60">
        <v>500</v>
      </c>
      <c r="J231" s="61">
        <v>500</v>
      </c>
      <c r="K231" s="60">
        <v>500</v>
      </c>
      <c r="L231" s="61">
        <v>500</v>
      </c>
      <c r="M231" s="60">
        <v>0</v>
      </c>
      <c r="N231" s="61">
        <v>0</v>
      </c>
      <c r="O231" s="62" t="s">
        <v>52</v>
      </c>
      <c r="P231" s="63" t="s">
        <v>287</v>
      </c>
      <c r="Q231" s="64" t="s">
        <v>41</v>
      </c>
    </row>
    <row r="232" spans="1:17" ht="90" x14ac:dyDescent="0.25">
      <c r="A232" s="1">
        <v>7</v>
      </c>
      <c r="B232" s="57">
        <f t="shared" si="18"/>
        <v>40</v>
      </c>
      <c r="C232" s="58" t="s">
        <v>324</v>
      </c>
      <c r="D232" s="59">
        <v>2017</v>
      </c>
      <c r="E232" s="60">
        <v>1200</v>
      </c>
      <c r="F232" s="61">
        <v>0</v>
      </c>
      <c r="G232" s="60">
        <v>1200</v>
      </c>
      <c r="H232" s="61">
        <v>0</v>
      </c>
      <c r="I232" s="60">
        <v>0</v>
      </c>
      <c r="J232" s="61">
        <v>0</v>
      </c>
      <c r="K232" s="60">
        <v>0</v>
      </c>
      <c r="L232" s="61">
        <v>0</v>
      </c>
      <c r="M232" s="60">
        <v>0</v>
      </c>
      <c r="N232" s="61">
        <v>0</v>
      </c>
      <c r="O232" s="73" t="s">
        <v>36</v>
      </c>
      <c r="P232" s="63"/>
      <c r="Q232" s="64"/>
    </row>
    <row r="233" spans="1:17" ht="72" x14ac:dyDescent="0.25">
      <c r="A233" s="1">
        <v>7</v>
      </c>
      <c r="B233" s="57">
        <f t="shared" si="18"/>
        <v>41</v>
      </c>
      <c r="C233" s="58" t="s">
        <v>325</v>
      </c>
      <c r="D233" s="59">
        <v>2017</v>
      </c>
      <c r="E233" s="60">
        <v>0</v>
      </c>
      <c r="F233" s="61">
        <v>800</v>
      </c>
      <c r="G233" s="60">
        <v>0</v>
      </c>
      <c r="H233" s="61">
        <v>800</v>
      </c>
      <c r="I233" s="60">
        <v>0</v>
      </c>
      <c r="J233" s="61">
        <v>0</v>
      </c>
      <c r="K233" s="60">
        <v>0</v>
      </c>
      <c r="L233" s="61">
        <v>0</v>
      </c>
      <c r="M233" s="60">
        <v>0</v>
      </c>
      <c r="N233" s="61">
        <v>0</v>
      </c>
      <c r="O233" s="73" t="s">
        <v>36</v>
      </c>
      <c r="P233" s="63"/>
      <c r="Q233" s="64"/>
    </row>
    <row r="234" spans="1:17" ht="72" x14ac:dyDescent="0.25">
      <c r="A234" s="1">
        <v>7</v>
      </c>
      <c r="B234" s="57">
        <f t="shared" si="18"/>
        <v>42</v>
      </c>
      <c r="C234" s="58" t="s">
        <v>326</v>
      </c>
      <c r="D234" s="59">
        <v>2017</v>
      </c>
      <c r="E234" s="60">
        <v>0</v>
      </c>
      <c r="F234" s="61">
        <v>1000</v>
      </c>
      <c r="G234" s="60">
        <v>0</v>
      </c>
      <c r="H234" s="61">
        <v>1000</v>
      </c>
      <c r="I234" s="60">
        <v>0</v>
      </c>
      <c r="J234" s="61">
        <v>0</v>
      </c>
      <c r="K234" s="60">
        <v>0</v>
      </c>
      <c r="L234" s="61">
        <v>0</v>
      </c>
      <c r="M234" s="60">
        <v>0</v>
      </c>
      <c r="N234" s="61">
        <v>0</v>
      </c>
      <c r="O234" s="73" t="s">
        <v>36</v>
      </c>
      <c r="P234" s="63"/>
      <c r="Q234" s="64"/>
    </row>
    <row r="235" spans="1:17" ht="54" x14ac:dyDescent="0.25">
      <c r="A235" s="1">
        <v>7</v>
      </c>
      <c r="B235" s="57">
        <f t="shared" si="18"/>
        <v>43</v>
      </c>
      <c r="C235" s="58" t="s">
        <v>327</v>
      </c>
      <c r="D235" s="59">
        <v>2017</v>
      </c>
      <c r="E235" s="60">
        <v>1074.7819999999999</v>
      </c>
      <c r="F235" s="61">
        <v>2425.2179999999998</v>
      </c>
      <c r="G235" s="60">
        <v>1074.7819999999999</v>
      </c>
      <c r="H235" s="61">
        <v>2425.2179999999998</v>
      </c>
      <c r="I235" s="60">
        <v>1074.7819999999999</v>
      </c>
      <c r="J235" s="61">
        <v>2332.3409999999999</v>
      </c>
      <c r="K235" s="60">
        <v>1074.7819999999999</v>
      </c>
      <c r="L235" s="61">
        <v>2332.3409999999999</v>
      </c>
      <c r="M235" s="60">
        <v>0</v>
      </c>
      <c r="N235" s="61">
        <v>0</v>
      </c>
      <c r="O235" s="62" t="s">
        <v>52</v>
      </c>
      <c r="P235" s="63" t="s">
        <v>287</v>
      </c>
      <c r="Q235" s="64" t="s">
        <v>41</v>
      </c>
    </row>
    <row r="236" spans="1:17" ht="72" x14ac:dyDescent="0.25">
      <c r="A236" s="1">
        <v>7</v>
      </c>
      <c r="B236" s="57">
        <f t="shared" si="18"/>
        <v>44</v>
      </c>
      <c r="C236" s="58" t="s">
        <v>328</v>
      </c>
      <c r="D236" s="59">
        <v>2017</v>
      </c>
      <c r="E236" s="60">
        <v>0</v>
      </c>
      <c r="F236" s="61">
        <v>554.69799999999998</v>
      </c>
      <c r="G236" s="60">
        <v>0</v>
      </c>
      <c r="H236" s="61">
        <v>554.69799999999998</v>
      </c>
      <c r="I236" s="60">
        <v>0</v>
      </c>
      <c r="J236" s="61">
        <v>554.69799999999998</v>
      </c>
      <c r="K236" s="60">
        <v>0</v>
      </c>
      <c r="L236" s="61">
        <v>554.69799999999998</v>
      </c>
      <c r="M236" s="60">
        <v>0</v>
      </c>
      <c r="N236" s="61">
        <v>0</v>
      </c>
      <c r="O236" s="62" t="s">
        <v>52</v>
      </c>
      <c r="P236" s="63" t="s">
        <v>287</v>
      </c>
      <c r="Q236" s="64" t="s">
        <v>41</v>
      </c>
    </row>
    <row r="237" spans="1:17" ht="90" x14ac:dyDescent="0.25">
      <c r="A237" s="1">
        <v>7</v>
      </c>
      <c r="B237" s="57">
        <f t="shared" si="18"/>
        <v>45</v>
      </c>
      <c r="C237" s="58" t="s">
        <v>329</v>
      </c>
      <c r="D237" s="59">
        <v>2017</v>
      </c>
      <c r="E237" s="60">
        <v>0</v>
      </c>
      <c r="F237" s="61">
        <v>1086.828</v>
      </c>
      <c r="G237" s="60">
        <v>0</v>
      </c>
      <c r="H237" s="61">
        <v>1086.828</v>
      </c>
      <c r="I237" s="60">
        <v>0</v>
      </c>
      <c r="J237" s="61">
        <v>1086.828</v>
      </c>
      <c r="K237" s="60">
        <v>0</v>
      </c>
      <c r="L237" s="61">
        <v>1086.828</v>
      </c>
      <c r="M237" s="60">
        <v>0</v>
      </c>
      <c r="N237" s="61">
        <v>0</v>
      </c>
      <c r="O237" s="62" t="s">
        <v>52</v>
      </c>
      <c r="P237" s="63" t="s">
        <v>287</v>
      </c>
      <c r="Q237" s="64" t="s">
        <v>41</v>
      </c>
    </row>
    <row r="238" spans="1:17" ht="72" x14ac:dyDescent="0.25">
      <c r="A238" s="1">
        <v>7</v>
      </c>
      <c r="B238" s="57">
        <f t="shared" si="18"/>
        <v>46</v>
      </c>
      <c r="C238" s="58" t="s">
        <v>330</v>
      </c>
      <c r="D238" s="59">
        <v>2017</v>
      </c>
      <c r="E238" s="60">
        <v>0</v>
      </c>
      <c r="F238" s="61">
        <v>783.08600000000001</v>
      </c>
      <c r="G238" s="60">
        <v>0</v>
      </c>
      <c r="H238" s="61">
        <v>783.08600000000001</v>
      </c>
      <c r="I238" s="60">
        <v>0</v>
      </c>
      <c r="J238" s="61">
        <v>783.08600000000001</v>
      </c>
      <c r="K238" s="60">
        <v>0</v>
      </c>
      <c r="L238" s="61">
        <v>783.08600000000001</v>
      </c>
      <c r="M238" s="60">
        <v>0</v>
      </c>
      <c r="N238" s="61">
        <v>0</v>
      </c>
      <c r="O238" s="62" t="s">
        <v>52</v>
      </c>
      <c r="P238" s="63" t="s">
        <v>287</v>
      </c>
      <c r="Q238" s="64" t="s">
        <v>41</v>
      </c>
    </row>
    <row r="239" spans="1:17" ht="54" x14ac:dyDescent="0.25">
      <c r="A239" s="1">
        <v>7</v>
      </c>
      <c r="B239" s="57">
        <f t="shared" si="18"/>
        <v>47</v>
      </c>
      <c r="C239" s="58" t="s">
        <v>331</v>
      </c>
      <c r="D239" s="59" t="s">
        <v>29</v>
      </c>
      <c r="E239" s="60">
        <v>0</v>
      </c>
      <c r="F239" s="61">
        <v>5000</v>
      </c>
      <c r="G239" s="60">
        <v>0</v>
      </c>
      <c r="H239" s="61">
        <v>5000</v>
      </c>
      <c r="I239" s="60">
        <v>0</v>
      </c>
      <c r="J239" s="61">
        <v>5000</v>
      </c>
      <c r="K239" s="60">
        <v>0</v>
      </c>
      <c r="L239" s="61">
        <v>5000</v>
      </c>
      <c r="M239" s="60">
        <v>0</v>
      </c>
      <c r="N239" s="61">
        <v>0</v>
      </c>
      <c r="O239" s="73" t="s">
        <v>36</v>
      </c>
      <c r="P239" s="63"/>
      <c r="Q239" s="64"/>
    </row>
    <row r="240" spans="1:17" ht="90" x14ac:dyDescent="0.25">
      <c r="A240" s="1">
        <v>7</v>
      </c>
      <c r="B240" s="57">
        <f t="shared" si="18"/>
        <v>48</v>
      </c>
      <c r="C240" s="58" t="s">
        <v>332</v>
      </c>
      <c r="D240" s="59">
        <v>2017</v>
      </c>
      <c r="E240" s="60">
        <f>1122.269-1049.105</f>
        <v>73.163999999999987</v>
      </c>
      <c r="F240" s="61">
        <f>1000-695.467</f>
        <v>304.53300000000002</v>
      </c>
      <c r="G240" s="60">
        <v>73.164000000000001</v>
      </c>
      <c r="H240" s="61">
        <v>304.53300000000002</v>
      </c>
      <c r="I240" s="60">
        <v>56.174999999999997</v>
      </c>
      <c r="J240" s="61">
        <v>304.53300000000002</v>
      </c>
      <c r="K240" s="60">
        <v>56.174999999999997</v>
      </c>
      <c r="L240" s="61">
        <v>304.53300000000002</v>
      </c>
      <c r="M240" s="60">
        <v>0.97899999999999998</v>
      </c>
      <c r="N240" s="61">
        <v>0</v>
      </c>
      <c r="O240" s="73" t="s">
        <v>36</v>
      </c>
      <c r="P240" s="63"/>
      <c r="Q240" s="64"/>
    </row>
    <row r="241" spans="1:17" ht="72" x14ac:dyDescent="0.25">
      <c r="A241" s="1">
        <v>7</v>
      </c>
      <c r="B241" s="57">
        <f t="shared" si="18"/>
        <v>49</v>
      </c>
      <c r="C241" s="58" t="s">
        <v>333</v>
      </c>
      <c r="D241" s="59">
        <v>2017</v>
      </c>
      <c r="E241" s="60">
        <v>350</v>
      </c>
      <c r="F241" s="61">
        <v>1000</v>
      </c>
      <c r="G241" s="60">
        <v>350</v>
      </c>
      <c r="H241" s="61">
        <v>1000</v>
      </c>
      <c r="I241" s="60">
        <v>350</v>
      </c>
      <c r="J241" s="61">
        <v>1000</v>
      </c>
      <c r="K241" s="60">
        <v>350</v>
      </c>
      <c r="L241" s="61">
        <v>1000</v>
      </c>
      <c r="M241" s="60">
        <v>0</v>
      </c>
      <c r="N241" s="61">
        <v>0</v>
      </c>
      <c r="O241" s="73" t="s">
        <v>36</v>
      </c>
      <c r="P241" s="63"/>
      <c r="Q241" s="64"/>
    </row>
    <row r="242" spans="1:17" ht="72" x14ac:dyDescent="0.25">
      <c r="A242" s="1">
        <v>7</v>
      </c>
      <c r="B242" s="57">
        <f t="shared" si="18"/>
        <v>50</v>
      </c>
      <c r="C242" s="58" t="s">
        <v>334</v>
      </c>
      <c r="D242" s="59">
        <v>2017</v>
      </c>
      <c r="E242" s="60">
        <v>1715.2260000000001</v>
      </c>
      <c r="F242" s="61">
        <v>2000</v>
      </c>
      <c r="G242" s="60">
        <v>1715.2260000000001</v>
      </c>
      <c r="H242" s="61">
        <v>2000</v>
      </c>
      <c r="I242" s="60">
        <v>1715.2260000000001</v>
      </c>
      <c r="J242" s="61">
        <v>2000</v>
      </c>
      <c r="K242" s="60">
        <v>1715.2260000000001</v>
      </c>
      <c r="L242" s="61">
        <v>2000</v>
      </c>
      <c r="M242" s="60">
        <v>0</v>
      </c>
      <c r="N242" s="61">
        <v>0</v>
      </c>
      <c r="O242" s="62" t="s">
        <v>52</v>
      </c>
      <c r="P242" s="63" t="s">
        <v>287</v>
      </c>
      <c r="Q242" s="64" t="s">
        <v>41</v>
      </c>
    </row>
    <row r="243" spans="1:17" ht="90" x14ac:dyDescent="0.25">
      <c r="A243" s="1">
        <v>7</v>
      </c>
      <c r="B243" s="57">
        <f t="shared" si="18"/>
        <v>51</v>
      </c>
      <c r="C243" s="58" t="s">
        <v>335</v>
      </c>
      <c r="D243" s="59" t="s">
        <v>29</v>
      </c>
      <c r="E243" s="60">
        <v>2000</v>
      </c>
      <c r="F243" s="61">
        <f>4608.043+391.957</f>
        <v>5000</v>
      </c>
      <c r="G243" s="60">
        <v>2000</v>
      </c>
      <c r="H243" s="61">
        <v>5000</v>
      </c>
      <c r="I243" s="60">
        <v>2000</v>
      </c>
      <c r="J243" s="61">
        <v>4999.9970000000003</v>
      </c>
      <c r="K243" s="60">
        <v>2000</v>
      </c>
      <c r="L243" s="61">
        <v>4999.9970000000003</v>
      </c>
      <c r="M243" s="60">
        <v>0</v>
      </c>
      <c r="N243" s="61">
        <v>0</v>
      </c>
      <c r="O243" s="62" t="s">
        <v>52</v>
      </c>
      <c r="P243" s="63" t="s">
        <v>287</v>
      </c>
      <c r="Q243" s="64" t="s">
        <v>41</v>
      </c>
    </row>
    <row r="244" spans="1:17" ht="54" x14ac:dyDescent="0.25">
      <c r="A244" s="1">
        <v>7</v>
      </c>
      <c r="B244" s="57">
        <f t="shared" si="18"/>
        <v>52</v>
      </c>
      <c r="C244" s="58" t="s">
        <v>336</v>
      </c>
      <c r="D244" s="59" t="s">
        <v>29</v>
      </c>
      <c r="E244" s="60">
        <v>0</v>
      </c>
      <c r="F244" s="61">
        <f>2400+1500</f>
        <v>3900</v>
      </c>
      <c r="G244" s="60">
        <v>0</v>
      </c>
      <c r="H244" s="61">
        <v>3900</v>
      </c>
      <c r="I244" s="60">
        <v>0</v>
      </c>
      <c r="J244" s="61">
        <v>3614.0160000000001</v>
      </c>
      <c r="K244" s="60">
        <v>0</v>
      </c>
      <c r="L244" s="61">
        <v>3614.0160000000001</v>
      </c>
      <c r="M244" s="60">
        <v>0</v>
      </c>
      <c r="N244" s="61">
        <v>0</v>
      </c>
      <c r="O244" s="62" t="s">
        <v>52</v>
      </c>
      <c r="P244" s="63" t="s">
        <v>287</v>
      </c>
      <c r="Q244" s="64" t="s">
        <v>41</v>
      </c>
    </row>
    <row r="245" spans="1:17" ht="72" x14ac:dyDescent="0.25">
      <c r="A245" s="1">
        <v>7</v>
      </c>
      <c r="B245" s="57">
        <f t="shared" si="18"/>
        <v>53</v>
      </c>
      <c r="C245" s="58" t="s">
        <v>337</v>
      </c>
      <c r="D245" s="59">
        <v>2017</v>
      </c>
      <c r="E245" s="60">
        <v>0</v>
      </c>
      <c r="F245" s="61">
        <f>836.248-113.179</f>
        <v>723.06900000000007</v>
      </c>
      <c r="G245" s="60">
        <v>0</v>
      </c>
      <c r="H245" s="61">
        <v>723.06899999999996</v>
      </c>
      <c r="I245" s="60">
        <v>0</v>
      </c>
      <c r="J245" s="61">
        <v>723.06899999999996</v>
      </c>
      <c r="K245" s="60">
        <v>0</v>
      </c>
      <c r="L245" s="61">
        <v>723.06899999999996</v>
      </c>
      <c r="M245" s="60">
        <v>0</v>
      </c>
      <c r="N245" s="61">
        <v>0</v>
      </c>
      <c r="O245" s="62" t="s">
        <v>52</v>
      </c>
      <c r="P245" s="63" t="s">
        <v>287</v>
      </c>
      <c r="Q245" s="64" t="s">
        <v>41</v>
      </c>
    </row>
    <row r="246" spans="1:17" ht="72" x14ac:dyDescent="0.25">
      <c r="A246" s="1">
        <v>7</v>
      </c>
      <c r="B246" s="57">
        <f t="shared" si="18"/>
        <v>54</v>
      </c>
      <c r="C246" s="58" t="s">
        <v>338</v>
      </c>
      <c r="D246" s="59">
        <v>2017</v>
      </c>
      <c r="E246" s="60">
        <v>0</v>
      </c>
      <c r="F246" s="61">
        <f>1303.221-71.649</f>
        <v>1231.5720000000001</v>
      </c>
      <c r="G246" s="60">
        <v>0</v>
      </c>
      <c r="H246" s="61">
        <v>1231.5719999999999</v>
      </c>
      <c r="I246" s="60">
        <v>0</v>
      </c>
      <c r="J246" s="61">
        <v>1231.5719999999999</v>
      </c>
      <c r="K246" s="60">
        <v>0</v>
      </c>
      <c r="L246" s="61">
        <v>1231.5719999999999</v>
      </c>
      <c r="M246" s="60">
        <v>0</v>
      </c>
      <c r="N246" s="61">
        <v>0</v>
      </c>
      <c r="O246" s="62" t="s">
        <v>52</v>
      </c>
      <c r="P246" s="63" t="s">
        <v>287</v>
      </c>
      <c r="Q246" s="64" t="s">
        <v>41</v>
      </c>
    </row>
    <row r="247" spans="1:17" ht="54" x14ac:dyDescent="0.25">
      <c r="A247" s="1">
        <v>7</v>
      </c>
      <c r="B247" s="57">
        <f t="shared" si="18"/>
        <v>55</v>
      </c>
      <c r="C247" s="58" t="s">
        <v>339</v>
      </c>
      <c r="D247" s="59">
        <v>2017</v>
      </c>
      <c r="E247" s="60">
        <v>0</v>
      </c>
      <c r="F247" s="61">
        <f>1923.028-1644.56</f>
        <v>278.46800000000007</v>
      </c>
      <c r="G247" s="60">
        <v>0</v>
      </c>
      <c r="H247" s="61">
        <v>278.46800000000002</v>
      </c>
      <c r="I247" s="60">
        <v>0</v>
      </c>
      <c r="J247" s="61">
        <v>278.46699999999998</v>
      </c>
      <c r="K247" s="60">
        <v>0</v>
      </c>
      <c r="L247" s="61">
        <v>278.46699999999998</v>
      </c>
      <c r="M247" s="60">
        <v>0</v>
      </c>
      <c r="N247" s="61">
        <v>0</v>
      </c>
      <c r="O247" s="73" t="s">
        <v>36</v>
      </c>
      <c r="P247" s="63"/>
      <c r="Q247" s="64"/>
    </row>
    <row r="248" spans="1:17" ht="72" x14ac:dyDescent="0.25">
      <c r="A248" s="1">
        <v>7</v>
      </c>
      <c r="B248" s="57">
        <f t="shared" si="18"/>
        <v>56</v>
      </c>
      <c r="C248" s="58" t="s">
        <v>340</v>
      </c>
      <c r="D248" s="59">
        <v>2017</v>
      </c>
      <c r="E248" s="60">
        <v>0</v>
      </c>
      <c r="F248" s="61">
        <v>268.09899999999999</v>
      </c>
      <c r="G248" s="60">
        <v>0</v>
      </c>
      <c r="H248" s="61">
        <v>268.09899999999999</v>
      </c>
      <c r="I248" s="60">
        <v>0</v>
      </c>
      <c r="J248" s="61">
        <v>259.92899999999997</v>
      </c>
      <c r="K248" s="60">
        <v>0</v>
      </c>
      <c r="L248" s="61">
        <v>259.92899999999997</v>
      </c>
      <c r="M248" s="60">
        <v>0</v>
      </c>
      <c r="N248" s="61">
        <v>0</v>
      </c>
      <c r="O248" s="62" t="s">
        <v>52</v>
      </c>
      <c r="P248" s="63" t="s">
        <v>287</v>
      </c>
      <c r="Q248" s="64" t="s">
        <v>41</v>
      </c>
    </row>
    <row r="249" spans="1:17" ht="90" x14ac:dyDescent="0.25">
      <c r="A249" s="1">
        <v>7</v>
      </c>
      <c r="B249" s="57">
        <f t="shared" si="18"/>
        <v>57</v>
      </c>
      <c r="C249" s="58" t="s">
        <v>341</v>
      </c>
      <c r="D249" s="59" t="s">
        <v>51</v>
      </c>
      <c r="E249" s="60">
        <v>0</v>
      </c>
      <c r="F249" s="61">
        <v>300</v>
      </c>
      <c r="G249" s="60">
        <v>0</v>
      </c>
      <c r="H249" s="61">
        <v>300</v>
      </c>
      <c r="I249" s="60">
        <v>0</v>
      </c>
      <c r="J249" s="61">
        <v>300</v>
      </c>
      <c r="K249" s="60">
        <v>0</v>
      </c>
      <c r="L249" s="61">
        <v>300</v>
      </c>
      <c r="M249" s="60">
        <v>0</v>
      </c>
      <c r="N249" s="61">
        <v>0</v>
      </c>
      <c r="O249" s="62" t="s">
        <v>52</v>
      </c>
      <c r="P249" s="63" t="s">
        <v>287</v>
      </c>
      <c r="Q249" s="64" t="s">
        <v>41</v>
      </c>
    </row>
    <row r="250" spans="1:17" ht="54" x14ac:dyDescent="0.25">
      <c r="A250" s="1">
        <v>7</v>
      </c>
      <c r="B250" s="57">
        <f t="shared" si="18"/>
        <v>58</v>
      </c>
      <c r="C250" s="58" t="s">
        <v>342</v>
      </c>
      <c r="D250" s="59">
        <v>2017</v>
      </c>
      <c r="E250" s="60">
        <v>0</v>
      </c>
      <c r="F250" s="61">
        <v>1438.5309999999999</v>
      </c>
      <c r="G250" s="60">
        <v>0</v>
      </c>
      <c r="H250" s="61">
        <v>1438.5309999999999</v>
      </c>
      <c r="I250" s="60">
        <v>0</v>
      </c>
      <c r="J250" s="61">
        <v>1438.5309999999999</v>
      </c>
      <c r="K250" s="60">
        <v>0</v>
      </c>
      <c r="L250" s="61">
        <v>1438.5309999999999</v>
      </c>
      <c r="M250" s="60">
        <v>0</v>
      </c>
      <c r="N250" s="61">
        <v>0</v>
      </c>
      <c r="O250" s="62" t="s">
        <v>52</v>
      </c>
      <c r="P250" s="63" t="s">
        <v>287</v>
      </c>
      <c r="Q250" s="64" t="s">
        <v>41</v>
      </c>
    </row>
    <row r="251" spans="1:17" ht="72" x14ac:dyDescent="0.25">
      <c r="A251" s="1">
        <v>7</v>
      </c>
      <c r="B251" s="57">
        <f t="shared" si="18"/>
        <v>59</v>
      </c>
      <c r="C251" s="58" t="s">
        <v>343</v>
      </c>
      <c r="D251" s="59">
        <v>2017</v>
      </c>
      <c r="E251" s="60">
        <v>0</v>
      </c>
      <c r="F251" s="61">
        <v>900</v>
      </c>
      <c r="G251" s="60">
        <v>0</v>
      </c>
      <c r="H251" s="61">
        <v>900</v>
      </c>
      <c r="I251" s="60">
        <v>0</v>
      </c>
      <c r="J251" s="61">
        <v>899.75599999999997</v>
      </c>
      <c r="K251" s="60">
        <v>0</v>
      </c>
      <c r="L251" s="61">
        <v>899.75599999999997</v>
      </c>
      <c r="M251" s="60">
        <v>0</v>
      </c>
      <c r="N251" s="61">
        <v>0</v>
      </c>
      <c r="O251" s="62" t="s">
        <v>52</v>
      </c>
      <c r="P251" s="63" t="s">
        <v>287</v>
      </c>
      <c r="Q251" s="64" t="s">
        <v>41</v>
      </c>
    </row>
    <row r="252" spans="1:17" ht="90" x14ac:dyDescent="0.25">
      <c r="A252" s="1">
        <v>7</v>
      </c>
      <c r="B252" s="57">
        <f t="shared" si="18"/>
        <v>60</v>
      </c>
      <c r="C252" s="58" t="s">
        <v>344</v>
      </c>
      <c r="D252" s="59">
        <v>2017</v>
      </c>
      <c r="E252" s="60">
        <v>0</v>
      </c>
      <c r="F252" s="61">
        <v>840</v>
      </c>
      <c r="G252" s="60">
        <v>0</v>
      </c>
      <c r="H252" s="61">
        <v>840</v>
      </c>
      <c r="I252" s="60">
        <v>0</v>
      </c>
      <c r="J252" s="61">
        <v>839.97500000000002</v>
      </c>
      <c r="K252" s="60">
        <v>0</v>
      </c>
      <c r="L252" s="61">
        <v>839.97500000000002</v>
      </c>
      <c r="M252" s="60">
        <v>0</v>
      </c>
      <c r="N252" s="61">
        <v>0</v>
      </c>
      <c r="O252" s="62" t="s">
        <v>52</v>
      </c>
      <c r="P252" s="63" t="s">
        <v>287</v>
      </c>
      <c r="Q252" s="64" t="s">
        <v>41</v>
      </c>
    </row>
    <row r="253" spans="1:17" ht="72" x14ac:dyDescent="0.25">
      <c r="A253" s="1">
        <v>7</v>
      </c>
      <c r="B253" s="57">
        <f t="shared" si="18"/>
        <v>61</v>
      </c>
      <c r="C253" s="58" t="s">
        <v>345</v>
      </c>
      <c r="D253" s="59">
        <v>2017</v>
      </c>
      <c r="E253" s="60">
        <v>0</v>
      </c>
      <c r="F253" s="61">
        <v>370.60399999999998</v>
      </c>
      <c r="G253" s="60">
        <v>0</v>
      </c>
      <c r="H253" s="61">
        <v>370.60399999999998</v>
      </c>
      <c r="I253" s="60">
        <v>0</v>
      </c>
      <c r="J253" s="61">
        <v>370.60399999999998</v>
      </c>
      <c r="K253" s="60">
        <v>0</v>
      </c>
      <c r="L253" s="61">
        <v>370.60399999999998</v>
      </c>
      <c r="M253" s="60">
        <v>0</v>
      </c>
      <c r="N253" s="61">
        <v>0</v>
      </c>
      <c r="O253" s="62" t="s">
        <v>52</v>
      </c>
      <c r="P253" s="63" t="s">
        <v>287</v>
      </c>
      <c r="Q253" s="64" t="s">
        <v>41</v>
      </c>
    </row>
    <row r="254" spans="1:17" ht="72" x14ac:dyDescent="0.25">
      <c r="A254" s="1">
        <v>7</v>
      </c>
      <c r="B254" s="57">
        <f t="shared" si="18"/>
        <v>62</v>
      </c>
      <c r="C254" s="58" t="s">
        <v>346</v>
      </c>
      <c r="D254" s="59">
        <v>2017</v>
      </c>
      <c r="E254" s="60">
        <v>0</v>
      </c>
      <c r="F254" s="61">
        <v>915.22900000000004</v>
      </c>
      <c r="G254" s="60">
        <v>0</v>
      </c>
      <c r="H254" s="61">
        <v>915.22900000000004</v>
      </c>
      <c r="I254" s="60">
        <v>0</v>
      </c>
      <c r="J254" s="61">
        <v>915.22900000000004</v>
      </c>
      <c r="K254" s="60">
        <v>0</v>
      </c>
      <c r="L254" s="61">
        <v>915.22900000000004</v>
      </c>
      <c r="M254" s="60">
        <v>0</v>
      </c>
      <c r="N254" s="61">
        <v>0</v>
      </c>
      <c r="O254" s="62" t="s">
        <v>52</v>
      </c>
      <c r="P254" s="63" t="s">
        <v>287</v>
      </c>
      <c r="Q254" s="64" t="s">
        <v>41</v>
      </c>
    </row>
    <row r="255" spans="1:17" ht="90" x14ac:dyDescent="0.25">
      <c r="A255" s="1">
        <v>7</v>
      </c>
      <c r="B255" s="57">
        <f t="shared" si="18"/>
        <v>63</v>
      </c>
      <c r="C255" s="58" t="s">
        <v>347</v>
      </c>
      <c r="D255" s="59">
        <v>2017</v>
      </c>
      <c r="E255" s="60">
        <v>0</v>
      </c>
      <c r="F255" s="61">
        <v>1045.5350000000001</v>
      </c>
      <c r="G255" s="60">
        <v>0</v>
      </c>
      <c r="H255" s="61">
        <v>1045.5350000000001</v>
      </c>
      <c r="I255" s="60">
        <v>0</v>
      </c>
      <c r="J255" s="61">
        <v>1045.5350000000001</v>
      </c>
      <c r="K255" s="60">
        <v>0</v>
      </c>
      <c r="L255" s="61">
        <v>1045.5350000000001</v>
      </c>
      <c r="M255" s="60">
        <v>0</v>
      </c>
      <c r="N255" s="61">
        <v>0</v>
      </c>
      <c r="O255" s="62" t="s">
        <v>52</v>
      </c>
      <c r="P255" s="63" t="s">
        <v>287</v>
      </c>
      <c r="Q255" s="64" t="s">
        <v>41</v>
      </c>
    </row>
    <row r="256" spans="1:17" ht="90" x14ac:dyDescent="0.25">
      <c r="A256" s="1">
        <v>7</v>
      </c>
      <c r="B256" s="57">
        <f t="shared" si="18"/>
        <v>64</v>
      </c>
      <c r="C256" s="58" t="s">
        <v>348</v>
      </c>
      <c r="D256" s="59">
        <v>2017</v>
      </c>
      <c r="E256" s="60">
        <v>0</v>
      </c>
      <c r="F256" s="61">
        <v>3000</v>
      </c>
      <c r="G256" s="60">
        <v>0</v>
      </c>
      <c r="H256" s="61">
        <v>3000</v>
      </c>
      <c r="I256" s="60">
        <v>0</v>
      </c>
      <c r="J256" s="61">
        <v>3000</v>
      </c>
      <c r="K256" s="60">
        <v>0</v>
      </c>
      <c r="L256" s="61">
        <v>3000</v>
      </c>
      <c r="M256" s="60">
        <v>0</v>
      </c>
      <c r="N256" s="61">
        <v>0</v>
      </c>
      <c r="O256" s="62" t="s">
        <v>52</v>
      </c>
      <c r="P256" s="63" t="s">
        <v>287</v>
      </c>
      <c r="Q256" s="64" t="s">
        <v>41</v>
      </c>
    </row>
    <row r="257" spans="1:17" ht="90" x14ac:dyDescent="0.25">
      <c r="A257" s="1">
        <v>7</v>
      </c>
      <c r="B257" s="57">
        <f t="shared" si="18"/>
        <v>65</v>
      </c>
      <c r="C257" s="58" t="s">
        <v>349</v>
      </c>
      <c r="D257" s="59">
        <v>2017</v>
      </c>
      <c r="E257" s="60">
        <v>0</v>
      </c>
      <c r="F257" s="61">
        <v>1402.806</v>
      </c>
      <c r="G257" s="60">
        <v>0</v>
      </c>
      <c r="H257" s="61">
        <v>1402.806</v>
      </c>
      <c r="I257" s="60">
        <v>0</v>
      </c>
      <c r="J257" s="61">
        <v>1338.9449999999999</v>
      </c>
      <c r="K257" s="60">
        <v>0</v>
      </c>
      <c r="L257" s="61">
        <v>1338.9449999999999</v>
      </c>
      <c r="M257" s="60">
        <v>0</v>
      </c>
      <c r="N257" s="61">
        <v>0</v>
      </c>
      <c r="O257" s="62" t="s">
        <v>52</v>
      </c>
      <c r="P257" s="63" t="s">
        <v>287</v>
      </c>
      <c r="Q257" s="64" t="s">
        <v>41</v>
      </c>
    </row>
    <row r="258" spans="1:17" ht="90" x14ac:dyDescent="0.25">
      <c r="A258" s="1">
        <v>7</v>
      </c>
      <c r="B258" s="57">
        <f t="shared" si="18"/>
        <v>66</v>
      </c>
      <c r="C258" s="58" t="s">
        <v>350</v>
      </c>
      <c r="D258" s="59">
        <v>2017</v>
      </c>
      <c r="E258" s="60">
        <v>0</v>
      </c>
      <c r="F258" s="61">
        <v>1000</v>
      </c>
      <c r="G258" s="60">
        <v>0</v>
      </c>
      <c r="H258" s="61">
        <v>1000</v>
      </c>
      <c r="I258" s="60">
        <v>0</v>
      </c>
      <c r="J258" s="61">
        <v>1000</v>
      </c>
      <c r="K258" s="60">
        <v>0</v>
      </c>
      <c r="L258" s="61">
        <v>1000</v>
      </c>
      <c r="M258" s="60">
        <v>0</v>
      </c>
      <c r="N258" s="61">
        <v>0</v>
      </c>
      <c r="O258" s="62" t="s">
        <v>52</v>
      </c>
      <c r="P258" s="63" t="s">
        <v>287</v>
      </c>
      <c r="Q258" s="64" t="s">
        <v>41</v>
      </c>
    </row>
    <row r="259" spans="1:17" ht="90" x14ac:dyDescent="0.25">
      <c r="A259" s="1">
        <v>7</v>
      </c>
      <c r="B259" s="57">
        <f t="shared" ref="B259:B264" si="19">B258+1</f>
        <v>67</v>
      </c>
      <c r="C259" s="58" t="s">
        <v>351</v>
      </c>
      <c r="D259" s="59">
        <v>2017</v>
      </c>
      <c r="E259" s="60">
        <v>0</v>
      </c>
      <c r="F259" s="61">
        <v>701.13199999999995</v>
      </c>
      <c r="G259" s="60">
        <v>0</v>
      </c>
      <c r="H259" s="61">
        <v>701.13199999999995</v>
      </c>
      <c r="I259" s="60">
        <v>0</v>
      </c>
      <c r="J259" s="61">
        <v>692.12900000000002</v>
      </c>
      <c r="K259" s="60">
        <v>0</v>
      </c>
      <c r="L259" s="61">
        <v>692.12900000000002</v>
      </c>
      <c r="M259" s="60">
        <v>0</v>
      </c>
      <c r="N259" s="61">
        <v>0</v>
      </c>
      <c r="O259" s="62" t="s">
        <v>52</v>
      </c>
      <c r="P259" s="63" t="s">
        <v>287</v>
      </c>
      <c r="Q259" s="64" t="s">
        <v>41</v>
      </c>
    </row>
    <row r="260" spans="1:17" ht="90" x14ac:dyDescent="0.25">
      <c r="A260" s="1">
        <v>7</v>
      </c>
      <c r="B260" s="57">
        <f t="shared" si="19"/>
        <v>68</v>
      </c>
      <c r="C260" s="58" t="s">
        <v>352</v>
      </c>
      <c r="D260" s="59">
        <v>2017</v>
      </c>
      <c r="E260" s="60">
        <v>0</v>
      </c>
      <c r="F260" s="61">
        <v>400</v>
      </c>
      <c r="G260" s="60">
        <v>0</v>
      </c>
      <c r="H260" s="61">
        <v>400</v>
      </c>
      <c r="I260" s="60">
        <v>0</v>
      </c>
      <c r="J260" s="61">
        <v>398.23700000000002</v>
      </c>
      <c r="K260" s="60">
        <v>0</v>
      </c>
      <c r="L260" s="61">
        <v>398.23700000000002</v>
      </c>
      <c r="M260" s="60">
        <v>0</v>
      </c>
      <c r="N260" s="61">
        <v>0</v>
      </c>
      <c r="O260" s="62" t="s">
        <v>52</v>
      </c>
      <c r="P260" s="63" t="s">
        <v>287</v>
      </c>
      <c r="Q260" s="64" t="s">
        <v>41</v>
      </c>
    </row>
    <row r="261" spans="1:17" ht="90" x14ac:dyDescent="0.25">
      <c r="A261" s="1">
        <v>7</v>
      </c>
      <c r="B261" s="57">
        <f t="shared" si="19"/>
        <v>69</v>
      </c>
      <c r="C261" s="58" t="s">
        <v>353</v>
      </c>
      <c r="D261" s="59">
        <v>2017</v>
      </c>
      <c r="E261" s="60">
        <v>0</v>
      </c>
      <c r="F261" s="61">
        <v>1837.297</v>
      </c>
      <c r="G261" s="60">
        <v>0</v>
      </c>
      <c r="H261" s="61">
        <v>1837.297</v>
      </c>
      <c r="I261" s="60">
        <v>0</v>
      </c>
      <c r="J261" s="61">
        <v>1837.297</v>
      </c>
      <c r="K261" s="60">
        <v>0</v>
      </c>
      <c r="L261" s="61">
        <v>1837.297</v>
      </c>
      <c r="M261" s="60">
        <v>0</v>
      </c>
      <c r="N261" s="61">
        <v>0</v>
      </c>
      <c r="O261" s="62" t="s">
        <v>52</v>
      </c>
      <c r="P261" s="63" t="s">
        <v>287</v>
      </c>
      <c r="Q261" s="64" t="s">
        <v>41</v>
      </c>
    </row>
    <row r="262" spans="1:17" ht="90" x14ac:dyDescent="0.25">
      <c r="A262" s="1">
        <v>7</v>
      </c>
      <c r="B262" s="68">
        <f t="shared" si="19"/>
        <v>70</v>
      </c>
      <c r="C262" s="69" t="s">
        <v>354</v>
      </c>
      <c r="D262" s="70">
        <v>2017</v>
      </c>
      <c r="E262" s="80">
        <v>0</v>
      </c>
      <c r="F262" s="81">
        <v>1291.5229999999999</v>
      </c>
      <c r="G262" s="80">
        <v>0</v>
      </c>
      <c r="H262" s="81">
        <v>1291.5229999999999</v>
      </c>
      <c r="I262" s="80">
        <v>0</v>
      </c>
      <c r="J262" s="81">
        <v>1291.5229999999999</v>
      </c>
      <c r="K262" s="80">
        <v>0</v>
      </c>
      <c r="L262" s="81">
        <v>1291.5229999999999</v>
      </c>
      <c r="M262" s="80">
        <v>0</v>
      </c>
      <c r="N262" s="81">
        <v>0</v>
      </c>
      <c r="O262" s="62" t="s">
        <v>52</v>
      </c>
      <c r="P262" s="74" t="s">
        <v>287</v>
      </c>
      <c r="Q262" s="75" t="s">
        <v>41</v>
      </c>
    </row>
    <row r="263" spans="1:17" ht="90" x14ac:dyDescent="0.25">
      <c r="A263" s="1">
        <v>7</v>
      </c>
      <c r="B263" s="68">
        <f t="shared" si="19"/>
        <v>71</v>
      </c>
      <c r="C263" s="69" t="s">
        <v>355</v>
      </c>
      <c r="D263" s="70">
        <v>2017</v>
      </c>
      <c r="E263" s="80">
        <v>0</v>
      </c>
      <c r="F263" s="81">
        <v>852.26499999999999</v>
      </c>
      <c r="G263" s="80">
        <v>0</v>
      </c>
      <c r="H263" s="81">
        <v>852.26499999999999</v>
      </c>
      <c r="I263" s="80">
        <v>0</v>
      </c>
      <c r="J263" s="81">
        <v>852.26499999999999</v>
      </c>
      <c r="K263" s="80">
        <v>0</v>
      </c>
      <c r="L263" s="81">
        <v>852.26499999999999</v>
      </c>
      <c r="M263" s="80">
        <v>0</v>
      </c>
      <c r="N263" s="81">
        <v>0</v>
      </c>
      <c r="O263" s="62" t="s">
        <v>52</v>
      </c>
      <c r="P263" s="74" t="s">
        <v>287</v>
      </c>
      <c r="Q263" s="75" t="s">
        <v>41</v>
      </c>
    </row>
    <row r="264" spans="1:17" ht="72.75" thickBot="1" x14ac:dyDescent="0.3">
      <c r="A264" s="1">
        <v>7</v>
      </c>
      <c r="B264" s="84">
        <f t="shared" si="19"/>
        <v>72</v>
      </c>
      <c r="C264" s="85" t="s">
        <v>356</v>
      </c>
      <c r="D264" s="86">
        <v>2017</v>
      </c>
      <c r="E264" s="87">
        <v>0</v>
      </c>
      <c r="F264" s="88">
        <v>2839.7350000000001</v>
      </c>
      <c r="G264" s="87">
        <v>0</v>
      </c>
      <c r="H264" s="88">
        <v>2839.7350000000001</v>
      </c>
      <c r="I264" s="87">
        <v>0</v>
      </c>
      <c r="J264" s="88">
        <v>2839.7350000000001</v>
      </c>
      <c r="K264" s="87">
        <v>0</v>
      </c>
      <c r="L264" s="88">
        <v>2839.7350000000001</v>
      </c>
      <c r="M264" s="87">
        <v>0</v>
      </c>
      <c r="N264" s="88">
        <v>0</v>
      </c>
      <c r="O264" s="73" t="s">
        <v>36</v>
      </c>
      <c r="P264" s="74"/>
      <c r="Q264" s="75"/>
    </row>
    <row r="265" spans="1:17" ht="18" x14ac:dyDescent="0.25">
      <c r="A265" s="1">
        <v>8</v>
      </c>
      <c r="B265" s="149" t="s">
        <v>357</v>
      </c>
      <c r="C265" s="150"/>
      <c r="D265" s="150"/>
      <c r="E265" s="150"/>
      <c r="F265" s="150"/>
      <c r="G265" s="150"/>
      <c r="H265" s="150"/>
      <c r="I265" s="150"/>
      <c r="J265" s="150"/>
      <c r="K265" s="150"/>
      <c r="L265" s="150"/>
      <c r="M265" s="150"/>
      <c r="N265" s="150"/>
      <c r="O265" s="150"/>
      <c r="P265" s="150"/>
      <c r="Q265" s="151"/>
    </row>
    <row r="266" spans="1:17" ht="18" x14ac:dyDescent="0.25">
      <c r="A266" s="1">
        <v>8</v>
      </c>
      <c r="B266" s="78"/>
      <c r="C266" s="41" t="s">
        <v>27</v>
      </c>
      <c r="D266" s="42"/>
      <c r="E266" s="43">
        <f t="shared" ref="E266:N266" si="20">SUM(E267,E269:E297)</f>
        <v>32714.683000000001</v>
      </c>
      <c r="F266" s="44">
        <f t="shared" si="20"/>
        <v>81786.705999999991</v>
      </c>
      <c r="G266" s="43">
        <f t="shared" si="20"/>
        <v>32714.683000000005</v>
      </c>
      <c r="H266" s="44">
        <f t="shared" si="20"/>
        <v>81786.706000000006</v>
      </c>
      <c r="I266" s="43">
        <f t="shared" si="20"/>
        <v>20102.008000000002</v>
      </c>
      <c r="J266" s="44">
        <f t="shared" si="20"/>
        <v>50507.909000000007</v>
      </c>
      <c r="K266" s="43">
        <f t="shared" si="20"/>
        <v>20094.340270000001</v>
      </c>
      <c r="L266" s="44">
        <f t="shared" si="20"/>
        <v>50507.909399999997</v>
      </c>
      <c r="M266" s="43">
        <f t="shared" si="20"/>
        <v>0</v>
      </c>
      <c r="N266" s="44">
        <f t="shared" si="20"/>
        <v>0</v>
      </c>
      <c r="O266" s="47"/>
      <c r="P266" s="48">
        <v>12</v>
      </c>
      <c r="Q266" s="49"/>
    </row>
    <row r="267" spans="1:17" ht="18" x14ac:dyDescent="0.25">
      <c r="A267" s="1">
        <v>8</v>
      </c>
      <c r="B267" s="79"/>
      <c r="C267" s="50" t="s">
        <v>24</v>
      </c>
      <c r="D267" s="51"/>
      <c r="E267" s="52">
        <v>0</v>
      </c>
      <c r="F267" s="53">
        <v>0</v>
      </c>
      <c r="G267" s="52">
        <v>0</v>
      </c>
      <c r="H267" s="53">
        <v>0</v>
      </c>
      <c r="I267" s="52"/>
      <c r="J267" s="53"/>
      <c r="K267" s="52"/>
      <c r="L267" s="53"/>
      <c r="M267" s="52"/>
      <c r="N267" s="53"/>
      <c r="O267" s="56"/>
      <c r="P267" s="30"/>
      <c r="Q267" s="31"/>
    </row>
    <row r="268" spans="1:17" ht="36" x14ac:dyDescent="0.25">
      <c r="A268" s="1">
        <v>8</v>
      </c>
      <c r="B268" s="79"/>
      <c r="C268" s="50" t="s">
        <v>25</v>
      </c>
      <c r="D268" s="51"/>
      <c r="E268" s="52">
        <f>SUM(E269:E297)</f>
        <v>32714.683000000001</v>
      </c>
      <c r="F268" s="53">
        <f t="shared" ref="F268:N268" si="21">SUM(F269:F297)</f>
        <v>81786.705999999991</v>
      </c>
      <c r="G268" s="52">
        <f t="shared" si="21"/>
        <v>32714.683000000005</v>
      </c>
      <c r="H268" s="53">
        <f t="shared" si="21"/>
        <v>81786.706000000006</v>
      </c>
      <c r="I268" s="52">
        <f t="shared" si="21"/>
        <v>20102.008000000002</v>
      </c>
      <c r="J268" s="53">
        <f t="shared" si="21"/>
        <v>50507.909000000007</v>
      </c>
      <c r="K268" s="52">
        <f t="shared" si="21"/>
        <v>20094.340270000001</v>
      </c>
      <c r="L268" s="53">
        <f t="shared" si="21"/>
        <v>50507.909399999997</v>
      </c>
      <c r="M268" s="52">
        <f t="shared" si="21"/>
        <v>0</v>
      </c>
      <c r="N268" s="53">
        <f t="shared" si="21"/>
        <v>0</v>
      </c>
      <c r="O268" s="56"/>
      <c r="P268" s="30"/>
      <c r="Q268" s="31"/>
    </row>
    <row r="269" spans="1:17" ht="72" x14ac:dyDescent="0.25">
      <c r="A269" s="1">
        <v>8</v>
      </c>
      <c r="B269" s="57">
        <v>1</v>
      </c>
      <c r="C269" s="58" t="s">
        <v>358</v>
      </c>
      <c r="D269" s="59" t="s">
        <v>296</v>
      </c>
      <c r="E269" s="60">
        <f>21278.769-11278.769</f>
        <v>10000</v>
      </c>
      <c r="F269" s="61">
        <v>11278.769</v>
      </c>
      <c r="G269" s="60">
        <v>10000</v>
      </c>
      <c r="H269" s="61">
        <v>11278.769</v>
      </c>
      <c r="I269" s="60">
        <v>4356.7129999999997</v>
      </c>
      <c r="J269" s="61">
        <v>5269.1170000000002</v>
      </c>
      <c r="K269" s="60">
        <v>4356.7130200000001</v>
      </c>
      <c r="L269" s="61">
        <v>5269.1167699999996</v>
      </c>
      <c r="M269" s="60">
        <v>0</v>
      </c>
      <c r="N269" s="61">
        <v>0</v>
      </c>
      <c r="O269" s="62" t="s">
        <v>36</v>
      </c>
      <c r="P269" s="63"/>
      <c r="Q269" s="64"/>
    </row>
    <row r="270" spans="1:17" ht="54" x14ac:dyDescent="0.25">
      <c r="A270" s="1">
        <v>8</v>
      </c>
      <c r="B270" s="57">
        <f>B269+1</f>
        <v>2</v>
      </c>
      <c r="C270" s="58" t="s">
        <v>359</v>
      </c>
      <c r="D270" s="59" t="s">
        <v>360</v>
      </c>
      <c r="E270" s="60">
        <f>7848.357-4348.357+3500</f>
        <v>7000</v>
      </c>
      <c r="F270" s="61">
        <f>4348.357+9524.945</f>
        <v>13873.302</v>
      </c>
      <c r="G270" s="60">
        <v>7000</v>
      </c>
      <c r="H270" s="61">
        <v>13873.302</v>
      </c>
      <c r="I270" s="60">
        <v>6978.1239999999998</v>
      </c>
      <c r="J270" s="61">
        <v>4346.0439999999999</v>
      </c>
      <c r="K270" s="60">
        <v>6978.1242300000004</v>
      </c>
      <c r="L270" s="61">
        <v>4346.0443699999996</v>
      </c>
      <c r="M270" s="60">
        <v>0</v>
      </c>
      <c r="N270" s="61">
        <v>0</v>
      </c>
      <c r="O270" s="62" t="s">
        <v>36</v>
      </c>
      <c r="P270" s="63"/>
      <c r="Q270" s="64"/>
    </row>
    <row r="271" spans="1:17" ht="54" x14ac:dyDescent="0.25">
      <c r="A271" s="1">
        <v>8</v>
      </c>
      <c r="B271" s="57">
        <f t="shared" ref="B271:B297" si="22">B270+1</f>
        <v>3</v>
      </c>
      <c r="C271" s="58" t="s">
        <v>361</v>
      </c>
      <c r="D271" s="59" t="s">
        <v>55</v>
      </c>
      <c r="E271" s="60">
        <f>7200-3700-3500</f>
        <v>0</v>
      </c>
      <c r="F271" s="61">
        <f>3700-1500</f>
        <v>2200</v>
      </c>
      <c r="G271" s="60">
        <v>0</v>
      </c>
      <c r="H271" s="61">
        <v>2200</v>
      </c>
      <c r="I271" s="60">
        <v>0</v>
      </c>
      <c r="J271" s="61">
        <v>0</v>
      </c>
      <c r="K271" s="60">
        <v>0</v>
      </c>
      <c r="L271" s="61">
        <v>0</v>
      </c>
      <c r="M271" s="60">
        <v>0</v>
      </c>
      <c r="N271" s="61">
        <v>0</v>
      </c>
      <c r="O271" s="62" t="s">
        <v>36</v>
      </c>
      <c r="P271" s="63"/>
      <c r="Q271" s="64"/>
    </row>
    <row r="272" spans="1:17" ht="108" x14ac:dyDescent="0.25">
      <c r="A272" s="1">
        <v>8</v>
      </c>
      <c r="B272" s="57">
        <f t="shared" si="22"/>
        <v>4</v>
      </c>
      <c r="C272" s="58" t="s">
        <v>362</v>
      </c>
      <c r="D272" s="59" t="s">
        <v>38</v>
      </c>
      <c r="E272" s="60">
        <v>2564.5709999999999</v>
      </c>
      <c r="F272" s="61">
        <v>0</v>
      </c>
      <c r="G272" s="60">
        <v>2564.5709999999999</v>
      </c>
      <c r="H272" s="61">
        <v>0</v>
      </c>
      <c r="I272" s="60">
        <v>0</v>
      </c>
      <c r="J272" s="61">
        <v>0</v>
      </c>
      <c r="K272" s="60">
        <v>0</v>
      </c>
      <c r="L272" s="61">
        <v>0</v>
      </c>
      <c r="M272" s="60">
        <v>0</v>
      </c>
      <c r="N272" s="61">
        <v>0</v>
      </c>
      <c r="O272" s="62" t="s">
        <v>363</v>
      </c>
      <c r="P272" s="63"/>
      <c r="Q272" s="64"/>
    </row>
    <row r="273" spans="1:17" ht="54" x14ac:dyDescent="0.25">
      <c r="A273" s="1">
        <v>8</v>
      </c>
      <c r="B273" s="57">
        <f t="shared" si="22"/>
        <v>5</v>
      </c>
      <c r="C273" s="58" t="s">
        <v>364</v>
      </c>
      <c r="D273" s="59" t="s">
        <v>360</v>
      </c>
      <c r="E273" s="60">
        <f>2833.399-1349.999</f>
        <v>1483.3999999999999</v>
      </c>
      <c r="F273" s="61">
        <v>0</v>
      </c>
      <c r="G273" s="60">
        <v>1483.4</v>
      </c>
      <c r="H273" s="61">
        <v>0</v>
      </c>
      <c r="I273" s="60">
        <v>1080.624</v>
      </c>
      <c r="J273" s="61">
        <v>0</v>
      </c>
      <c r="K273" s="60">
        <v>1080.62427</v>
      </c>
      <c r="L273" s="61">
        <v>0</v>
      </c>
      <c r="M273" s="60">
        <v>0</v>
      </c>
      <c r="N273" s="61">
        <v>0</v>
      </c>
      <c r="O273" s="62" t="s">
        <v>52</v>
      </c>
      <c r="P273" s="63" t="s">
        <v>365</v>
      </c>
      <c r="Q273" s="64" t="s">
        <v>41</v>
      </c>
    </row>
    <row r="274" spans="1:17" ht="72" x14ac:dyDescent="0.25">
      <c r="A274" s="1">
        <v>8</v>
      </c>
      <c r="B274" s="57">
        <f t="shared" si="22"/>
        <v>6</v>
      </c>
      <c r="C274" s="58" t="s">
        <v>366</v>
      </c>
      <c r="D274" s="59" t="s">
        <v>38</v>
      </c>
      <c r="E274" s="60">
        <v>1234.954</v>
      </c>
      <c r="F274" s="61">
        <v>0</v>
      </c>
      <c r="G274" s="60">
        <v>1234.954</v>
      </c>
      <c r="H274" s="61">
        <v>0</v>
      </c>
      <c r="I274" s="60">
        <v>818.053</v>
      </c>
      <c r="J274" s="61">
        <v>0</v>
      </c>
      <c r="K274" s="60">
        <v>818.05352000000005</v>
      </c>
      <c r="L274" s="61">
        <v>0</v>
      </c>
      <c r="M274" s="60">
        <v>0</v>
      </c>
      <c r="N274" s="61">
        <v>0</v>
      </c>
      <c r="O274" s="62" t="s">
        <v>52</v>
      </c>
      <c r="P274" s="63" t="s">
        <v>367</v>
      </c>
      <c r="Q274" s="64" t="s">
        <v>41</v>
      </c>
    </row>
    <row r="275" spans="1:17" ht="54" x14ac:dyDescent="0.25">
      <c r="A275" s="1">
        <v>8</v>
      </c>
      <c r="B275" s="57">
        <f t="shared" si="22"/>
        <v>7</v>
      </c>
      <c r="C275" s="58" t="s">
        <v>368</v>
      </c>
      <c r="D275" s="59" t="s">
        <v>38</v>
      </c>
      <c r="E275" s="60">
        <v>2827.1030000000001</v>
      </c>
      <c r="F275" s="61">
        <v>0</v>
      </c>
      <c r="G275" s="60">
        <v>2827.1030000000001</v>
      </c>
      <c r="H275" s="61">
        <v>0</v>
      </c>
      <c r="I275" s="60">
        <v>2827.1030000000001</v>
      </c>
      <c r="J275" s="61">
        <v>0</v>
      </c>
      <c r="K275" s="60">
        <v>2827.1030000000001</v>
      </c>
      <c r="L275" s="61">
        <v>0</v>
      </c>
      <c r="M275" s="60">
        <v>0</v>
      </c>
      <c r="N275" s="61">
        <v>0</v>
      </c>
      <c r="O275" s="62" t="s">
        <v>363</v>
      </c>
      <c r="P275" s="63"/>
      <c r="Q275" s="64"/>
    </row>
    <row r="276" spans="1:17" ht="54" x14ac:dyDescent="0.25">
      <c r="A276" s="1">
        <v>8</v>
      </c>
      <c r="B276" s="57">
        <f t="shared" si="22"/>
        <v>8</v>
      </c>
      <c r="C276" s="58" t="s">
        <v>369</v>
      </c>
      <c r="D276" s="59" t="s">
        <v>51</v>
      </c>
      <c r="E276" s="60">
        <f>4794.36-2996.46</f>
        <v>1797.8999999999996</v>
      </c>
      <c r="F276" s="61">
        <v>2996.46</v>
      </c>
      <c r="G276" s="60">
        <v>1797.9</v>
      </c>
      <c r="H276" s="61">
        <v>2996.46</v>
      </c>
      <c r="I276" s="60">
        <v>9.85</v>
      </c>
      <c r="J276" s="61">
        <v>1191.3879999999999</v>
      </c>
      <c r="K276" s="60">
        <v>9.8496000000000006</v>
      </c>
      <c r="L276" s="61">
        <v>1191.3877299999999</v>
      </c>
      <c r="M276" s="60">
        <v>0</v>
      </c>
      <c r="N276" s="61">
        <v>0</v>
      </c>
      <c r="O276" s="62" t="s">
        <v>363</v>
      </c>
      <c r="P276" s="63"/>
      <c r="Q276" s="64"/>
    </row>
    <row r="277" spans="1:17" ht="54" x14ac:dyDescent="0.25">
      <c r="A277" s="1">
        <v>8</v>
      </c>
      <c r="B277" s="57">
        <f t="shared" si="22"/>
        <v>9</v>
      </c>
      <c r="C277" s="58" t="s">
        <v>370</v>
      </c>
      <c r="D277" s="59" t="s">
        <v>38</v>
      </c>
      <c r="E277" s="60">
        <f>4187.615-2622.615</f>
        <v>1565</v>
      </c>
      <c r="F277" s="61">
        <v>2622.6149999999998</v>
      </c>
      <c r="G277" s="60">
        <v>1565</v>
      </c>
      <c r="H277" s="61">
        <v>2622.6149999999998</v>
      </c>
      <c r="I277" s="60">
        <v>429.18799999999999</v>
      </c>
      <c r="J277" s="61">
        <v>1642.431</v>
      </c>
      <c r="K277" s="60">
        <f>429.1876-7.668</f>
        <v>421.51959999999997</v>
      </c>
      <c r="L277" s="61">
        <v>1642.4306999999999</v>
      </c>
      <c r="M277" s="60">
        <v>0</v>
      </c>
      <c r="N277" s="61">
        <v>0</v>
      </c>
      <c r="O277" s="62" t="s">
        <v>363</v>
      </c>
      <c r="P277" s="63"/>
      <c r="Q277" s="64"/>
    </row>
    <row r="278" spans="1:17" ht="54" x14ac:dyDescent="0.25">
      <c r="A278" s="1">
        <v>8</v>
      </c>
      <c r="B278" s="57">
        <f t="shared" si="22"/>
        <v>10</v>
      </c>
      <c r="C278" s="58" t="s">
        <v>371</v>
      </c>
      <c r="D278" s="59" t="s">
        <v>38</v>
      </c>
      <c r="E278" s="60">
        <f>2669.486-1672.719+14.4</f>
        <v>1011.1669999999998</v>
      </c>
      <c r="F278" s="61">
        <v>1672.7190000000001</v>
      </c>
      <c r="G278" s="60">
        <v>1011.167</v>
      </c>
      <c r="H278" s="61">
        <v>1672.7190000000001</v>
      </c>
      <c r="I278" s="60">
        <v>691.28399999999999</v>
      </c>
      <c r="J278" s="61">
        <v>1366.6189999999999</v>
      </c>
      <c r="K278" s="60">
        <v>691.28447000000006</v>
      </c>
      <c r="L278" s="61">
        <v>1366.6186499999999</v>
      </c>
      <c r="M278" s="60">
        <v>0</v>
      </c>
      <c r="N278" s="61">
        <v>0</v>
      </c>
      <c r="O278" s="62" t="s">
        <v>363</v>
      </c>
      <c r="P278" s="63"/>
      <c r="Q278" s="64"/>
    </row>
    <row r="279" spans="1:17" ht="54" x14ac:dyDescent="0.25">
      <c r="A279" s="1">
        <v>8</v>
      </c>
      <c r="B279" s="57">
        <f t="shared" si="22"/>
        <v>11</v>
      </c>
      <c r="C279" s="58" t="s">
        <v>372</v>
      </c>
      <c r="D279" s="59" t="s">
        <v>38</v>
      </c>
      <c r="E279" s="60">
        <f>5198.94-3303.951</f>
        <v>1894.9889999999996</v>
      </c>
      <c r="F279" s="61">
        <v>3303.951</v>
      </c>
      <c r="G279" s="60">
        <v>1894.989</v>
      </c>
      <c r="H279" s="61">
        <v>3303.951</v>
      </c>
      <c r="I279" s="60">
        <v>1724.5070000000001</v>
      </c>
      <c r="J279" s="61">
        <v>610.61300000000006</v>
      </c>
      <c r="K279" s="60">
        <v>1724.5068000000001</v>
      </c>
      <c r="L279" s="61">
        <v>610.61329999999998</v>
      </c>
      <c r="M279" s="60">
        <v>0</v>
      </c>
      <c r="N279" s="61">
        <v>0</v>
      </c>
      <c r="O279" s="62" t="s">
        <v>363</v>
      </c>
      <c r="P279" s="63"/>
      <c r="Q279" s="64"/>
    </row>
    <row r="280" spans="1:17" ht="90" x14ac:dyDescent="0.25">
      <c r="A280" s="1">
        <v>8</v>
      </c>
      <c r="B280" s="57">
        <f t="shared" si="22"/>
        <v>12</v>
      </c>
      <c r="C280" s="58" t="s">
        <v>373</v>
      </c>
      <c r="D280" s="59">
        <v>2017</v>
      </c>
      <c r="E280" s="60">
        <v>0</v>
      </c>
      <c r="F280" s="61">
        <v>10964.561</v>
      </c>
      <c r="G280" s="60">
        <v>0</v>
      </c>
      <c r="H280" s="61">
        <v>10964.561</v>
      </c>
      <c r="I280" s="60">
        <v>0</v>
      </c>
      <c r="J280" s="61">
        <v>10964.561</v>
      </c>
      <c r="K280" s="60">
        <v>0</v>
      </c>
      <c r="L280" s="61">
        <v>10964.561</v>
      </c>
      <c r="M280" s="60">
        <v>0</v>
      </c>
      <c r="N280" s="61">
        <v>0</v>
      </c>
      <c r="O280" s="62" t="s">
        <v>374</v>
      </c>
      <c r="P280" s="63" t="s">
        <v>375</v>
      </c>
      <c r="Q280" s="64" t="s">
        <v>41</v>
      </c>
    </row>
    <row r="281" spans="1:17" ht="90" x14ac:dyDescent="0.25">
      <c r="A281" s="1">
        <v>8</v>
      </c>
      <c r="B281" s="57">
        <f t="shared" si="22"/>
        <v>13</v>
      </c>
      <c r="C281" s="58" t="s">
        <v>376</v>
      </c>
      <c r="D281" s="59">
        <v>2017</v>
      </c>
      <c r="E281" s="60">
        <v>0</v>
      </c>
      <c r="F281" s="61">
        <f>1350-271.8</f>
        <v>1078.2</v>
      </c>
      <c r="G281" s="60">
        <v>0</v>
      </c>
      <c r="H281" s="61">
        <v>1078.2</v>
      </c>
      <c r="I281" s="60">
        <v>0</v>
      </c>
      <c r="J281" s="61">
        <v>1078.1990000000001</v>
      </c>
      <c r="K281" s="60">
        <v>0</v>
      </c>
      <c r="L281" s="61">
        <v>1078.1991</v>
      </c>
      <c r="M281" s="60">
        <v>0</v>
      </c>
      <c r="N281" s="61">
        <v>0</v>
      </c>
      <c r="O281" s="62" t="s">
        <v>377</v>
      </c>
      <c r="P281" s="63" t="s">
        <v>378</v>
      </c>
      <c r="Q281" s="64" t="s">
        <v>108</v>
      </c>
    </row>
    <row r="282" spans="1:17" ht="72" x14ac:dyDescent="0.25">
      <c r="A282" s="1">
        <v>8</v>
      </c>
      <c r="B282" s="57">
        <f t="shared" si="22"/>
        <v>14</v>
      </c>
      <c r="C282" s="58" t="s">
        <v>379</v>
      </c>
      <c r="D282" s="59">
        <v>2017</v>
      </c>
      <c r="E282" s="60">
        <v>0</v>
      </c>
      <c r="F282" s="61">
        <v>2820.9</v>
      </c>
      <c r="G282" s="60">
        <v>0</v>
      </c>
      <c r="H282" s="61">
        <v>2820.9</v>
      </c>
      <c r="I282" s="60">
        <v>0</v>
      </c>
      <c r="J282" s="61">
        <v>2820.9</v>
      </c>
      <c r="K282" s="60">
        <v>0</v>
      </c>
      <c r="L282" s="61">
        <v>2820.9</v>
      </c>
      <c r="M282" s="60">
        <v>0</v>
      </c>
      <c r="N282" s="61">
        <v>0</v>
      </c>
      <c r="O282" s="62" t="s">
        <v>52</v>
      </c>
      <c r="P282" s="63" t="s">
        <v>164</v>
      </c>
      <c r="Q282" s="64" t="s">
        <v>41</v>
      </c>
    </row>
    <row r="283" spans="1:17" ht="108" x14ac:dyDescent="0.25">
      <c r="A283" s="1">
        <v>8</v>
      </c>
      <c r="B283" s="57">
        <f t="shared" si="22"/>
        <v>15</v>
      </c>
      <c r="C283" s="58" t="s">
        <v>380</v>
      </c>
      <c r="D283" s="59">
        <v>2017</v>
      </c>
      <c r="E283" s="60">
        <v>0</v>
      </c>
      <c r="F283" s="61">
        <f>1991.959-1891.959</f>
        <v>100</v>
      </c>
      <c r="G283" s="60">
        <v>0</v>
      </c>
      <c r="H283" s="61">
        <v>100</v>
      </c>
      <c r="I283" s="60">
        <v>0</v>
      </c>
      <c r="J283" s="61">
        <v>0</v>
      </c>
      <c r="K283" s="60">
        <v>0</v>
      </c>
      <c r="L283" s="61">
        <v>0</v>
      </c>
      <c r="M283" s="60">
        <v>0</v>
      </c>
      <c r="N283" s="61">
        <v>0</v>
      </c>
      <c r="O283" s="62" t="s">
        <v>36</v>
      </c>
      <c r="P283" s="63"/>
      <c r="Q283" s="64"/>
    </row>
    <row r="284" spans="1:17" ht="72" x14ac:dyDescent="0.25">
      <c r="A284" s="1">
        <v>8</v>
      </c>
      <c r="B284" s="57">
        <f t="shared" si="22"/>
        <v>16</v>
      </c>
      <c r="C284" s="58" t="s">
        <v>381</v>
      </c>
      <c r="D284" s="59">
        <v>2017</v>
      </c>
      <c r="E284" s="60">
        <v>0</v>
      </c>
      <c r="F284" s="61">
        <v>2039.0609999999999</v>
      </c>
      <c r="G284" s="60">
        <v>0</v>
      </c>
      <c r="H284" s="61">
        <v>2039.0609999999999</v>
      </c>
      <c r="I284" s="60">
        <v>0</v>
      </c>
      <c r="J284" s="61">
        <v>225.399</v>
      </c>
      <c r="K284" s="60">
        <v>0</v>
      </c>
      <c r="L284" s="61">
        <v>225.39946</v>
      </c>
      <c r="M284" s="60">
        <v>0</v>
      </c>
      <c r="N284" s="61">
        <v>0</v>
      </c>
      <c r="O284" s="62" t="s">
        <v>363</v>
      </c>
      <c r="P284" s="63"/>
      <c r="Q284" s="64"/>
    </row>
    <row r="285" spans="1:17" ht="90" x14ac:dyDescent="0.25">
      <c r="A285" s="1">
        <v>8</v>
      </c>
      <c r="B285" s="57">
        <f t="shared" si="22"/>
        <v>17</v>
      </c>
      <c r="C285" s="58" t="s">
        <v>382</v>
      </c>
      <c r="D285" s="59" t="s">
        <v>105</v>
      </c>
      <c r="E285" s="60">
        <v>0</v>
      </c>
      <c r="F285" s="61">
        <v>587.50199999999995</v>
      </c>
      <c r="G285" s="60">
        <v>0</v>
      </c>
      <c r="H285" s="61">
        <v>587.50199999999995</v>
      </c>
      <c r="I285" s="60">
        <v>0</v>
      </c>
      <c r="J285" s="61">
        <v>587.50199999999995</v>
      </c>
      <c r="K285" s="60">
        <v>0</v>
      </c>
      <c r="L285" s="61">
        <v>587.50199999999995</v>
      </c>
      <c r="M285" s="60">
        <v>0</v>
      </c>
      <c r="N285" s="61">
        <v>0</v>
      </c>
      <c r="O285" s="62" t="s">
        <v>52</v>
      </c>
      <c r="P285" s="63" t="s">
        <v>261</v>
      </c>
      <c r="Q285" s="64" t="s">
        <v>41</v>
      </c>
    </row>
    <row r="286" spans="1:17" ht="108" x14ac:dyDescent="0.25">
      <c r="A286" s="1">
        <v>8</v>
      </c>
      <c r="B286" s="57">
        <f t="shared" si="22"/>
        <v>18</v>
      </c>
      <c r="C286" s="58" t="s">
        <v>383</v>
      </c>
      <c r="D286" s="59">
        <v>2017</v>
      </c>
      <c r="E286" s="60">
        <v>0</v>
      </c>
      <c r="F286" s="61">
        <v>504</v>
      </c>
      <c r="G286" s="60">
        <v>0</v>
      </c>
      <c r="H286" s="61">
        <v>504</v>
      </c>
      <c r="I286" s="60">
        <v>0</v>
      </c>
      <c r="J286" s="61">
        <v>504</v>
      </c>
      <c r="K286" s="60">
        <v>0</v>
      </c>
      <c r="L286" s="61">
        <v>504</v>
      </c>
      <c r="M286" s="60">
        <v>0</v>
      </c>
      <c r="N286" s="61">
        <v>0</v>
      </c>
      <c r="O286" s="62" t="s">
        <v>384</v>
      </c>
      <c r="P286" s="63" t="s">
        <v>385</v>
      </c>
      <c r="Q286" s="64" t="s">
        <v>386</v>
      </c>
    </row>
    <row r="287" spans="1:17" ht="72" x14ac:dyDescent="0.25">
      <c r="A287" s="1">
        <v>8</v>
      </c>
      <c r="B287" s="57">
        <f t="shared" si="22"/>
        <v>19</v>
      </c>
      <c r="C287" s="58" t="s">
        <v>387</v>
      </c>
      <c r="D287" s="59">
        <v>2017</v>
      </c>
      <c r="E287" s="60">
        <v>0</v>
      </c>
      <c r="F287" s="61">
        <v>993.14200000000005</v>
      </c>
      <c r="G287" s="60">
        <v>0</v>
      </c>
      <c r="H287" s="61">
        <v>993.14200000000005</v>
      </c>
      <c r="I287" s="60">
        <v>0</v>
      </c>
      <c r="J287" s="61">
        <v>941.19799999999998</v>
      </c>
      <c r="K287" s="60">
        <v>0</v>
      </c>
      <c r="L287" s="61">
        <v>941.19799999999998</v>
      </c>
      <c r="M287" s="60">
        <v>0</v>
      </c>
      <c r="N287" s="61">
        <v>0</v>
      </c>
      <c r="O287" s="62" t="s">
        <v>52</v>
      </c>
      <c r="P287" s="63" t="s">
        <v>164</v>
      </c>
      <c r="Q287" s="64" t="s">
        <v>41</v>
      </c>
    </row>
    <row r="288" spans="1:17" ht="108" x14ac:dyDescent="0.25">
      <c r="A288" s="1">
        <v>8</v>
      </c>
      <c r="B288" s="57">
        <f t="shared" si="22"/>
        <v>20</v>
      </c>
      <c r="C288" s="58" t="s">
        <v>388</v>
      </c>
      <c r="D288" s="59">
        <v>2017</v>
      </c>
      <c r="E288" s="60">
        <v>0</v>
      </c>
      <c r="F288" s="61">
        <v>1421.8219999999999</v>
      </c>
      <c r="G288" s="60">
        <v>0</v>
      </c>
      <c r="H288" s="61">
        <v>1421.8219999999999</v>
      </c>
      <c r="I288" s="60">
        <v>0</v>
      </c>
      <c r="J288" s="61">
        <v>1421.8219999999999</v>
      </c>
      <c r="K288" s="60">
        <v>0</v>
      </c>
      <c r="L288" s="61">
        <v>1421.8219999999999</v>
      </c>
      <c r="M288" s="60">
        <v>0</v>
      </c>
      <c r="N288" s="61">
        <v>0</v>
      </c>
      <c r="O288" s="62" t="s">
        <v>52</v>
      </c>
      <c r="P288" s="63" t="s">
        <v>125</v>
      </c>
      <c r="Q288" s="64" t="s">
        <v>41</v>
      </c>
    </row>
    <row r="289" spans="1:17" ht="72" x14ac:dyDescent="0.25">
      <c r="A289" s="1">
        <v>8</v>
      </c>
      <c r="B289" s="57">
        <f t="shared" si="22"/>
        <v>21</v>
      </c>
      <c r="C289" s="58" t="s">
        <v>389</v>
      </c>
      <c r="D289" s="59">
        <v>2017</v>
      </c>
      <c r="E289" s="60">
        <v>0</v>
      </c>
      <c r="F289" s="61">
        <v>195.41399999999999</v>
      </c>
      <c r="G289" s="60">
        <v>0</v>
      </c>
      <c r="H289" s="61">
        <v>195.41399999999999</v>
      </c>
      <c r="I289" s="60">
        <v>0</v>
      </c>
      <c r="J289" s="61">
        <v>195.41399999999999</v>
      </c>
      <c r="K289" s="60">
        <v>0</v>
      </c>
      <c r="L289" s="61">
        <v>195.41399999999999</v>
      </c>
      <c r="M289" s="60">
        <v>0</v>
      </c>
      <c r="N289" s="61">
        <v>0</v>
      </c>
      <c r="O289" s="62" t="s">
        <v>52</v>
      </c>
      <c r="P289" s="63" t="s">
        <v>390</v>
      </c>
      <c r="Q289" s="64" t="s">
        <v>41</v>
      </c>
    </row>
    <row r="290" spans="1:17" ht="72" x14ac:dyDescent="0.25">
      <c r="A290" s="1">
        <v>8</v>
      </c>
      <c r="B290" s="57">
        <f t="shared" si="22"/>
        <v>22</v>
      </c>
      <c r="C290" s="58" t="s">
        <v>391</v>
      </c>
      <c r="D290" s="59">
        <v>2017</v>
      </c>
      <c r="E290" s="60">
        <v>0</v>
      </c>
      <c r="F290" s="61">
        <f>4063.896+947.617</f>
        <v>5011.5129999999999</v>
      </c>
      <c r="G290" s="60">
        <v>0</v>
      </c>
      <c r="H290" s="61">
        <v>5011.5129999999999</v>
      </c>
      <c r="I290" s="60">
        <v>0</v>
      </c>
      <c r="J290" s="61">
        <v>4022.7049999999999</v>
      </c>
      <c r="K290" s="60">
        <v>0</v>
      </c>
      <c r="L290" s="61">
        <v>4022.7050599999998</v>
      </c>
      <c r="M290" s="60">
        <v>0</v>
      </c>
      <c r="N290" s="61">
        <v>0</v>
      </c>
      <c r="O290" s="62" t="s">
        <v>36</v>
      </c>
      <c r="P290" s="63"/>
      <c r="Q290" s="64"/>
    </row>
    <row r="291" spans="1:17" ht="72" x14ac:dyDescent="0.25">
      <c r="A291" s="1">
        <v>8</v>
      </c>
      <c r="B291" s="68">
        <f t="shared" si="22"/>
        <v>23</v>
      </c>
      <c r="C291" s="69" t="s">
        <v>392</v>
      </c>
      <c r="D291" s="70" t="s">
        <v>51</v>
      </c>
      <c r="E291" s="80">
        <v>1335.5989999999999</v>
      </c>
      <c r="F291" s="81">
        <f>2031.3+153.962</f>
        <v>2185.2619999999997</v>
      </c>
      <c r="G291" s="80">
        <v>1335.5989999999999</v>
      </c>
      <c r="H291" s="81">
        <v>2185.2620000000002</v>
      </c>
      <c r="I291" s="80">
        <v>1186.5619999999999</v>
      </c>
      <c r="J291" s="81">
        <v>2066.48</v>
      </c>
      <c r="K291" s="80">
        <v>1186.56176</v>
      </c>
      <c r="L291" s="81">
        <v>2066.4797899999999</v>
      </c>
      <c r="M291" s="80">
        <v>0</v>
      </c>
      <c r="N291" s="81">
        <v>0</v>
      </c>
      <c r="O291" s="73" t="s">
        <v>36</v>
      </c>
      <c r="P291" s="74"/>
      <c r="Q291" s="75"/>
    </row>
    <row r="292" spans="1:17" ht="126" x14ac:dyDescent="0.25">
      <c r="A292" s="1">
        <v>8</v>
      </c>
      <c r="B292" s="68">
        <f t="shared" si="22"/>
        <v>24</v>
      </c>
      <c r="C292" s="69" t="s">
        <v>393</v>
      </c>
      <c r="D292" s="70">
        <v>2017</v>
      </c>
      <c r="E292" s="80">
        <v>0</v>
      </c>
      <c r="F292" s="81">
        <f>1468.703-1337.677</f>
        <v>131.02600000000007</v>
      </c>
      <c r="G292" s="80">
        <v>0</v>
      </c>
      <c r="H292" s="81">
        <v>131.02600000000001</v>
      </c>
      <c r="I292" s="80">
        <v>0</v>
      </c>
      <c r="J292" s="81">
        <v>0</v>
      </c>
      <c r="K292" s="80">
        <v>0</v>
      </c>
      <c r="L292" s="81">
        <v>0</v>
      </c>
      <c r="M292" s="80">
        <v>0</v>
      </c>
      <c r="N292" s="81">
        <v>0</v>
      </c>
      <c r="O292" s="62" t="s">
        <v>36</v>
      </c>
      <c r="P292" s="74" t="s">
        <v>394</v>
      </c>
      <c r="Q292" s="75" t="s">
        <v>395</v>
      </c>
    </row>
    <row r="293" spans="1:17" ht="126" x14ac:dyDescent="0.25">
      <c r="A293" s="1">
        <v>8</v>
      </c>
      <c r="B293" s="68">
        <f t="shared" si="22"/>
        <v>25</v>
      </c>
      <c r="C293" s="69" t="s">
        <v>396</v>
      </c>
      <c r="D293" s="70">
        <v>2017</v>
      </c>
      <c r="E293" s="80">
        <v>0</v>
      </c>
      <c r="F293" s="81">
        <f>1352.909-1047.158</f>
        <v>305.7510000000002</v>
      </c>
      <c r="G293" s="80">
        <v>0</v>
      </c>
      <c r="H293" s="81">
        <v>305.75099999999998</v>
      </c>
      <c r="I293" s="80">
        <v>0</v>
      </c>
      <c r="J293" s="81">
        <v>17.254000000000001</v>
      </c>
      <c r="K293" s="80">
        <v>0</v>
      </c>
      <c r="L293" s="81">
        <v>17.254429999999999</v>
      </c>
      <c r="M293" s="80">
        <v>0</v>
      </c>
      <c r="N293" s="81">
        <v>0</v>
      </c>
      <c r="O293" s="62" t="s">
        <v>36</v>
      </c>
      <c r="P293" s="74"/>
      <c r="Q293" s="75"/>
    </row>
    <row r="294" spans="1:17" ht="108" x14ac:dyDescent="0.25">
      <c r="A294" s="1">
        <v>8</v>
      </c>
      <c r="B294" s="68">
        <f t="shared" si="22"/>
        <v>26</v>
      </c>
      <c r="C294" s="69" t="s">
        <v>397</v>
      </c>
      <c r="D294" s="70">
        <v>2017</v>
      </c>
      <c r="E294" s="80">
        <v>0</v>
      </c>
      <c r="F294" s="81">
        <v>7077.375</v>
      </c>
      <c r="G294" s="80">
        <v>0</v>
      </c>
      <c r="H294" s="81">
        <v>7077.375</v>
      </c>
      <c r="I294" s="80">
        <v>0</v>
      </c>
      <c r="J294" s="81">
        <v>7077.3729999999996</v>
      </c>
      <c r="K294" s="80">
        <v>0</v>
      </c>
      <c r="L294" s="81">
        <v>7077.3732</v>
      </c>
      <c r="M294" s="80">
        <v>0</v>
      </c>
      <c r="N294" s="81">
        <v>0</v>
      </c>
      <c r="O294" s="62" t="s">
        <v>52</v>
      </c>
      <c r="P294" s="74" t="s">
        <v>398</v>
      </c>
      <c r="Q294" s="75" t="s">
        <v>41</v>
      </c>
    </row>
    <row r="295" spans="1:17" ht="108" x14ac:dyDescent="0.25">
      <c r="A295" s="1">
        <v>8</v>
      </c>
      <c r="B295" s="68">
        <f t="shared" si="22"/>
        <v>27</v>
      </c>
      <c r="C295" s="69" t="s">
        <v>399</v>
      </c>
      <c r="D295" s="70">
        <v>2017</v>
      </c>
      <c r="E295" s="80">
        <v>0</v>
      </c>
      <c r="F295" s="81">
        <f>10162.14-7077.93</f>
        <v>3084.2099999999991</v>
      </c>
      <c r="G295" s="80">
        <v>0</v>
      </c>
      <c r="H295" s="81">
        <v>3084.21</v>
      </c>
      <c r="I295" s="80">
        <v>0</v>
      </c>
      <c r="J295" s="81">
        <v>0</v>
      </c>
      <c r="K295" s="80">
        <v>0</v>
      </c>
      <c r="L295" s="81">
        <v>0</v>
      </c>
      <c r="M295" s="80">
        <v>0</v>
      </c>
      <c r="N295" s="81">
        <v>0</v>
      </c>
      <c r="O295" s="62" t="s">
        <v>36</v>
      </c>
      <c r="P295" s="74"/>
      <c r="Q295" s="75"/>
    </row>
    <row r="296" spans="1:17" ht="72" x14ac:dyDescent="0.25">
      <c r="A296" s="1">
        <v>8</v>
      </c>
      <c r="B296" s="68">
        <f t="shared" si="22"/>
        <v>28</v>
      </c>
      <c r="C296" s="69" t="s">
        <v>400</v>
      </c>
      <c r="D296" s="70" t="s">
        <v>105</v>
      </c>
      <c r="E296" s="80">
        <v>0</v>
      </c>
      <c r="F296" s="81">
        <f>1489.871+2500</f>
        <v>3989.8710000000001</v>
      </c>
      <c r="G296" s="80">
        <v>0</v>
      </c>
      <c r="H296" s="81">
        <v>3989.8710000000001</v>
      </c>
      <c r="I296" s="80">
        <v>0</v>
      </c>
      <c r="J296" s="81">
        <v>2858.4160000000002</v>
      </c>
      <c r="K296" s="80">
        <v>0</v>
      </c>
      <c r="L296" s="81">
        <v>2858.4160000000002</v>
      </c>
      <c r="M296" s="80">
        <v>0</v>
      </c>
      <c r="N296" s="81">
        <v>0</v>
      </c>
      <c r="O296" s="62" t="s">
        <v>48</v>
      </c>
      <c r="P296" s="74"/>
      <c r="Q296" s="75"/>
    </row>
    <row r="297" spans="1:17" ht="108.75" thickBot="1" x14ac:dyDescent="0.3">
      <c r="A297" s="1">
        <v>8</v>
      </c>
      <c r="B297" s="84">
        <f t="shared" si="22"/>
        <v>29</v>
      </c>
      <c r="C297" s="85" t="s">
        <v>401</v>
      </c>
      <c r="D297" s="86">
        <v>2017</v>
      </c>
      <c r="E297" s="87">
        <v>0</v>
      </c>
      <c r="F297" s="88">
        <v>1349.28</v>
      </c>
      <c r="G297" s="87">
        <v>0</v>
      </c>
      <c r="H297" s="88">
        <v>1349.28</v>
      </c>
      <c r="I297" s="87">
        <v>0</v>
      </c>
      <c r="J297" s="88">
        <v>1300.4739999999999</v>
      </c>
      <c r="K297" s="87">
        <v>0</v>
      </c>
      <c r="L297" s="88">
        <v>1300.4738400000001</v>
      </c>
      <c r="M297" s="87">
        <v>0</v>
      </c>
      <c r="N297" s="88">
        <v>0</v>
      </c>
      <c r="O297" s="89" t="s">
        <v>52</v>
      </c>
      <c r="P297" s="93" t="s">
        <v>402</v>
      </c>
      <c r="Q297" s="94" t="s">
        <v>41</v>
      </c>
    </row>
    <row r="298" spans="1:17" ht="18" x14ac:dyDescent="0.25">
      <c r="A298" s="1">
        <v>9</v>
      </c>
      <c r="B298" s="149" t="s">
        <v>403</v>
      </c>
      <c r="C298" s="150"/>
      <c r="D298" s="150"/>
      <c r="E298" s="150"/>
      <c r="F298" s="150"/>
      <c r="G298" s="150"/>
      <c r="H298" s="150"/>
      <c r="I298" s="150"/>
      <c r="J298" s="150"/>
      <c r="K298" s="150"/>
      <c r="L298" s="150"/>
      <c r="M298" s="150"/>
      <c r="N298" s="150"/>
      <c r="O298" s="150"/>
      <c r="P298" s="150"/>
      <c r="Q298" s="151"/>
    </row>
    <row r="299" spans="1:17" ht="18" x14ac:dyDescent="0.25">
      <c r="A299" s="1">
        <v>9</v>
      </c>
      <c r="B299" s="78"/>
      <c r="C299" s="41" t="s">
        <v>27</v>
      </c>
      <c r="D299" s="42"/>
      <c r="E299" s="43">
        <f t="shared" ref="E299:N299" si="23">SUM(E300,E302:E351)</f>
        <v>42806.498</v>
      </c>
      <c r="F299" s="44">
        <f t="shared" si="23"/>
        <v>107016.24399999999</v>
      </c>
      <c r="G299" s="43">
        <f t="shared" si="23"/>
        <v>42806.498</v>
      </c>
      <c r="H299" s="44">
        <f t="shared" si="23"/>
        <v>107016.24399999999</v>
      </c>
      <c r="I299" s="43">
        <f t="shared" si="23"/>
        <v>38842.786000000007</v>
      </c>
      <c r="J299" s="44">
        <f t="shared" si="23"/>
        <v>96804.079999999987</v>
      </c>
      <c r="K299" s="43">
        <f t="shared" si="23"/>
        <v>39294.803000000007</v>
      </c>
      <c r="L299" s="44">
        <f t="shared" si="23"/>
        <v>96804.079999999987</v>
      </c>
      <c r="M299" s="43">
        <f t="shared" si="23"/>
        <v>0</v>
      </c>
      <c r="N299" s="44">
        <f t="shared" si="23"/>
        <v>0</v>
      </c>
      <c r="O299" s="95"/>
      <c r="P299" s="48">
        <v>10</v>
      </c>
      <c r="Q299" s="49"/>
    </row>
    <row r="300" spans="1:17" ht="18" x14ac:dyDescent="0.25">
      <c r="A300" s="1">
        <v>9</v>
      </c>
      <c r="B300" s="79"/>
      <c r="C300" s="50" t="s">
        <v>24</v>
      </c>
      <c r="D300" s="51"/>
      <c r="E300" s="52">
        <v>0</v>
      </c>
      <c r="F300" s="53">
        <v>0</v>
      </c>
      <c r="G300" s="52">
        <f>1190-1190</f>
        <v>0</v>
      </c>
      <c r="H300" s="53">
        <v>0</v>
      </c>
      <c r="I300" s="52"/>
      <c r="J300" s="53"/>
      <c r="K300" s="52"/>
      <c r="L300" s="53"/>
      <c r="M300" s="52"/>
      <c r="N300" s="53"/>
      <c r="O300" s="96"/>
      <c r="P300" s="30"/>
      <c r="Q300" s="31"/>
    </row>
    <row r="301" spans="1:17" ht="36" x14ac:dyDescent="0.25">
      <c r="A301" s="1">
        <v>9</v>
      </c>
      <c r="B301" s="79"/>
      <c r="C301" s="50" t="s">
        <v>25</v>
      </c>
      <c r="D301" s="51"/>
      <c r="E301" s="52">
        <f>SUM(E302:E351)</f>
        <v>42806.498</v>
      </c>
      <c r="F301" s="53">
        <f t="shared" ref="F301:N301" si="24">SUM(F302:F351)</f>
        <v>107016.24399999999</v>
      </c>
      <c r="G301" s="52">
        <f t="shared" si="24"/>
        <v>42806.498</v>
      </c>
      <c r="H301" s="53">
        <f t="shared" si="24"/>
        <v>107016.24399999999</v>
      </c>
      <c r="I301" s="52">
        <f t="shared" si="24"/>
        <v>38842.786000000007</v>
      </c>
      <c r="J301" s="53">
        <f t="shared" si="24"/>
        <v>96804.079999999987</v>
      </c>
      <c r="K301" s="52">
        <f t="shared" si="24"/>
        <v>39294.803000000007</v>
      </c>
      <c r="L301" s="53">
        <f t="shared" si="24"/>
        <v>96804.079999999987</v>
      </c>
      <c r="M301" s="97">
        <f t="shared" si="24"/>
        <v>0</v>
      </c>
      <c r="N301" s="53">
        <f t="shared" si="24"/>
        <v>0</v>
      </c>
      <c r="O301" s="96"/>
      <c r="P301" s="30"/>
      <c r="Q301" s="31"/>
    </row>
    <row r="302" spans="1:17" ht="54" x14ac:dyDescent="0.25">
      <c r="A302" s="1">
        <v>9</v>
      </c>
      <c r="B302" s="57">
        <v>1</v>
      </c>
      <c r="C302" s="58" t="s">
        <v>404</v>
      </c>
      <c r="D302" s="59" t="s">
        <v>405</v>
      </c>
      <c r="E302" s="60">
        <v>1800</v>
      </c>
      <c r="F302" s="61">
        <v>0</v>
      </c>
      <c r="G302" s="60">
        <v>1800</v>
      </c>
      <c r="H302" s="61">
        <v>0</v>
      </c>
      <c r="I302" s="60">
        <v>1799.4190000000001</v>
      </c>
      <c r="J302" s="61">
        <v>0</v>
      </c>
      <c r="K302" s="60">
        <v>1799.4190000000001</v>
      </c>
      <c r="L302" s="61">
        <v>0</v>
      </c>
      <c r="M302" s="60">
        <v>0</v>
      </c>
      <c r="N302" s="61">
        <v>0</v>
      </c>
      <c r="O302" s="62" t="s">
        <v>36</v>
      </c>
      <c r="P302" s="63"/>
      <c r="Q302" s="64"/>
    </row>
    <row r="303" spans="1:17" ht="54" x14ac:dyDescent="0.25">
      <c r="A303" s="1">
        <v>9</v>
      </c>
      <c r="B303" s="57">
        <f>B302+1</f>
        <v>2</v>
      </c>
      <c r="C303" s="58" t="s">
        <v>406</v>
      </c>
      <c r="D303" s="59" t="s">
        <v>407</v>
      </c>
      <c r="E303" s="60">
        <v>1000</v>
      </c>
      <c r="F303" s="61">
        <v>0</v>
      </c>
      <c r="G303" s="60">
        <v>1000</v>
      </c>
      <c r="H303" s="61">
        <v>0</v>
      </c>
      <c r="I303" s="60">
        <v>1000</v>
      </c>
      <c r="J303" s="61">
        <v>0</v>
      </c>
      <c r="K303" s="60">
        <v>1000</v>
      </c>
      <c r="L303" s="61">
        <v>0</v>
      </c>
      <c r="M303" s="60">
        <v>0</v>
      </c>
      <c r="N303" s="61">
        <v>0</v>
      </c>
      <c r="O303" s="62" t="s">
        <v>36</v>
      </c>
      <c r="P303" s="63"/>
      <c r="Q303" s="64"/>
    </row>
    <row r="304" spans="1:17" ht="90" x14ac:dyDescent="0.25">
      <c r="A304" s="1">
        <v>9</v>
      </c>
      <c r="B304" s="57">
        <f t="shared" ref="B304:B351" si="25">B303+1</f>
        <v>3</v>
      </c>
      <c r="C304" s="58" t="s">
        <v>408</v>
      </c>
      <c r="D304" s="59" t="s">
        <v>113</v>
      </c>
      <c r="E304" s="60">
        <v>500</v>
      </c>
      <c r="F304" s="61">
        <v>0</v>
      </c>
      <c r="G304" s="60">
        <v>500</v>
      </c>
      <c r="H304" s="61">
        <v>0</v>
      </c>
      <c r="I304" s="60">
        <v>500</v>
      </c>
      <c r="J304" s="61">
        <v>0</v>
      </c>
      <c r="K304" s="60">
        <v>500</v>
      </c>
      <c r="L304" s="61">
        <v>0</v>
      </c>
      <c r="M304" s="60">
        <v>0</v>
      </c>
      <c r="N304" s="61">
        <v>0</v>
      </c>
      <c r="O304" s="62" t="s">
        <v>36</v>
      </c>
      <c r="P304" s="63"/>
      <c r="Q304" s="64"/>
    </row>
    <row r="305" spans="1:17" ht="72" x14ac:dyDescent="0.25">
      <c r="A305" s="1">
        <v>9</v>
      </c>
      <c r="B305" s="57">
        <f t="shared" si="25"/>
        <v>4</v>
      </c>
      <c r="C305" s="58" t="s">
        <v>409</v>
      </c>
      <c r="D305" s="59" t="s">
        <v>113</v>
      </c>
      <c r="E305" s="60">
        <v>535.49199999999996</v>
      </c>
      <c r="F305" s="61">
        <v>0</v>
      </c>
      <c r="G305" s="60">
        <v>535.49199999999996</v>
      </c>
      <c r="H305" s="61">
        <v>0</v>
      </c>
      <c r="I305" s="60">
        <v>535.49199999999996</v>
      </c>
      <c r="J305" s="61">
        <v>0</v>
      </c>
      <c r="K305" s="60">
        <v>535.49199999999996</v>
      </c>
      <c r="L305" s="61">
        <v>0</v>
      </c>
      <c r="M305" s="60">
        <v>0</v>
      </c>
      <c r="N305" s="61">
        <v>0</v>
      </c>
      <c r="O305" s="62" t="s">
        <v>36</v>
      </c>
      <c r="P305" s="63"/>
      <c r="Q305" s="64"/>
    </row>
    <row r="306" spans="1:17" ht="54" x14ac:dyDescent="0.25">
      <c r="A306" s="1">
        <v>9</v>
      </c>
      <c r="B306" s="57">
        <f t="shared" si="25"/>
        <v>5</v>
      </c>
      <c r="C306" s="58" t="s">
        <v>410</v>
      </c>
      <c r="D306" s="59" t="s">
        <v>51</v>
      </c>
      <c r="E306" s="60">
        <v>500</v>
      </c>
      <c r="F306" s="61">
        <v>0</v>
      </c>
      <c r="G306" s="60">
        <v>500</v>
      </c>
      <c r="H306" s="61">
        <v>0</v>
      </c>
      <c r="I306" s="60">
        <v>500</v>
      </c>
      <c r="J306" s="61">
        <v>0</v>
      </c>
      <c r="K306" s="60">
        <v>500</v>
      </c>
      <c r="L306" s="61">
        <v>0</v>
      </c>
      <c r="M306" s="60">
        <v>0</v>
      </c>
      <c r="N306" s="61">
        <v>0</v>
      </c>
      <c r="O306" s="62" t="s">
        <v>36</v>
      </c>
      <c r="P306" s="63"/>
      <c r="Q306" s="64"/>
    </row>
    <row r="307" spans="1:17" ht="72" x14ac:dyDescent="0.25">
      <c r="A307" s="1">
        <v>9</v>
      </c>
      <c r="B307" s="57">
        <f t="shared" si="25"/>
        <v>6</v>
      </c>
      <c r="C307" s="58" t="s">
        <v>411</v>
      </c>
      <c r="D307" s="59" t="s">
        <v>360</v>
      </c>
      <c r="E307" s="60">
        <v>500</v>
      </c>
      <c r="F307" s="61">
        <v>0</v>
      </c>
      <c r="G307" s="60">
        <v>500</v>
      </c>
      <c r="H307" s="61">
        <v>0</v>
      </c>
      <c r="I307" s="60">
        <v>500</v>
      </c>
      <c r="J307" s="61">
        <v>0</v>
      </c>
      <c r="K307" s="60">
        <v>500</v>
      </c>
      <c r="L307" s="61">
        <v>0</v>
      </c>
      <c r="M307" s="60">
        <v>0</v>
      </c>
      <c r="N307" s="61">
        <v>0</v>
      </c>
      <c r="O307" s="62" t="s">
        <v>36</v>
      </c>
      <c r="P307" s="63"/>
      <c r="Q307" s="64"/>
    </row>
    <row r="308" spans="1:17" ht="54" x14ac:dyDescent="0.25">
      <c r="A308" s="1">
        <v>9</v>
      </c>
      <c r="B308" s="57">
        <f t="shared" si="25"/>
        <v>7</v>
      </c>
      <c r="C308" s="58" t="s">
        <v>412</v>
      </c>
      <c r="D308" s="59" t="s">
        <v>405</v>
      </c>
      <c r="E308" s="60">
        <v>500</v>
      </c>
      <c r="F308" s="61">
        <v>0</v>
      </c>
      <c r="G308" s="60">
        <v>500</v>
      </c>
      <c r="H308" s="61">
        <v>0</v>
      </c>
      <c r="I308" s="60">
        <v>500</v>
      </c>
      <c r="J308" s="61">
        <v>0</v>
      </c>
      <c r="K308" s="60">
        <v>500</v>
      </c>
      <c r="L308" s="61">
        <v>0</v>
      </c>
      <c r="M308" s="60">
        <v>0</v>
      </c>
      <c r="N308" s="61">
        <v>0</v>
      </c>
      <c r="O308" s="62" t="s">
        <v>36</v>
      </c>
      <c r="P308" s="63"/>
      <c r="Q308" s="64"/>
    </row>
    <row r="309" spans="1:17" ht="54" x14ac:dyDescent="0.25">
      <c r="A309" s="1">
        <v>9</v>
      </c>
      <c r="B309" s="57">
        <f t="shared" si="25"/>
        <v>8</v>
      </c>
      <c r="C309" s="58" t="s">
        <v>413</v>
      </c>
      <c r="D309" s="59" t="s">
        <v>29</v>
      </c>
      <c r="E309" s="60">
        <f>29822.742-25907.545</f>
        <v>3915.1970000000001</v>
      </c>
      <c r="F309" s="61">
        <v>25907.544999999998</v>
      </c>
      <c r="G309" s="60">
        <v>3915.1970000000001</v>
      </c>
      <c r="H309" s="61">
        <v>25907.544999999998</v>
      </c>
      <c r="I309" s="60">
        <v>0</v>
      </c>
      <c r="J309" s="61">
        <v>15811.584999999999</v>
      </c>
      <c r="K309" s="60">
        <v>0</v>
      </c>
      <c r="L309" s="61">
        <v>15811.584999999999</v>
      </c>
      <c r="M309" s="60">
        <v>0</v>
      </c>
      <c r="N309" s="61">
        <v>0</v>
      </c>
      <c r="O309" s="62" t="s">
        <v>36</v>
      </c>
      <c r="P309" s="63"/>
      <c r="Q309" s="64"/>
    </row>
    <row r="310" spans="1:17" ht="90" x14ac:dyDescent="0.25">
      <c r="A310" s="1">
        <v>9</v>
      </c>
      <c r="B310" s="57">
        <f t="shared" si="25"/>
        <v>9</v>
      </c>
      <c r="C310" s="58" t="s">
        <v>414</v>
      </c>
      <c r="D310" s="59" t="s">
        <v>38</v>
      </c>
      <c r="E310" s="60">
        <f>42000-39000+1000</f>
        <v>4000</v>
      </c>
      <c r="F310" s="61">
        <f>39000+8000</f>
        <v>47000</v>
      </c>
      <c r="G310" s="60">
        <v>4000</v>
      </c>
      <c r="H310" s="61">
        <v>47000</v>
      </c>
      <c r="I310" s="60">
        <v>4000</v>
      </c>
      <c r="J310" s="61">
        <v>47000</v>
      </c>
      <c r="K310" s="60">
        <v>4000</v>
      </c>
      <c r="L310" s="61">
        <v>47000</v>
      </c>
      <c r="M310" s="60">
        <v>0</v>
      </c>
      <c r="N310" s="61">
        <v>0</v>
      </c>
      <c r="O310" s="62" t="s">
        <v>36</v>
      </c>
      <c r="P310" s="63"/>
      <c r="Q310" s="64"/>
    </row>
    <row r="311" spans="1:17" ht="54" x14ac:dyDescent="0.25">
      <c r="A311" s="1">
        <v>9</v>
      </c>
      <c r="B311" s="57">
        <f t="shared" si="25"/>
        <v>10</v>
      </c>
      <c r="C311" s="58" t="s">
        <v>415</v>
      </c>
      <c r="D311" s="59" t="s">
        <v>29</v>
      </c>
      <c r="E311" s="60">
        <f>5000-3000</f>
        <v>2000</v>
      </c>
      <c r="F311" s="61">
        <v>3000</v>
      </c>
      <c r="G311" s="60">
        <v>2000</v>
      </c>
      <c r="H311" s="61">
        <v>3000</v>
      </c>
      <c r="I311" s="60">
        <v>2000</v>
      </c>
      <c r="J311" s="61">
        <v>3000</v>
      </c>
      <c r="K311" s="60">
        <v>2000</v>
      </c>
      <c r="L311" s="61">
        <v>3000</v>
      </c>
      <c r="M311" s="60">
        <v>0</v>
      </c>
      <c r="N311" s="61">
        <v>0</v>
      </c>
      <c r="O311" s="62" t="s">
        <v>36</v>
      </c>
      <c r="P311" s="63"/>
      <c r="Q311" s="64"/>
    </row>
    <row r="312" spans="1:17" ht="72" x14ac:dyDescent="0.25">
      <c r="A312" s="1">
        <v>9</v>
      </c>
      <c r="B312" s="57">
        <f t="shared" si="25"/>
        <v>11</v>
      </c>
      <c r="C312" s="58" t="s">
        <v>416</v>
      </c>
      <c r="D312" s="59" t="s">
        <v>29</v>
      </c>
      <c r="E312" s="60">
        <f>9000-7000</f>
        <v>2000</v>
      </c>
      <c r="F312" s="61">
        <v>7000</v>
      </c>
      <c r="G312" s="60">
        <v>2000</v>
      </c>
      <c r="H312" s="61">
        <v>7000</v>
      </c>
      <c r="I312" s="60">
        <v>2000</v>
      </c>
      <c r="J312" s="61">
        <v>7000</v>
      </c>
      <c r="K312" s="60">
        <v>2000</v>
      </c>
      <c r="L312" s="61">
        <v>7000</v>
      </c>
      <c r="M312" s="60">
        <v>0</v>
      </c>
      <c r="N312" s="61">
        <v>0</v>
      </c>
      <c r="O312" s="62" t="s">
        <v>36</v>
      </c>
      <c r="P312" s="63"/>
      <c r="Q312" s="64"/>
    </row>
    <row r="313" spans="1:17" ht="72" x14ac:dyDescent="0.25">
      <c r="A313" s="1">
        <v>9</v>
      </c>
      <c r="B313" s="57">
        <f t="shared" si="25"/>
        <v>12</v>
      </c>
      <c r="C313" s="58" t="s">
        <v>417</v>
      </c>
      <c r="D313" s="59" t="s">
        <v>105</v>
      </c>
      <c r="E313" s="60">
        <f>9000-7000</f>
        <v>2000</v>
      </c>
      <c r="F313" s="61">
        <v>7000</v>
      </c>
      <c r="G313" s="60">
        <v>2000</v>
      </c>
      <c r="H313" s="61">
        <v>7000</v>
      </c>
      <c r="I313" s="60">
        <v>2000</v>
      </c>
      <c r="J313" s="61">
        <v>7000</v>
      </c>
      <c r="K313" s="60">
        <v>2000</v>
      </c>
      <c r="L313" s="61">
        <v>7000</v>
      </c>
      <c r="M313" s="60">
        <v>0</v>
      </c>
      <c r="N313" s="61">
        <v>0</v>
      </c>
      <c r="O313" s="62" t="s">
        <v>36</v>
      </c>
      <c r="P313" s="63"/>
      <c r="Q313" s="64"/>
    </row>
    <row r="314" spans="1:17" ht="72" x14ac:dyDescent="0.25">
      <c r="A314" s="1">
        <v>9</v>
      </c>
      <c r="B314" s="57">
        <f t="shared" si="25"/>
        <v>13</v>
      </c>
      <c r="C314" s="58" t="s">
        <v>418</v>
      </c>
      <c r="D314" s="59" t="s">
        <v>105</v>
      </c>
      <c r="E314" s="60">
        <v>1301.6199999999999</v>
      </c>
      <c r="F314" s="61">
        <v>0</v>
      </c>
      <c r="G314" s="60">
        <v>1301.6199999999999</v>
      </c>
      <c r="H314" s="61">
        <v>0</v>
      </c>
      <c r="I314" s="60">
        <v>1301.6199999999999</v>
      </c>
      <c r="J314" s="61">
        <v>0</v>
      </c>
      <c r="K314" s="60">
        <v>1301.6199999999999</v>
      </c>
      <c r="L314" s="61">
        <v>0</v>
      </c>
      <c r="M314" s="60">
        <v>0</v>
      </c>
      <c r="N314" s="61">
        <v>0</v>
      </c>
      <c r="O314" s="62" t="s">
        <v>52</v>
      </c>
      <c r="P314" s="63" t="s">
        <v>419</v>
      </c>
      <c r="Q314" s="64" t="s">
        <v>41</v>
      </c>
    </row>
    <row r="315" spans="1:17" ht="54" x14ac:dyDescent="0.25">
      <c r="A315" s="1">
        <v>9</v>
      </c>
      <c r="B315" s="57">
        <f t="shared" si="25"/>
        <v>14</v>
      </c>
      <c r="C315" s="58" t="s">
        <v>420</v>
      </c>
      <c r="D315" s="59" t="s">
        <v>105</v>
      </c>
      <c r="E315" s="60">
        <v>548.47</v>
      </c>
      <c r="F315" s="61">
        <v>0</v>
      </c>
      <c r="G315" s="60">
        <v>548.47</v>
      </c>
      <c r="H315" s="61">
        <v>0</v>
      </c>
      <c r="I315" s="60">
        <v>548.47</v>
      </c>
      <c r="J315" s="61">
        <v>0</v>
      </c>
      <c r="K315" s="60">
        <v>548.47</v>
      </c>
      <c r="L315" s="61">
        <v>0</v>
      </c>
      <c r="M315" s="60">
        <v>0</v>
      </c>
      <c r="N315" s="61">
        <v>0</v>
      </c>
      <c r="O315" s="62" t="s">
        <v>52</v>
      </c>
      <c r="P315" s="63" t="s">
        <v>421</v>
      </c>
      <c r="Q315" s="64" t="s">
        <v>422</v>
      </c>
    </row>
    <row r="316" spans="1:17" ht="54" x14ac:dyDescent="0.25">
      <c r="A316" s="1">
        <v>9</v>
      </c>
      <c r="B316" s="57">
        <f t="shared" si="25"/>
        <v>15</v>
      </c>
      <c r="C316" s="58" t="s">
        <v>423</v>
      </c>
      <c r="D316" s="59" t="s">
        <v>105</v>
      </c>
      <c r="E316" s="60">
        <v>743.34</v>
      </c>
      <c r="F316" s="61">
        <v>0</v>
      </c>
      <c r="G316" s="60">
        <v>743.34</v>
      </c>
      <c r="H316" s="61">
        <v>0</v>
      </c>
      <c r="I316" s="60">
        <v>743.34</v>
      </c>
      <c r="J316" s="61">
        <v>0</v>
      </c>
      <c r="K316" s="60">
        <v>743.34</v>
      </c>
      <c r="L316" s="61">
        <v>0</v>
      </c>
      <c r="M316" s="60">
        <v>0</v>
      </c>
      <c r="N316" s="61">
        <v>0</v>
      </c>
      <c r="O316" s="62" t="s">
        <v>52</v>
      </c>
      <c r="P316" s="63" t="s">
        <v>424</v>
      </c>
      <c r="Q316" s="64" t="s">
        <v>41</v>
      </c>
    </row>
    <row r="317" spans="1:17" ht="54" x14ac:dyDescent="0.25">
      <c r="A317" s="1">
        <v>9</v>
      </c>
      <c r="B317" s="57">
        <f t="shared" si="25"/>
        <v>16</v>
      </c>
      <c r="C317" s="58" t="s">
        <v>425</v>
      </c>
      <c r="D317" s="59" t="s">
        <v>105</v>
      </c>
      <c r="E317" s="60">
        <v>406.57</v>
      </c>
      <c r="F317" s="61">
        <v>0</v>
      </c>
      <c r="G317" s="60">
        <v>406.57</v>
      </c>
      <c r="H317" s="61">
        <v>0</v>
      </c>
      <c r="I317" s="60">
        <v>406.57</v>
      </c>
      <c r="J317" s="61">
        <v>0</v>
      </c>
      <c r="K317" s="60">
        <v>406.57</v>
      </c>
      <c r="L317" s="61">
        <v>0</v>
      </c>
      <c r="M317" s="60">
        <v>0</v>
      </c>
      <c r="N317" s="61">
        <v>0</v>
      </c>
      <c r="O317" s="62" t="s">
        <v>52</v>
      </c>
      <c r="P317" s="63" t="s">
        <v>426</v>
      </c>
      <c r="Q317" s="64" t="s">
        <v>427</v>
      </c>
    </row>
    <row r="318" spans="1:17" ht="72" x14ac:dyDescent="0.25">
      <c r="A318" s="1">
        <v>9</v>
      </c>
      <c r="B318" s="57">
        <f t="shared" si="25"/>
        <v>17</v>
      </c>
      <c r="C318" s="58" t="s">
        <v>428</v>
      </c>
      <c r="D318" s="59" t="s">
        <v>105</v>
      </c>
      <c r="E318" s="60">
        <v>300</v>
      </c>
      <c r="F318" s="61">
        <v>0</v>
      </c>
      <c r="G318" s="60">
        <v>300</v>
      </c>
      <c r="H318" s="61">
        <v>0</v>
      </c>
      <c r="I318" s="60">
        <v>297.74599999999998</v>
      </c>
      <c r="J318" s="61">
        <v>0</v>
      </c>
      <c r="K318" s="60">
        <v>297.74599999999998</v>
      </c>
      <c r="L318" s="61">
        <v>0</v>
      </c>
      <c r="M318" s="60">
        <v>0</v>
      </c>
      <c r="N318" s="61">
        <v>0</v>
      </c>
      <c r="O318" s="62" t="s">
        <v>52</v>
      </c>
      <c r="P318" s="63" t="s">
        <v>118</v>
      </c>
      <c r="Q318" s="64" t="s">
        <v>41</v>
      </c>
    </row>
    <row r="319" spans="1:17" ht="144" x14ac:dyDescent="0.25">
      <c r="A319" s="1">
        <v>9</v>
      </c>
      <c r="B319" s="57">
        <f t="shared" si="25"/>
        <v>18</v>
      </c>
      <c r="C319" s="58" t="s">
        <v>429</v>
      </c>
      <c r="D319" s="59" t="s">
        <v>38</v>
      </c>
      <c r="E319" s="60">
        <f>9000-8000</f>
        <v>1000</v>
      </c>
      <c r="F319" s="61">
        <v>8000</v>
      </c>
      <c r="G319" s="60">
        <v>1000</v>
      </c>
      <c r="H319" s="61">
        <v>8000</v>
      </c>
      <c r="I319" s="60">
        <v>1000</v>
      </c>
      <c r="J319" s="61">
        <v>8000</v>
      </c>
      <c r="K319" s="60">
        <v>1000</v>
      </c>
      <c r="L319" s="61">
        <v>8000</v>
      </c>
      <c r="M319" s="60">
        <v>0</v>
      </c>
      <c r="N319" s="61">
        <v>0</v>
      </c>
      <c r="O319" s="62" t="s">
        <v>36</v>
      </c>
      <c r="P319" s="63"/>
      <c r="Q319" s="64"/>
    </row>
    <row r="320" spans="1:17" ht="72" x14ac:dyDescent="0.25">
      <c r="A320" s="1">
        <v>9</v>
      </c>
      <c r="B320" s="57">
        <f t="shared" si="25"/>
        <v>19</v>
      </c>
      <c r="C320" s="58" t="s">
        <v>430</v>
      </c>
      <c r="D320" s="59" t="s">
        <v>101</v>
      </c>
      <c r="E320" s="60">
        <f>1700-700</f>
        <v>1000</v>
      </c>
      <c r="F320" s="61">
        <v>700</v>
      </c>
      <c r="G320" s="60">
        <v>1000</v>
      </c>
      <c r="H320" s="61">
        <v>700</v>
      </c>
      <c r="I320" s="60">
        <v>1000</v>
      </c>
      <c r="J320" s="61">
        <v>700</v>
      </c>
      <c r="K320" s="60">
        <v>1000</v>
      </c>
      <c r="L320" s="61">
        <v>700</v>
      </c>
      <c r="M320" s="60">
        <v>0</v>
      </c>
      <c r="N320" s="61">
        <v>0</v>
      </c>
      <c r="O320" s="62" t="s">
        <v>102</v>
      </c>
      <c r="P320" s="63"/>
      <c r="Q320" s="64"/>
    </row>
    <row r="321" spans="1:17" ht="90" x14ac:dyDescent="0.25">
      <c r="A321" s="1">
        <v>9</v>
      </c>
      <c r="B321" s="57">
        <f t="shared" si="25"/>
        <v>20</v>
      </c>
      <c r="C321" s="58" t="s">
        <v>431</v>
      </c>
      <c r="D321" s="59" t="s">
        <v>35</v>
      </c>
      <c r="E321" s="60">
        <v>900</v>
      </c>
      <c r="F321" s="61">
        <v>0</v>
      </c>
      <c r="G321" s="60">
        <v>900</v>
      </c>
      <c r="H321" s="61">
        <v>0</v>
      </c>
      <c r="I321" s="60">
        <v>900</v>
      </c>
      <c r="J321" s="61">
        <v>0</v>
      </c>
      <c r="K321" s="60">
        <v>900</v>
      </c>
      <c r="L321" s="61">
        <v>0</v>
      </c>
      <c r="M321" s="60">
        <v>0</v>
      </c>
      <c r="N321" s="61">
        <v>0</v>
      </c>
      <c r="O321" s="62" t="s">
        <v>36</v>
      </c>
      <c r="P321" s="63"/>
      <c r="Q321" s="64"/>
    </row>
    <row r="322" spans="1:17" ht="90" x14ac:dyDescent="0.25">
      <c r="A322" s="1">
        <v>9</v>
      </c>
      <c r="B322" s="57">
        <f t="shared" si="25"/>
        <v>21</v>
      </c>
      <c r="C322" s="58" t="s">
        <v>432</v>
      </c>
      <c r="D322" s="59" t="s">
        <v>29</v>
      </c>
      <c r="E322" s="60">
        <v>0</v>
      </c>
      <c r="F322" s="61">
        <v>900</v>
      </c>
      <c r="G322" s="60">
        <v>0</v>
      </c>
      <c r="H322" s="61">
        <v>900</v>
      </c>
      <c r="I322" s="60">
        <v>0</v>
      </c>
      <c r="J322" s="61">
        <v>899.55600000000004</v>
      </c>
      <c r="K322" s="60">
        <v>0</v>
      </c>
      <c r="L322" s="61">
        <v>899.55600000000004</v>
      </c>
      <c r="M322" s="60">
        <v>0</v>
      </c>
      <c r="N322" s="61">
        <v>0</v>
      </c>
      <c r="O322" s="62" t="s">
        <v>36</v>
      </c>
      <c r="P322" s="63"/>
      <c r="Q322" s="64"/>
    </row>
    <row r="323" spans="1:17" ht="108" x14ac:dyDescent="0.25">
      <c r="A323" s="1">
        <v>9</v>
      </c>
      <c r="B323" s="57">
        <f t="shared" si="25"/>
        <v>22</v>
      </c>
      <c r="C323" s="58" t="s">
        <v>433</v>
      </c>
      <c r="D323" s="59" t="s">
        <v>29</v>
      </c>
      <c r="E323" s="60">
        <v>1240</v>
      </c>
      <c r="F323" s="61">
        <v>0</v>
      </c>
      <c r="G323" s="60">
        <v>1240</v>
      </c>
      <c r="H323" s="61">
        <v>0</v>
      </c>
      <c r="I323" s="60">
        <v>1240</v>
      </c>
      <c r="J323" s="61">
        <v>0</v>
      </c>
      <c r="K323" s="60">
        <v>1240</v>
      </c>
      <c r="L323" s="61">
        <v>0</v>
      </c>
      <c r="M323" s="60">
        <v>0</v>
      </c>
      <c r="N323" s="61">
        <v>0</v>
      </c>
      <c r="O323" s="62" t="s">
        <v>36</v>
      </c>
      <c r="P323" s="63"/>
      <c r="Q323" s="64"/>
    </row>
    <row r="324" spans="1:17" ht="72" x14ac:dyDescent="0.25">
      <c r="A324" s="1">
        <v>9</v>
      </c>
      <c r="B324" s="57">
        <f t="shared" si="25"/>
        <v>23</v>
      </c>
      <c r="C324" s="58" t="s">
        <v>434</v>
      </c>
      <c r="D324" s="59" t="s">
        <v>360</v>
      </c>
      <c r="E324" s="60">
        <v>1200</v>
      </c>
      <c r="F324" s="61">
        <v>0</v>
      </c>
      <c r="G324" s="60">
        <v>1200</v>
      </c>
      <c r="H324" s="61">
        <v>0</v>
      </c>
      <c r="I324" s="60">
        <v>1200</v>
      </c>
      <c r="J324" s="61">
        <v>0</v>
      </c>
      <c r="K324" s="60">
        <v>1200</v>
      </c>
      <c r="L324" s="61">
        <v>0</v>
      </c>
      <c r="M324" s="60">
        <v>0</v>
      </c>
      <c r="N324" s="61">
        <v>0</v>
      </c>
      <c r="O324" s="62" t="s">
        <v>36</v>
      </c>
      <c r="P324" s="63"/>
      <c r="Q324" s="64"/>
    </row>
    <row r="325" spans="1:17" ht="54" x14ac:dyDescent="0.25">
      <c r="A325" s="1">
        <v>9</v>
      </c>
      <c r="B325" s="57">
        <f t="shared" si="25"/>
        <v>24</v>
      </c>
      <c r="C325" s="58" t="s">
        <v>435</v>
      </c>
      <c r="D325" s="59" t="s">
        <v>113</v>
      </c>
      <c r="E325" s="60">
        <v>1000</v>
      </c>
      <c r="F325" s="61">
        <v>0</v>
      </c>
      <c r="G325" s="60">
        <v>1000</v>
      </c>
      <c r="H325" s="61">
        <v>0</v>
      </c>
      <c r="I325" s="60">
        <v>1000</v>
      </c>
      <c r="J325" s="61">
        <v>0</v>
      </c>
      <c r="K325" s="60">
        <v>1000</v>
      </c>
      <c r="L325" s="61">
        <v>0</v>
      </c>
      <c r="M325" s="60">
        <v>0</v>
      </c>
      <c r="N325" s="61">
        <v>0</v>
      </c>
      <c r="O325" s="62" t="s">
        <v>52</v>
      </c>
      <c r="P325" s="63" t="s">
        <v>436</v>
      </c>
      <c r="Q325" s="64" t="s">
        <v>41</v>
      </c>
    </row>
    <row r="326" spans="1:17" ht="90" x14ac:dyDescent="0.25">
      <c r="A326" s="1">
        <v>9</v>
      </c>
      <c r="B326" s="57">
        <f t="shared" si="25"/>
        <v>25</v>
      </c>
      <c r="C326" s="58" t="s">
        <v>437</v>
      </c>
      <c r="D326" s="59" t="s">
        <v>29</v>
      </c>
      <c r="E326" s="60">
        <v>0</v>
      </c>
      <c r="F326" s="61">
        <v>500</v>
      </c>
      <c r="G326" s="60">
        <v>0</v>
      </c>
      <c r="H326" s="61">
        <v>500</v>
      </c>
      <c r="I326" s="60">
        <v>0</v>
      </c>
      <c r="J326" s="61">
        <v>500</v>
      </c>
      <c r="K326" s="60">
        <v>0</v>
      </c>
      <c r="L326" s="61">
        <v>500</v>
      </c>
      <c r="M326" s="60">
        <v>0</v>
      </c>
      <c r="N326" s="61">
        <v>0</v>
      </c>
      <c r="O326" s="62" t="s">
        <v>36</v>
      </c>
      <c r="P326" s="63"/>
      <c r="Q326" s="64"/>
    </row>
    <row r="327" spans="1:17" ht="108" x14ac:dyDescent="0.25">
      <c r="A327" s="1">
        <v>9</v>
      </c>
      <c r="B327" s="57">
        <f t="shared" si="25"/>
        <v>26</v>
      </c>
      <c r="C327" s="58" t="s">
        <v>438</v>
      </c>
      <c r="D327" s="59" t="s">
        <v>29</v>
      </c>
      <c r="E327" s="60">
        <v>0</v>
      </c>
      <c r="F327" s="61">
        <v>440</v>
      </c>
      <c r="G327" s="60">
        <v>0</v>
      </c>
      <c r="H327" s="61">
        <v>440</v>
      </c>
      <c r="I327" s="60">
        <v>0</v>
      </c>
      <c r="J327" s="61">
        <v>440</v>
      </c>
      <c r="K327" s="60">
        <v>0</v>
      </c>
      <c r="L327" s="61">
        <v>440</v>
      </c>
      <c r="M327" s="60">
        <v>0</v>
      </c>
      <c r="N327" s="61">
        <v>0</v>
      </c>
      <c r="O327" s="62" t="s">
        <v>36</v>
      </c>
      <c r="P327" s="63"/>
      <c r="Q327" s="64"/>
    </row>
    <row r="328" spans="1:17" ht="108" x14ac:dyDescent="0.25">
      <c r="A328" s="1">
        <v>9</v>
      </c>
      <c r="B328" s="57">
        <f t="shared" si="25"/>
        <v>27</v>
      </c>
      <c r="C328" s="58" t="s">
        <v>439</v>
      </c>
      <c r="D328" s="59" t="s">
        <v>29</v>
      </c>
      <c r="E328" s="60">
        <v>412.5</v>
      </c>
      <c r="F328" s="61">
        <v>0</v>
      </c>
      <c r="G328" s="60">
        <v>412.5</v>
      </c>
      <c r="H328" s="61">
        <v>0</v>
      </c>
      <c r="I328" s="60">
        <v>412.5</v>
      </c>
      <c r="J328" s="61">
        <v>0</v>
      </c>
      <c r="K328" s="60">
        <v>412.5</v>
      </c>
      <c r="L328" s="61">
        <v>0</v>
      </c>
      <c r="M328" s="60">
        <v>0</v>
      </c>
      <c r="N328" s="61">
        <v>0</v>
      </c>
      <c r="O328" s="62" t="s">
        <v>36</v>
      </c>
      <c r="P328" s="63"/>
      <c r="Q328" s="64"/>
    </row>
    <row r="329" spans="1:17" ht="108" x14ac:dyDescent="0.25">
      <c r="A329" s="1">
        <v>9</v>
      </c>
      <c r="B329" s="57">
        <f t="shared" si="25"/>
        <v>28</v>
      </c>
      <c r="C329" s="58" t="s">
        <v>440</v>
      </c>
      <c r="D329" s="59" t="s">
        <v>29</v>
      </c>
      <c r="E329" s="60">
        <v>0</v>
      </c>
      <c r="F329" s="61">
        <v>260</v>
      </c>
      <c r="G329" s="60">
        <v>0</v>
      </c>
      <c r="H329" s="61">
        <v>260</v>
      </c>
      <c r="I329" s="60">
        <v>0</v>
      </c>
      <c r="J329" s="61">
        <v>260</v>
      </c>
      <c r="K329" s="60">
        <v>0</v>
      </c>
      <c r="L329" s="61">
        <v>260</v>
      </c>
      <c r="M329" s="60">
        <v>0</v>
      </c>
      <c r="N329" s="61">
        <v>0</v>
      </c>
      <c r="O329" s="62" t="s">
        <v>36</v>
      </c>
      <c r="P329" s="63"/>
      <c r="Q329" s="64"/>
    </row>
    <row r="330" spans="1:17" ht="54" x14ac:dyDescent="0.25">
      <c r="A330" s="1">
        <v>9</v>
      </c>
      <c r="B330" s="57">
        <f t="shared" si="25"/>
        <v>29</v>
      </c>
      <c r="C330" s="58" t="s">
        <v>441</v>
      </c>
      <c r="D330" s="59" t="s">
        <v>29</v>
      </c>
      <c r="E330" s="60">
        <v>1000</v>
      </c>
      <c r="F330" s="61">
        <v>0</v>
      </c>
      <c r="G330" s="60">
        <v>1000</v>
      </c>
      <c r="H330" s="61">
        <v>0</v>
      </c>
      <c r="I330" s="60">
        <v>1000</v>
      </c>
      <c r="J330" s="61">
        <v>0</v>
      </c>
      <c r="K330" s="60">
        <v>1000</v>
      </c>
      <c r="L330" s="61">
        <v>0</v>
      </c>
      <c r="M330" s="60">
        <v>0</v>
      </c>
      <c r="N330" s="61">
        <v>0</v>
      </c>
      <c r="O330" s="62" t="s">
        <v>36</v>
      </c>
      <c r="P330" s="63"/>
      <c r="Q330" s="64"/>
    </row>
    <row r="331" spans="1:17" ht="108" x14ac:dyDescent="0.25">
      <c r="A331" s="1">
        <v>9</v>
      </c>
      <c r="B331" s="57">
        <f t="shared" si="25"/>
        <v>30</v>
      </c>
      <c r="C331" s="58" t="s">
        <v>442</v>
      </c>
      <c r="D331" s="59" t="s">
        <v>101</v>
      </c>
      <c r="E331" s="60">
        <f>4000-3000</f>
        <v>1000</v>
      </c>
      <c r="F331" s="61">
        <v>3000</v>
      </c>
      <c r="G331" s="60">
        <v>1000</v>
      </c>
      <c r="H331" s="61">
        <v>3000</v>
      </c>
      <c r="I331" s="60">
        <v>1000</v>
      </c>
      <c r="J331" s="61">
        <v>3000</v>
      </c>
      <c r="K331" s="60">
        <v>1000</v>
      </c>
      <c r="L331" s="61">
        <v>3000</v>
      </c>
      <c r="M331" s="60">
        <v>0</v>
      </c>
      <c r="N331" s="61">
        <v>0</v>
      </c>
      <c r="O331" s="62" t="s">
        <v>102</v>
      </c>
      <c r="P331" s="63"/>
      <c r="Q331" s="64"/>
    </row>
    <row r="332" spans="1:17" ht="90" x14ac:dyDescent="0.25">
      <c r="A332" s="1">
        <v>9</v>
      </c>
      <c r="B332" s="57">
        <f t="shared" si="25"/>
        <v>31</v>
      </c>
      <c r="C332" s="58" t="s">
        <v>443</v>
      </c>
      <c r="D332" s="59" t="s">
        <v>105</v>
      </c>
      <c r="E332" s="60">
        <v>1340</v>
      </c>
      <c r="F332" s="61">
        <v>0</v>
      </c>
      <c r="G332" s="60">
        <v>1340</v>
      </c>
      <c r="H332" s="61">
        <v>0</v>
      </c>
      <c r="I332" s="60">
        <v>1328.828</v>
      </c>
      <c r="J332" s="61">
        <v>0</v>
      </c>
      <c r="K332" s="60">
        <v>1328.828</v>
      </c>
      <c r="L332" s="61">
        <v>0</v>
      </c>
      <c r="M332" s="60">
        <v>0</v>
      </c>
      <c r="N332" s="61">
        <v>0</v>
      </c>
      <c r="O332" s="62" t="s">
        <v>52</v>
      </c>
      <c r="P332" s="63" t="s">
        <v>444</v>
      </c>
      <c r="Q332" s="64" t="s">
        <v>41</v>
      </c>
    </row>
    <row r="333" spans="1:17" ht="108" x14ac:dyDescent="0.25">
      <c r="A333" s="1">
        <v>9</v>
      </c>
      <c r="B333" s="57">
        <f t="shared" si="25"/>
        <v>32</v>
      </c>
      <c r="C333" s="58" t="s">
        <v>445</v>
      </c>
      <c r="D333" s="59" t="s">
        <v>29</v>
      </c>
      <c r="E333" s="60">
        <v>1320</v>
      </c>
      <c r="F333" s="61">
        <v>0</v>
      </c>
      <c r="G333" s="60">
        <v>1320</v>
      </c>
      <c r="H333" s="61">
        <v>0</v>
      </c>
      <c r="I333" s="60">
        <v>1312.643</v>
      </c>
      <c r="J333" s="61">
        <v>0</v>
      </c>
      <c r="K333" s="60">
        <v>1312.643</v>
      </c>
      <c r="L333" s="61">
        <v>0</v>
      </c>
      <c r="M333" s="60">
        <v>0</v>
      </c>
      <c r="N333" s="61">
        <v>0</v>
      </c>
      <c r="O333" s="62" t="s">
        <v>36</v>
      </c>
      <c r="P333" s="63"/>
      <c r="Q333" s="64"/>
    </row>
    <row r="334" spans="1:17" ht="72" x14ac:dyDescent="0.25">
      <c r="A334" s="1">
        <v>9</v>
      </c>
      <c r="B334" s="57">
        <f t="shared" si="25"/>
        <v>33</v>
      </c>
      <c r="C334" s="58" t="s">
        <v>446</v>
      </c>
      <c r="D334" s="59" t="s">
        <v>35</v>
      </c>
      <c r="E334" s="60">
        <v>1000</v>
      </c>
      <c r="F334" s="61">
        <v>0</v>
      </c>
      <c r="G334" s="60">
        <v>1000</v>
      </c>
      <c r="H334" s="61">
        <v>0</v>
      </c>
      <c r="I334" s="60">
        <v>999.86599999999999</v>
      </c>
      <c r="J334" s="61">
        <v>0</v>
      </c>
      <c r="K334" s="60">
        <v>1451.866</v>
      </c>
      <c r="L334" s="61">
        <v>0</v>
      </c>
      <c r="M334" s="60">
        <v>0</v>
      </c>
      <c r="N334" s="61">
        <v>0</v>
      </c>
      <c r="O334" s="62" t="s">
        <v>36</v>
      </c>
      <c r="P334" s="63"/>
      <c r="Q334" s="64"/>
    </row>
    <row r="335" spans="1:17" ht="126" x14ac:dyDescent="0.25">
      <c r="A335" s="1">
        <v>9</v>
      </c>
      <c r="B335" s="57">
        <f t="shared" si="25"/>
        <v>34</v>
      </c>
      <c r="C335" s="58" t="s">
        <v>447</v>
      </c>
      <c r="D335" s="59" t="s">
        <v>105</v>
      </c>
      <c r="E335" s="60">
        <v>950</v>
      </c>
      <c r="F335" s="61">
        <v>0</v>
      </c>
      <c r="G335" s="60">
        <v>950</v>
      </c>
      <c r="H335" s="61">
        <v>0</v>
      </c>
      <c r="I335" s="60">
        <v>950</v>
      </c>
      <c r="J335" s="61">
        <v>0</v>
      </c>
      <c r="K335" s="60">
        <v>950</v>
      </c>
      <c r="L335" s="61">
        <v>0</v>
      </c>
      <c r="M335" s="60">
        <v>0</v>
      </c>
      <c r="N335" s="61">
        <v>0</v>
      </c>
      <c r="O335" s="62" t="s">
        <v>36</v>
      </c>
      <c r="P335" s="63"/>
      <c r="Q335" s="64"/>
    </row>
    <row r="336" spans="1:17" ht="90" x14ac:dyDescent="0.25">
      <c r="A336" s="1">
        <v>9</v>
      </c>
      <c r="B336" s="57">
        <f t="shared" si="25"/>
        <v>35</v>
      </c>
      <c r="C336" s="58" t="s">
        <v>448</v>
      </c>
      <c r="D336" s="59" t="s">
        <v>29</v>
      </c>
      <c r="E336" s="60">
        <v>900</v>
      </c>
      <c r="F336" s="61">
        <v>0</v>
      </c>
      <c r="G336" s="60">
        <v>900</v>
      </c>
      <c r="H336" s="61">
        <v>0</v>
      </c>
      <c r="I336" s="60">
        <v>900</v>
      </c>
      <c r="J336" s="61">
        <v>0</v>
      </c>
      <c r="K336" s="60">
        <v>900</v>
      </c>
      <c r="L336" s="61">
        <v>0</v>
      </c>
      <c r="M336" s="60">
        <v>0</v>
      </c>
      <c r="N336" s="61">
        <v>0</v>
      </c>
      <c r="O336" s="62" t="s">
        <v>36</v>
      </c>
      <c r="P336" s="63"/>
      <c r="Q336" s="64"/>
    </row>
    <row r="337" spans="1:17" ht="90" x14ac:dyDescent="0.25">
      <c r="A337" s="1">
        <v>9</v>
      </c>
      <c r="B337" s="57">
        <f t="shared" si="25"/>
        <v>36</v>
      </c>
      <c r="C337" s="58" t="s">
        <v>449</v>
      </c>
      <c r="D337" s="59" t="s">
        <v>29</v>
      </c>
      <c r="E337" s="60">
        <v>0</v>
      </c>
      <c r="F337" s="61">
        <v>602.16200000000003</v>
      </c>
      <c r="G337" s="60">
        <v>0</v>
      </c>
      <c r="H337" s="61">
        <v>602.16200000000003</v>
      </c>
      <c r="I337" s="60">
        <v>0</v>
      </c>
      <c r="J337" s="61">
        <v>486.40199999999999</v>
      </c>
      <c r="K337" s="60">
        <v>0</v>
      </c>
      <c r="L337" s="61">
        <v>486.40199999999999</v>
      </c>
      <c r="M337" s="60">
        <v>0</v>
      </c>
      <c r="N337" s="61">
        <v>0</v>
      </c>
      <c r="O337" s="62" t="s">
        <v>36</v>
      </c>
      <c r="P337" s="63"/>
      <c r="Q337" s="64"/>
    </row>
    <row r="338" spans="1:17" ht="126" x14ac:dyDescent="0.25">
      <c r="A338" s="1">
        <v>9</v>
      </c>
      <c r="B338" s="57">
        <f t="shared" si="25"/>
        <v>37</v>
      </c>
      <c r="C338" s="58" t="s">
        <v>450</v>
      </c>
      <c r="D338" s="59" t="s">
        <v>29</v>
      </c>
      <c r="E338" s="60">
        <v>599.72199999999998</v>
      </c>
      <c r="F338" s="61">
        <v>0</v>
      </c>
      <c r="G338" s="60">
        <v>599.72199999999998</v>
      </c>
      <c r="H338" s="61">
        <v>0</v>
      </c>
      <c r="I338" s="60">
        <v>599.72199999999998</v>
      </c>
      <c r="J338" s="61">
        <v>0</v>
      </c>
      <c r="K338" s="60">
        <v>599.72199999999998</v>
      </c>
      <c r="L338" s="61">
        <v>0</v>
      </c>
      <c r="M338" s="60">
        <v>0</v>
      </c>
      <c r="N338" s="61">
        <v>0</v>
      </c>
      <c r="O338" s="62" t="s">
        <v>36</v>
      </c>
      <c r="P338" s="63"/>
      <c r="Q338" s="64"/>
    </row>
    <row r="339" spans="1:17" ht="90" x14ac:dyDescent="0.25">
      <c r="A339" s="1">
        <v>9</v>
      </c>
      <c r="B339" s="57">
        <f t="shared" si="25"/>
        <v>38</v>
      </c>
      <c r="C339" s="58" t="s">
        <v>451</v>
      </c>
      <c r="D339" s="59" t="s">
        <v>105</v>
      </c>
      <c r="E339" s="60">
        <v>481.1</v>
      </c>
      <c r="F339" s="61">
        <v>0</v>
      </c>
      <c r="G339" s="60">
        <v>481.1</v>
      </c>
      <c r="H339" s="61">
        <v>0</v>
      </c>
      <c r="I339" s="60">
        <v>479.23700000000002</v>
      </c>
      <c r="J339" s="61">
        <v>0</v>
      </c>
      <c r="K339" s="60">
        <v>479.23599999999999</v>
      </c>
      <c r="L339" s="61">
        <v>0</v>
      </c>
      <c r="M339" s="60">
        <v>0</v>
      </c>
      <c r="N339" s="61">
        <v>0</v>
      </c>
      <c r="O339" s="62" t="s">
        <v>52</v>
      </c>
      <c r="P339" s="63" t="s">
        <v>452</v>
      </c>
      <c r="Q339" s="64" t="s">
        <v>41</v>
      </c>
    </row>
    <row r="340" spans="1:17" ht="108" x14ac:dyDescent="0.25">
      <c r="A340" s="1">
        <v>9</v>
      </c>
      <c r="B340" s="57">
        <f t="shared" si="25"/>
        <v>39</v>
      </c>
      <c r="C340" s="58" t="s">
        <v>453</v>
      </c>
      <c r="D340" s="59" t="s">
        <v>29</v>
      </c>
      <c r="E340" s="60">
        <v>478.7</v>
      </c>
      <c r="F340" s="61">
        <v>0</v>
      </c>
      <c r="G340" s="60">
        <v>478.7</v>
      </c>
      <c r="H340" s="61">
        <v>0</v>
      </c>
      <c r="I340" s="60">
        <v>478.01799999999997</v>
      </c>
      <c r="J340" s="61">
        <v>0</v>
      </c>
      <c r="K340" s="60">
        <v>478.01799999999997</v>
      </c>
      <c r="L340" s="61">
        <v>0</v>
      </c>
      <c r="M340" s="60">
        <v>0</v>
      </c>
      <c r="N340" s="61">
        <v>0</v>
      </c>
      <c r="O340" s="62" t="s">
        <v>36</v>
      </c>
      <c r="P340" s="63"/>
      <c r="Q340" s="64"/>
    </row>
    <row r="341" spans="1:17" ht="126" x14ac:dyDescent="0.25">
      <c r="A341" s="1">
        <v>9</v>
      </c>
      <c r="B341" s="57">
        <f t="shared" si="25"/>
        <v>40</v>
      </c>
      <c r="C341" s="58" t="s">
        <v>454</v>
      </c>
      <c r="D341" s="59" t="s">
        <v>29</v>
      </c>
      <c r="E341" s="60">
        <v>473.5</v>
      </c>
      <c r="F341" s="61">
        <v>0</v>
      </c>
      <c r="G341" s="60">
        <v>473.5</v>
      </c>
      <c r="H341" s="61">
        <v>0</v>
      </c>
      <c r="I341" s="60">
        <v>472.18400000000003</v>
      </c>
      <c r="J341" s="61">
        <v>0</v>
      </c>
      <c r="K341" s="60">
        <v>472.18400000000003</v>
      </c>
      <c r="L341" s="61">
        <v>0</v>
      </c>
      <c r="M341" s="60">
        <v>0</v>
      </c>
      <c r="N341" s="61">
        <v>0</v>
      </c>
      <c r="O341" s="62" t="s">
        <v>36</v>
      </c>
      <c r="P341" s="63"/>
      <c r="Q341" s="64"/>
    </row>
    <row r="342" spans="1:17" ht="90" x14ac:dyDescent="0.25">
      <c r="A342" s="1">
        <v>9</v>
      </c>
      <c r="B342" s="57">
        <f t="shared" si="25"/>
        <v>41</v>
      </c>
      <c r="C342" s="58" t="s">
        <v>455</v>
      </c>
      <c r="D342" s="59" t="s">
        <v>105</v>
      </c>
      <c r="E342" s="60">
        <v>463.5</v>
      </c>
      <c r="F342" s="61">
        <v>0</v>
      </c>
      <c r="G342" s="60">
        <v>463.5</v>
      </c>
      <c r="H342" s="61">
        <v>0</v>
      </c>
      <c r="I342" s="60">
        <v>461.78199999999998</v>
      </c>
      <c r="J342" s="61">
        <v>0</v>
      </c>
      <c r="K342" s="60">
        <v>461.8</v>
      </c>
      <c r="L342" s="61">
        <v>0</v>
      </c>
      <c r="M342" s="60">
        <v>0</v>
      </c>
      <c r="N342" s="61">
        <v>0</v>
      </c>
      <c r="O342" s="62" t="s">
        <v>52</v>
      </c>
      <c r="P342" s="63" t="s">
        <v>456</v>
      </c>
      <c r="Q342" s="64" t="s">
        <v>41</v>
      </c>
    </row>
    <row r="343" spans="1:17" ht="108" x14ac:dyDescent="0.25">
      <c r="A343" s="1">
        <v>9</v>
      </c>
      <c r="B343" s="57">
        <f t="shared" si="25"/>
        <v>42</v>
      </c>
      <c r="C343" s="58" t="s">
        <v>457</v>
      </c>
      <c r="D343" s="59" t="s">
        <v>29</v>
      </c>
      <c r="E343" s="60">
        <v>463.4</v>
      </c>
      <c r="F343" s="61">
        <v>0</v>
      </c>
      <c r="G343" s="60">
        <v>463.4</v>
      </c>
      <c r="H343" s="61">
        <v>0</v>
      </c>
      <c r="I343" s="60">
        <v>463.30200000000002</v>
      </c>
      <c r="J343" s="61">
        <v>0</v>
      </c>
      <c r="K343" s="60">
        <v>463.30200000000002</v>
      </c>
      <c r="L343" s="61">
        <v>0</v>
      </c>
      <c r="M343" s="60">
        <v>0</v>
      </c>
      <c r="N343" s="61">
        <v>0</v>
      </c>
      <c r="O343" s="62" t="s">
        <v>36</v>
      </c>
      <c r="P343" s="63"/>
      <c r="Q343" s="64"/>
    </row>
    <row r="344" spans="1:17" ht="108" x14ac:dyDescent="0.25">
      <c r="A344" s="1">
        <v>9</v>
      </c>
      <c r="B344" s="57">
        <f t="shared" si="25"/>
        <v>43</v>
      </c>
      <c r="C344" s="58" t="s">
        <v>458</v>
      </c>
      <c r="D344" s="59" t="s">
        <v>29</v>
      </c>
      <c r="E344" s="60">
        <v>317.387</v>
      </c>
      <c r="F344" s="61">
        <v>0</v>
      </c>
      <c r="G344" s="60">
        <v>317.387</v>
      </c>
      <c r="H344" s="61">
        <v>0</v>
      </c>
      <c r="I344" s="60">
        <v>317.387</v>
      </c>
      <c r="J344" s="61">
        <v>0</v>
      </c>
      <c r="K344" s="60">
        <v>317.387</v>
      </c>
      <c r="L344" s="61">
        <v>0</v>
      </c>
      <c r="M344" s="60">
        <v>0</v>
      </c>
      <c r="N344" s="61">
        <v>0</v>
      </c>
      <c r="O344" s="62" t="s">
        <v>36</v>
      </c>
      <c r="P344" s="63"/>
      <c r="Q344" s="64"/>
    </row>
    <row r="345" spans="1:17" ht="108" x14ac:dyDescent="0.25">
      <c r="A345" s="1">
        <v>9</v>
      </c>
      <c r="B345" s="57">
        <f t="shared" si="25"/>
        <v>44</v>
      </c>
      <c r="C345" s="58" t="s">
        <v>459</v>
      </c>
      <c r="D345" s="59" t="s">
        <v>29</v>
      </c>
      <c r="E345" s="60">
        <v>0</v>
      </c>
      <c r="F345" s="61">
        <v>298.346</v>
      </c>
      <c r="G345" s="60">
        <v>0</v>
      </c>
      <c r="H345" s="61">
        <v>298.346</v>
      </c>
      <c r="I345" s="60">
        <v>0</v>
      </c>
      <c r="J345" s="61">
        <v>298.346</v>
      </c>
      <c r="K345" s="60">
        <v>0</v>
      </c>
      <c r="L345" s="61">
        <v>298.346</v>
      </c>
      <c r="M345" s="60">
        <v>0</v>
      </c>
      <c r="N345" s="61">
        <v>0</v>
      </c>
      <c r="O345" s="62" t="s">
        <v>36</v>
      </c>
      <c r="P345" s="63"/>
      <c r="Q345" s="64"/>
    </row>
    <row r="346" spans="1:17" ht="126" x14ac:dyDescent="0.25">
      <c r="A346" s="1">
        <v>9</v>
      </c>
      <c r="B346" s="57">
        <f t="shared" si="25"/>
        <v>45</v>
      </c>
      <c r="C346" s="58" t="s">
        <v>460</v>
      </c>
      <c r="D346" s="59" t="s">
        <v>29</v>
      </c>
      <c r="E346" s="60">
        <v>244</v>
      </c>
      <c r="F346" s="61">
        <v>0</v>
      </c>
      <c r="G346" s="60">
        <v>244</v>
      </c>
      <c r="H346" s="61">
        <v>0</v>
      </c>
      <c r="I346" s="60">
        <v>243.76599999999999</v>
      </c>
      <c r="J346" s="61">
        <v>0</v>
      </c>
      <c r="K346" s="60">
        <v>243.76599999999999</v>
      </c>
      <c r="L346" s="61">
        <v>0</v>
      </c>
      <c r="M346" s="60">
        <v>0</v>
      </c>
      <c r="N346" s="61">
        <v>0</v>
      </c>
      <c r="O346" s="62" t="s">
        <v>36</v>
      </c>
      <c r="P346" s="63"/>
      <c r="Q346" s="64"/>
    </row>
    <row r="347" spans="1:17" ht="108" x14ac:dyDescent="0.25">
      <c r="A347" s="1">
        <v>9</v>
      </c>
      <c r="B347" s="57">
        <f t="shared" si="25"/>
        <v>46</v>
      </c>
      <c r="C347" s="58" t="s">
        <v>461</v>
      </c>
      <c r="D347" s="59" t="s">
        <v>29</v>
      </c>
      <c r="E347" s="60">
        <v>222</v>
      </c>
      <c r="F347" s="61">
        <v>0</v>
      </c>
      <c r="G347" s="60">
        <v>222</v>
      </c>
      <c r="H347" s="61">
        <v>0</v>
      </c>
      <c r="I347" s="60">
        <v>222</v>
      </c>
      <c r="J347" s="61">
        <v>0</v>
      </c>
      <c r="K347" s="60">
        <v>222</v>
      </c>
      <c r="L347" s="61">
        <v>0</v>
      </c>
      <c r="M347" s="60">
        <v>0</v>
      </c>
      <c r="N347" s="61">
        <v>0</v>
      </c>
      <c r="O347" s="62" t="s">
        <v>36</v>
      </c>
      <c r="P347" s="63"/>
      <c r="Q347" s="64"/>
    </row>
    <row r="348" spans="1:17" ht="108" x14ac:dyDescent="0.25">
      <c r="A348" s="1">
        <v>9</v>
      </c>
      <c r="B348" s="57">
        <f t="shared" si="25"/>
        <v>47</v>
      </c>
      <c r="C348" s="58" t="s">
        <v>462</v>
      </c>
      <c r="D348" s="59" t="s">
        <v>29</v>
      </c>
      <c r="E348" s="60">
        <v>0</v>
      </c>
      <c r="F348" s="61">
        <v>205.67</v>
      </c>
      <c r="G348" s="60">
        <v>0</v>
      </c>
      <c r="H348" s="61">
        <v>205.67</v>
      </c>
      <c r="I348" s="60">
        <v>0</v>
      </c>
      <c r="J348" s="61">
        <v>205.67</v>
      </c>
      <c r="K348" s="60">
        <v>0</v>
      </c>
      <c r="L348" s="61">
        <v>205.67</v>
      </c>
      <c r="M348" s="60">
        <v>0</v>
      </c>
      <c r="N348" s="61">
        <v>0</v>
      </c>
      <c r="O348" s="62" t="s">
        <v>36</v>
      </c>
      <c r="P348" s="63"/>
      <c r="Q348" s="64"/>
    </row>
    <row r="349" spans="1:17" ht="108" x14ac:dyDescent="0.25">
      <c r="A349" s="1">
        <v>9</v>
      </c>
      <c r="B349" s="57">
        <f t="shared" si="25"/>
        <v>48</v>
      </c>
      <c r="C349" s="58" t="s">
        <v>463</v>
      </c>
      <c r="D349" s="59" t="s">
        <v>29</v>
      </c>
      <c r="E349" s="60">
        <v>0</v>
      </c>
      <c r="F349" s="61">
        <v>202.52099999999999</v>
      </c>
      <c r="G349" s="60">
        <v>0</v>
      </c>
      <c r="H349" s="61">
        <v>202.52099999999999</v>
      </c>
      <c r="I349" s="60">
        <v>0</v>
      </c>
      <c r="J349" s="61">
        <v>202.52099999999999</v>
      </c>
      <c r="K349" s="60">
        <v>0</v>
      </c>
      <c r="L349" s="61">
        <v>202.52099999999999</v>
      </c>
      <c r="M349" s="60">
        <v>0</v>
      </c>
      <c r="N349" s="61">
        <v>0</v>
      </c>
      <c r="O349" s="62" t="s">
        <v>36</v>
      </c>
      <c r="P349" s="63"/>
      <c r="Q349" s="64"/>
    </row>
    <row r="350" spans="1:17" ht="72" x14ac:dyDescent="0.25">
      <c r="A350" s="1">
        <v>9</v>
      </c>
      <c r="B350" s="57">
        <f t="shared" si="25"/>
        <v>49</v>
      </c>
      <c r="C350" s="58" t="s">
        <v>464</v>
      </c>
      <c r="D350" s="59" t="s">
        <v>35</v>
      </c>
      <c r="E350" s="60">
        <f>4000-2000</f>
        <v>2000</v>
      </c>
      <c r="F350" s="61">
        <v>2000</v>
      </c>
      <c r="G350" s="60">
        <v>2000</v>
      </c>
      <c r="H350" s="61">
        <v>2000</v>
      </c>
      <c r="I350" s="60">
        <v>2000</v>
      </c>
      <c r="J350" s="61">
        <v>2000</v>
      </c>
      <c r="K350" s="60">
        <v>2000</v>
      </c>
      <c r="L350" s="61">
        <v>2000</v>
      </c>
      <c r="M350" s="60">
        <v>0</v>
      </c>
      <c r="N350" s="61">
        <v>0</v>
      </c>
      <c r="O350" s="62" t="s">
        <v>36</v>
      </c>
      <c r="P350" s="63"/>
      <c r="Q350" s="64"/>
    </row>
    <row r="351" spans="1:17" ht="72.75" thickBot="1" x14ac:dyDescent="0.3">
      <c r="A351" s="1">
        <v>9</v>
      </c>
      <c r="B351" s="68">
        <f t="shared" si="25"/>
        <v>50</v>
      </c>
      <c r="C351" s="69" t="s">
        <v>465</v>
      </c>
      <c r="D351" s="70" t="s">
        <v>38</v>
      </c>
      <c r="E351" s="80">
        <v>250</v>
      </c>
      <c r="F351" s="81">
        <v>0</v>
      </c>
      <c r="G351" s="80">
        <v>250</v>
      </c>
      <c r="H351" s="81">
        <v>0</v>
      </c>
      <c r="I351" s="80">
        <v>228.89400000000001</v>
      </c>
      <c r="J351" s="81">
        <v>0</v>
      </c>
      <c r="K351" s="80">
        <v>228.89400000000001</v>
      </c>
      <c r="L351" s="81">
        <v>0</v>
      </c>
      <c r="M351" s="60">
        <v>0</v>
      </c>
      <c r="N351" s="81">
        <v>0</v>
      </c>
      <c r="O351" s="73" t="s">
        <v>52</v>
      </c>
      <c r="P351" s="74" t="s">
        <v>466</v>
      </c>
      <c r="Q351" s="75" t="s">
        <v>41</v>
      </c>
    </row>
    <row r="352" spans="1:17" ht="18" x14ac:dyDescent="0.25">
      <c r="A352" s="1">
        <v>10</v>
      </c>
      <c r="B352" s="149" t="s">
        <v>467</v>
      </c>
      <c r="C352" s="150"/>
      <c r="D352" s="150"/>
      <c r="E352" s="150"/>
      <c r="F352" s="150"/>
      <c r="G352" s="150"/>
      <c r="H352" s="150"/>
      <c r="I352" s="150"/>
      <c r="J352" s="150"/>
      <c r="K352" s="150"/>
      <c r="L352" s="150"/>
      <c r="M352" s="150"/>
      <c r="N352" s="150"/>
      <c r="O352" s="150"/>
      <c r="P352" s="150"/>
      <c r="Q352" s="151"/>
    </row>
    <row r="353" spans="1:17" ht="18" x14ac:dyDescent="0.25">
      <c r="A353" s="1">
        <v>10</v>
      </c>
      <c r="B353" s="78"/>
      <c r="C353" s="41" t="s">
        <v>27</v>
      </c>
      <c r="D353" s="42"/>
      <c r="E353" s="43">
        <f t="shared" ref="E353:N353" si="26">SUM(E354,E356:E374)</f>
        <v>32552.260999999999</v>
      </c>
      <c r="F353" s="44">
        <f t="shared" si="26"/>
        <v>81380.65300000002</v>
      </c>
      <c r="G353" s="43">
        <f t="shared" si="26"/>
        <v>32552.261000000002</v>
      </c>
      <c r="H353" s="44">
        <f t="shared" si="26"/>
        <v>81380.65300000002</v>
      </c>
      <c r="I353" s="43">
        <f t="shared" si="26"/>
        <v>28121.812000000002</v>
      </c>
      <c r="J353" s="44">
        <f t="shared" si="26"/>
        <v>60883.294999999998</v>
      </c>
      <c r="K353" s="43">
        <f t="shared" si="26"/>
        <v>28121.811980000006</v>
      </c>
      <c r="L353" s="44">
        <f t="shared" si="26"/>
        <v>60883.295019999983</v>
      </c>
      <c r="M353" s="43">
        <f t="shared" si="26"/>
        <v>0</v>
      </c>
      <c r="N353" s="44">
        <f t="shared" si="26"/>
        <v>0</v>
      </c>
      <c r="O353" s="47"/>
      <c r="P353" s="48">
        <v>8</v>
      </c>
      <c r="Q353" s="49"/>
    </row>
    <row r="354" spans="1:17" ht="18" x14ac:dyDescent="0.25">
      <c r="A354" s="1">
        <v>10</v>
      </c>
      <c r="B354" s="79"/>
      <c r="C354" s="50" t="s">
        <v>24</v>
      </c>
      <c r="D354" s="51"/>
      <c r="E354" s="52">
        <v>0</v>
      </c>
      <c r="F354" s="53">
        <v>0</v>
      </c>
      <c r="G354" s="52">
        <v>0</v>
      </c>
      <c r="H354" s="53">
        <v>0</v>
      </c>
      <c r="I354" s="52"/>
      <c r="J354" s="53"/>
      <c r="K354" s="52"/>
      <c r="L354" s="53"/>
      <c r="M354" s="52"/>
      <c r="N354" s="53"/>
      <c r="O354" s="56"/>
      <c r="P354" s="30"/>
      <c r="Q354" s="31"/>
    </row>
    <row r="355" spans="1:17" ht="36" x14ac:dyDescent="0.25">
      <c r="A355" s="1">
        <v>10</v>
      </c>
      <c r="B355" s="79"/>
      <c r="C355" s="50" t="s">
        <v>25</v>
      </c>
      <c r="D355" s="51"/>
      <c r="E355" s="52">
        <f t="shared" ref="E355:N355" si="27">SUM(E356:E374)</f>
        <v>32552.260999999999</v>
      </c>
      <c r="F355" s="53">
        <f t="shared" si="27"/>
        <v>81380.65300000002</v>
      </c>
      <c r="G355" s="52">
        <f t="shared" si="27"/>
        <v>32552.261000000002</v>
      </c>
      <c r="H355" s="53">
        <f t="shared" si="27"/>
        <v>81380.65300000002</v>
      </c>
      <c r="I355" s="52">
        <f t="shared" si="27"/>
        <v>28121.812000000002</v>
      </c>
      <c r="J355" s="53">
        <f t="shared" si="27"/>
        <v>60883.294999999998</v>
      </c>
      <c r="K355" s="52">
        <f t="shared" si="27"/>
        <v>28121.811980000006</v>
      </c>
      <c r="L355" s="53">
        <f t="shared" si="27"/>
        <v>60883.295019999983</v>
      </c>
      <c r="M355" s="52">
        <f t="shared" si="27"/>
        <v>0</v>
      </c>
      <c r="N355" s="53">
        <f t="shared" si="27"/>
        <v>0</v>
      </c>
      <c r="O355" s="56"/>
      <c r="P355" s="30"/>
      <c r="Q355" s="31"/>
    </row>
    <row r="356" spans="1:17" ht="90" x14ac:dyDescent="0.25">
      <c r="A356" s="1">
        <v>10</v>
      </c>
      <c r="B356" s="57">
        <v>1</v>
      </c>
      <c r="C356" s="58" t="s">
        <v>468</v>
      </c>
      <c r="D356" s="59" t="s">
        <v>96</v>
      </c>
      <c r="E356" s="60">
        <f>3923.728-2802.665-277.633</f>
        <v>843.43000000000006</v>
      </c>
      <c r="F356" s="61">
        <v>2802.665</v>
      </c>
      <c r="G356" s="60">
        <v>843.43</v>
      </c>
      <c r="H356" s="61">
        <v>2802.665</v>
      </c>
      <c r="I356" s="60">
        <v>843.43</v>
      </c>
      <c r="J356" s="61">
        <v>2088.7820000000002</v>
      </c>
      <c r="K356" s="60">
        <v>843.42977999999982</v>
      </c>
      <c r="L356" s="61">
        <v>2088.7816999999995</v>
      </c>
      <c r="M356" s="60">
        <v>0</v>
      </c>
      <c r="N356" s="61">
        <v>0</v>
      </c>
      <c r="O356" s="62" t="s">
        <v>469</v>
      </c>
      <c r="P356" s="63"/>
      <c r="Q356" s="64"/>
    </row>
    <row r="357" spans="1:17" ht="54" x14ac:dyDescent="0.25">
      <c r="A357" s="1">
        <v>10</v>
      </c>
      <c r="B357" s="57">
        <f>B356+1</f>
        <v>2</v>
      </c>
      <c r="C357" s="58" t="s">
        <v>470</v>
      </c>
      <c r="D357" s="59" t="s">
        <v>35</v>
      </c>
      <c r="E357" s="60">
        <f>8815.738-6296.957-840.788</f>
        <v>1677.992999999999</v>
      </c>
      <c r="F357" s="61">
        <v>6296.9570000000003</v>
      </c>
      <c r="G357" s="60">
        <v>1677.9929999999999</v>
      </c>
      <c r="H357" s="61">
        <v>6296.9570000000003</v>
      </c>
      <c r="I357" s="60">
        <v>1280.9349999999999</v>
      </c>
      <c r="J357" s="61">
        <v>1937.0429999999999</v>
      </c>
      <c r="K357" s="60">
        <v>1280.9347000000002</v>
      </c>
      <c r="L357" s="61">
        <v>1937.0427999999999</v>
      </c>
      <c r="M357" s="60">
        <v>0</v>
      </c>
      <c r="N357" s="61">
        <v>0</v>
      </c>
      <c r="O357" s="62" t="s">
        <v>469</v>
      </c>
      <c r="P357" s="63"/>
      <c r="Q357" s="64"/>
    </row>
    <row r="358" spans="1:17" ht="72" x14ac:dyDescent="0.25">
      <c r="A358" s="1">
        <v>10</v>
      </c>
      <c r="B358" s="98">
        <f t="shared" ref="B358:B374" si="28">B357+1</f>
        <v>3</v>
      </c>
      <c r="C358" s="99" t="s">
        <v>471</v>
      </c>
      <c r="D358" s="100" t="s">
        <v>35</v>
      </c>
      <c r="E358" s="101">
        <f>6892.34-4893.561-1663.098</f>
        <v>335.68100000000049</v>
      </c>
      <c r="F358" s="102">
        <v>4893.5609999999997</v>
      </c>
      <c r="G358" s="101">
        <v>335.68099999999998</v>
      </c>
      <c r="H358" s="102">
        <v>4893.5609999999997</v>
      </c>
      <c r="I358" s="101">
        <v>335.68099999999998</v>
      </c>
      <c r="J358" s="102">
        <v>4881.1469999999999</v>
      </c>
      <c r="K358" s="101">
        <v>335.68072000000001</v>
      </c>
      <c r="L358" s="102">
        <v>4881.1469999999999</v>
      </c>
      <c r="M358" s="101">
        <v>0</v>
      </c>
      <c r="N358" s="102">
        <v>0</v>
      </c>
      <c r="O358" s="103" t="s">
        <v>469</v>
      </c>
      <c r="P358" s="104"/>
      <c r="Q358" s="105"/>
    </row>
    <row r="359" spans="1:17" ht="54" x14ac:dyDescent="0.25">
      <c r="A359" s="1">
        <v>10</v>
      </c>
      <c r="B359" s="57">
        <f t="shared" si="28"/>
        <v>4</v>
      </c>
      <c r="C359" s="58" t="s">
        <v>472</v>
      </c>
      <c r="D359" s="59" t="s">
        <v>35</v>
      </c>
      <c r="E359" s="60">
        <f>6376.214-4554.438+396.422</f>
        <v>2218.1979999999999</v>
      </c>
      <c r="F359" s="61">
        <f>4554.438-2633.163+1681.591</f>
        <v>3602.866</v>
      </c>
      <c r="G359" s="60">
        <v>2218.1979999999999</v>
      </c>
      <c r="H359" s="61">
        <v>3602.866</v>
      </c>
      <c r="I359" s="60">
        <v>2218.1979999999999</v>
      </c>
      <c r="J359" s="61">
        <v>3409.5010000000002</v>
      </c>
      <c r="K359" s="60">
        <v>2218.1979999999999</v>
      </c>
      <c r="L359" s="61">
        <v>3409.5008199999997</v>
      </c>
      <c r="M359" s="60">
        <v>0</v>
      </c>
      <c r="N359" s="61">
        <v>0</v>
      </c>
      <c r="O359" s="62" t="s">
        <v>469</v>
      </c>
      <c r="P359" s="63"/>
      <c r="Q359" s="64"/>
    </row>
    <row r="360" spans="1:17" ht="72" x14ac:dyDescent="0.25">
      <c r="A360" s="1">
        <v>10</v>
      </c>
      <c r="B360" s="57">
        <f t="shared" si="28"/>
        <v>5</v>
      </c>
      <c r="C360" s="58" t="s">
        <v>473</v>
      </c>
      <c r="D360" s="59" t="s">
        <v>35</v>
      </c>
      <c r="E360" s="60">
        <f>7329.339-5235.242+1227.968</f>
        <v>3322.0649999999996</v>
      </c>
      <c r="F360" s="61">
        <f>5235.242+2633.163</f>
        <v>7868.4050000000007</v>
      </c>
      <c r="G360" s="60">
        <v>3322.0650000000001</v>
      </c>
      <c r="H360" s="61">
        <v>7868.4049999999997</v>
      </c>
      <c r="I360" s="60">
        <v>2056.8919999999998</v>
      </c>
      <c r="J360" s="61">
        <v>5191.0959999999995</v>
      </c>
      <c r="K360" s="60">
        <v>2056.8922000000002</v>
      </c>
      <c r="L360" s="61">
        <v>5191.0960000000005</v>
      </c>
      <c r="M360" s="60">
        <v>0</v>
      </c>
      <c r="N360" s="61">
        <v>0</v>
      </c>
      <c r="O360" s="62" t="s">
        <v>469</v>
      </c>
      <c r="P360" s="63"/>
      <c r="Q360" s="64"/>
    </row>
    <row r="361" spans="1:17" ht="72" x14ac:dyDescent="0.25">
      <c r="A361" s="1">
        <v>10</v>
      </c>
      <c r="B361" s="57">
        <f t="shared" si="28"/>
        <v>6</v>
      </c>
      <c r="C361" s="58" t="s">
        <v>474</v>
      </c>
      <c r="D361" s="59" t="s">
        <v>38</v>
      </c>
      <c r="E361" s="60">
        <f>5280.533-3771.809+3749.778</f>
        <v>5258.5020000000004</v>
      </c>
      <c r="F361" s="61">
        <v>3771.8090000000002</v>
      </c>
      <c r="G361" s="60">
        <v>5258.5020000000004</v>
      </c>
      <c r="H361" s="61">
        <v>3771.8090000000002</v>
      </c>
      <c r="I361" s="60">
        <v>5224.4549999999999</v>
      </c>
      <c r="J361" s="61">
        <v>3771.8090000000002</v>
      </c>
      <c r="K361" s="60">
        <v>5224.4550000000008</v>
      </c>
      <c r="L361" s="61">
        <v>3771.8089999999997</v>
      </c>
      <c r="M361" s="60">
        <v>0</v>
      </c>
      <c r="N361" s="61">
        <v>0</v>
      </c>
      <c r="O361" s="62" t="s">
        <v>374</v>
      </c>
      <c r="P361" s="63" t="s">
        <v>475</v>
      </c>
      <c r="Q361" s="64" t="s">
        <v>41</v>
      </c>
    </row>
    <row r="362" spans="1:17" ht="90" x14ac:dyDescent="0.25">
      <c r="A362" s="1">
        <v>10</v>
      </c>
      <c r="B362" s="57">
        <f t="shared" si="28"/>
        <v>7</v>
      </c>
      <c r="C362" s="58" t="s">
        <v>476</v>
      </c>
      <c r="D362" s="59" t="s">
        <v>38</v>
      </c>
      <c r="E362" s="60">
        <f>2284.298-1631.641</f>
        <v>652.6569999999997</v>
      </c>
      <c r="F362" s="61">
        <v>1631.6410000000001</v>
      </c>
      <c r="G362" s="60">
        <v>652.65700000000004</v>
      </c>
      <c r="H362" s="61">
        <v>1631.6410000000001</v>
      </c>
      <c r="I362" s="60">
        <v>549.75400000000002</v>
      </c>
      <c r="J362" s="61">
        <v>1631.5920000000001</v>
      </c>
      <c r="K362" s="60">
        <v>549.75440000000003</v>
      </c>
      <c r="L362" s="61">
        <v>1631.5921899999998</v>
      </c>
      <c r="M362" s="60">
        <v>0</v>
      </c>
      <c r="N362" s="61">
        <v>0</v>
      </c>
      <c r="O362" s="62" t="s">
        <v>374</v>
      </c>
      <c r="P362" s="63" t="s">
        <v>477</v>
      </c>
      <c r="Q362" s="64" t="s">
        <v>41</v>
      </c>
    </row>
    <row r="363" spans="1:17" ht="90" x14ac:dyDescent="0.25">
      <c r="A363" s="1">
        <v>10</v>
      </c>
      <c r="B363" s="98">
        <f t="shared" si="28"/>
        <v>8</v>
      </c>
      <c r="C363" s="99" t="s">
        <v>478</v>
      </c>
      <c r="D363" s="100" t="s">
        <v>35</v>
      </c>
      <c r="E363" s="101">
        <f>6647.262-4746.145</f>
        <v>1901.1169999999993</v>
      </c>
      <c r="F363" s="102">
        <v>4746.1450000000004</v>
      </c>
      <c r="G363" s="101">
        <v>1901.117</v>
      </c>
      <c r="H363" s="102">
        <v>4746.1450000000004</v>
      </c>
      <c r="I363" s="101">
        <v>580.673</v>
      </c>
      <c r="J363" s="102">
        <v>1422.479</v>
      </c>
      <c r="K363" s="101">
        <v>580.67309999999998</v>
      </c>
      <c r="L363" s="102">
        <v>1422.4784999999999</v>
      </c>
      <c r="M363" s="101">
        <v>0</v>
      </c>
      <c r="N363" s="102">
        <v>0</v>
      </c>
      <c r="O363" s="103" t="s">
        <v>469</v>
      </c>
      <c r="P363" s="104"/>
      <c r="Q363" s="105"/>
    </row>
    <row r="364" spans="1:17" ht="90" x14ac:dyDescent="0.25">
      <c r="A364" s="1">
        <v>10</v>
      </c>
      <c r="B364" s="57">
        <f t="shared" si="28"/>
        <v>9</v>
      </c>
      <c r="C364" s="58" t="s">
        <v>479</v>
      </c>
      <c r="D364" s="59" t="s">
        <v>35</v>
      </c>
      <c r="E364" s="60">
        <f>8622.155-6190.12</f>
        <v>2432.0350000000008</v>
      </c>
      <c r="F364" s="61">
        <v>6190.12</v>
      </c>
      <c r="G364" s="60">
        <v>2432.0349999999999</v>
      </c>
      <c r="H364" s="61">
        <v>6190.12</v>
      </c>
      <c r="I364" s="60">
        <v>2376.3919999999998</v>
      </c>
      <c r="J364" s="61">
        <v>5263.8389999999999</v>
      </c>
      <c r="K364" s="60">
        <v>2376.3919999999998</v>
      </c>
      <c r="L364" s="61">
        <v>5263.8392999999996</v>
      </c>
      <c r="M364" s="60">
        <v>0</v>
      </c>
      <c r="N364" s="61">
        <v>0</v>
      </c>
      <c r="O364" s="62" t="s">
        <v>469</v>
      </c>
      <c r="P364" s="63"/>
      <c r="Q364" s="64"/>
    </row>
    <row r="365" spans="1:17" ht="72" x14ac:dyDescent="0.25">
      <c r="A365" s="1">
        <v>10</v>
      </c>
      <c r="B365" s="57">
        <f t="shared" si="28"/>
        <v>10</v>
      </c>
      <c r="C365" s="58" t="s">
        <v>480</v>
      </c>
      <c r="D365" s="59" t="s">
        <v>35</v>
      </c>
      <c r="E365" s="60">
        <f>12000-8571.428-800.001</f>
        <v>2628.5709999999999</v>
      </c>
      <c r="F365" s="61">
        <v>8571.4279999999999</v>
      </c>
      <c r="G365" s="60">
        <v>2628.5709999999999</v>
      </c>
      <c r="H365" s="61">
        <v>8571.4279999999999</v>
      </c>
      <c r="I365" s="60">
        <v>2628.5709999999999</v>
      </c>
      <c r="J365" s="61">
        <v>6178.9560000000001</v>
      </c>
      <c r="K365" s="60">
        <v>2628.5709999999999</v>
      </c>
      <c r="L365" s="61">
        <v>6178.9560000000001</v>
      </c>
      <c r="M365" s="60">
        <v>0</v>
      </c>
      <c r="N365" s="61">
        <v>0</v>
      </c>
      <c r="O365" s="62" t="s">
        <v>469</v>
      </c>
      <c r="P365" s="63"/>
      <c r="Q365" s="64"/>
    </row>
    <row r="366" spans="1:17" ht="54" x14ac:dyDescent="0.25">
      <c r="A366" s="1">
        <v>10</v>
      </c>
      <c r="B366" s="57">
        <f t="shared" si="28"/>
        <v>11</v>
      </c>
      <c r="C366" s="58" t="s">
        <v>481</v>
      </c>
      <c r="D366" s="59" t="s">
        <v>35</v>
      </c>
      <c r="E366" s="60">
        <f>3864.184-2760.131</f>
        <v>1104.0530000000003</v>
      </c>
      <c r="F366" s="61">
        <v>2760.1309999999999</v>
      </c>
      <c r="G366" s="60">
        <v>1104.0530000000001</v>
      </c>
      <c r="H366" s="61">
        <v>2760.1309999999999</v>
      </c>
      <c r="I366" s="60">
        <v>1100.5630000000001</v>
      </c>
      <c r="J366" s="61">
        <v>2452.9699999999998</v>
      </c>
      <c r="K366" s="60">
        <v>1100.5630000000001</v>
      </c>
      <c r="L366" s="61">
        <v>2452.9699999999998</v>
      </c>
      <c r="M366" s="60">
        <v>0</v>
      </c>
      <c r="N366" s="61">
        <v>0</v>
      </c>
      <c r="O366" s="62" t="s">
        <v>469</v>
      </c>
      <c r="P366" s="63"/>
      <c r="Q366" s="64"/>
    </row>
    <row r="367" spans="1:17" ht="72" x14ac:dyDescent="0.25">
      <c r="A367" s="1">
        <v>10</v>
      </c>
      <c r="B367" s="98">
        <f t="shared" si="28"/>
        <v>12</v>
      </c>
      <c r="C367" s="99" t="s">
        <v>482</v>
      </c>
      <c r="D367" s="100" t="s">
        <v>29</v>
      </c>
      <c r="E367" s="101">
        <f>13298.123-9498.659-134.84</f>
        <v>3664.6239999999998</v>
      </c>
      <c r="F367" s="102">
        <v>9498.6589999999997</v>
      </c>
      <c r="G367" s="101">
        <v>3664.6239999999998</v>
      </c>
      <c r="H367" s="102">
        <v>9498.6589999999997</v>
      </c>
      <c r="I367" s="101">
        <v>3661.5340000000001</v>
      </c>
      <c r="J367" s="102">
        <v>5329.9</v>
      </c>
      <c r="K367" s="101">
        <v>3661.5335099999998</v>
      </c>
      <c r="L367" s="102">
        <v>5329.9000099999994</v>
      </c>
      <c r="M367" s="101">
        <v>0</v>
      </c>
      <c r="N367" s="102">
        <v>0</v>
      </c>
      <c r="O367" s="103" t="s">
        <v>469</v>
      </c>
      <c r="P367" s="104"/>
      <c r="Q367" s="105"/>
    </row>
    <row r="368" spans="1:17" ht="72" x14ac:dyDescent="0.25">
      <c r="A368" s="1">
        <v>10</v>
      </c>
      <c r="B368" s="57">
        <f t="shared" si="28"/>
        <v>13</v>
      </c>
      <c r="C368" s="58" t="s">
        <v>483</v>
      </c>
      <c r="D368" s="59">
        <v>2017</v>
      </c>
      <c r="E368" s="60">
        <f>6824.845-4874.889-208.116</f>
        <v>1741.8400000000001</v>
      </c>
      <c r="F368" s="61">
        <v>4874.8890000000001</v>
      </c>
      <c r="G368" s="60">
        <v>1741.84</v>
      </c>
      <c r="H368" s="61">
        <v>4874.8890000000001</v>
      </c>
      <c r="I368" s="60">
        <v>1091.8399999999999</v>
      </c>
      <c r="J368" s="61">
        <v>4856.3100000000004</v>
      </c>
      <c r="K368" s="60">
        <v>1091.8399999999999</v>
      </c>
      <c r="L368" s="61">
        <v>4856.3106200000002</v>
      </c>
      <c r="M368" s="60">
        <v>0</v>
      </c>
      <c r="N368" s="61">
        <v>0</v>
      </c>
      <c r="O368" s="62" t="s">
        <v>374</v>
      </c>
      <c r="P368" s="63" t="s">
        <v>484</v>
      </c>
      <c r="Q368" s="64" t="s">
        <v>41</v>
      </c>
    </row>
    <row r="369" spans="1:17" ht="72" x14ac:dyDescent="0.25">
      <c r="A369" s="1">
        <v>10</v>
      </c>
      <c r="B369" s="57">
        <f t="shared" si="28"/>
        <v>14</v>
      </c>
      <c r="C369" s="58" t="s">
        <v>485</v>
      </c>
      <c r="D369" s="59">
        <v>2017</v>
      </c>
      <c r="E369" s="60">
        <f>6136.71-4383.364-457.071</f>
        <v>1296.2750000000005</v>
      </c>
      <c r="F369" s="61">
        <v>4383.3639999999996</v>
      </c>
      <c r="G369" s="60">
        <v>1296.2750000000001</v>
      </c>
      <c r="H369" s="61">
        <v>4383.3639999999996</v>
      </c>
      <c r="I369" s="60">
        <v>1281.3879999999999</v>
      </c>
      <c r="J369" s="61">
        <v>4376.549</v>
      </c>
      <c r="K369" s="60">
        <v>1281.3882599999999</v>
      </c>
      <c r="L369" s="61">
        <v>4376.5488699999996</v>
      </c>
      <c r="M369" s="60">
        <v>0</v>
      </c>
      <c r="N369" s="61">
        <v>0</v>
      </c>
      <c r="O369" s="62" t="s">
        <v>374</v>
      </c>
      <c r="P369" s="63" t="s">
        <v>267</v>
      </c>
      <c r="Q369" s="64" t="s">
        <v>41</v>
      </c>
    </row>
    <row r="370" spans="1:17" ht="144" x14ac:dyDescent="0.25">
      <c r="A370" s="1">
        <v>10</v>
      </c>
      <c r="B370" s="98">
        <f t="shared" si="28"/>
        <v>15</v>
      </c>
      <c r="C370" s="99" t="s">
        <v>486</v>
      </c>
      <c r="D370" s="100" t="s">
        <v>29</v>
      </c>
      <c r="E370" s="101">
        <f>2839.369-2028.121</f>
        <v>811.24800000000005</v>
      </c>
      <c r="F370" s="102">
        <v>2028.1210000000001</v>
      </c>
      <c r="G370" s="101">
        <v>811.24800000000005</v>
      </c>
      <c r="H370" s="102">
        <v>2028.1210000000001</v>
      </c>
      <c r="I370" s="101">
        <v>763.447</v>
      </c>
      <c r="J370" s="102">
        <v>640.84799999999996</v>
      </c>
      <c r="K370" s="101">
        <v>763.44679999999994</v>
      </c>
      <c r="L370" s="102">
        <v>640.84762999999998</v>
      </c>
      <c r="M370" s="101">
        <v>0</v>
      </c>
      <c r="N370" s="102">
        <v>0</v>
      </c>
      <c r="O370" s="103" t="s">
        <v>469</v>
      </c>
      <c r="P370" s="104"/>
      <c r="Q370" s="105"/>
    </row>
    <row r="371" spans="1:17" ht="144" x14ac:dyDescent="0.25">
      <c r="A371" s="1">
        <v>10</v>
      </c>
      <c r="B371" s="57">
        <f t="shared" si="28"/>
        <v>16</v>
      </c>
      <c r="C371" s="58" t="s">
        <v>487</v>
      </c>
      <c r="D371" s="59">
        <v>2017</v>
      </c>
      <c r="E371" s="60">
        <f>2451.572-1751.123</f>
        <v>700.44900000000007</v>
      </c>
      <c r="F371" s="61">
        <v>1751.123</v>
      </c>
      <c r="G371" s="60">
        <v>700.44899999999996</v>
      </c>
      <c r="H371" s="61">
        <v>1751.123</v>
      </c>
      <c r="I371" s="60">
        <v>477.19600000000003</v>
      </c>
      <c r="J371" s="61">
        <v>1751.123</v>
      </c>
      <c r="K371" s="60">
        <v>477.19614000000001</v>
      </c>
      <c r="L371" s="61">
        <v>1751.123</v>
      </c>
      <c r="M371" s="60">
        <v>0</v>
      </c>
      <c r="N371" s="61">
        <v>0</v>
      </c>
      <c r="O371" s="62" t="s">
        <v>374</v>
      </c>
      <c r="P371" s="63" t="s">
        <v>488</v>
      </c>
      <c r="Q371" s="64" t="s">
        <v>41</v>
      </c>
    </row>
    <row r="372" spans="1:17" ht="90" x14ac:dyDescent="0.25">
      <c r="A372" s="1">
        <v>10</v>
      </c>
      <c r="B372" s="57">
        <f t="shared" si="28"/>
        <v>17</v>
      </c>
      <c r="C372" s="58" t="s">
        <v>489</v>
      </c>
      <c r="D372" s="59">
        <v>2017</v>
      </c>
      <c r="E372" s="60">
        <f>2891.119-2065.085</f>
        <v>826.03400000000011</v>
      </c>
      <c r="F372" s="61">
        <v>2065.085</v>
      </c>
      <c r="G372" s="60">
        <v>826.03399999999999</v>
      </c>
      <c r="H372" s="61">
        <v>2065.085</v>
      </c>
      <c r="I372" s="60">
        <v>610.61400000000003</v>
      </c>
      <c r="J372" s="61">
        <v>2065.085</v>
      </c>
      <c r="K372" s="60">
        <v>610.61399999999992</v>
      </c>
      <c r="L372" s="61">
        <v>2065.085</v>
      </c>
      <c r="M372" s="60">
        <v>0</v>
      </c>
      <c r="N372" s="61">
        <v>0</v>
      </c>
      <c r="O372" s="62" t="s">
        <v>374</v>
      </c>
      <c r="P372" s="63" t="s">
        <v>125</v>
      </c>
      <c r="Q372" s="64" t="s">
        <v>41</v>
      </c>
    </row>
    <row r="373" spans="1:17" ht="144" x14ac:dyDescent="0.25">
      <c r="A373" s="1">
        <v>10</v>
      </c>
      <c r="B373" s="57">
        <f t="shared" si="28"/>
        <v>18</v>
      </c>
      <c r="C373" s="58" t="s">
        <v>490</v>
      </c>
      <c r="D373" s="59">
        <v>2017</v>
      </c>
      <c r="E373" s="60">
        <f>1343.769-959.835</f>
        <v>383.93399999999997</v>
      </c>
      <c r="F373" s="61">
        <v>959.83500000000004</v>
      </c>
      <c r="G373" s="60">
        <v>383.93400000000003</v>
      </c>
      <c r="H373" s="61">
        <v>959.83500000000004</v>
      </c>
      <c r="I373" s="60">
        <v>286.69400000000002</v>
      </c>
      <c r="J373" s="61">
        <v>957.80499999999995</v>
      </c>
      <c r="K373" s="60">
        <v>286.69416999999999</v>
      </c>
      <c r="L373" s="61">
        <v>957.80477999999994</v>
      </c>
      <c r="M373" s="60">
        <v>0</v>
      </c>
      <c r="N373" s="61">
        <v>0</v>
      </c>
      <c r="O373" s="62" t="s">
        <v>374</v>
      </c>
      <c r="P373" s="63" t="s">
        <v>491</v>
      </c>
      <c r="Q373" s="64" t="s">
        <v>41</v>
      </c>
    </row>
    <row r="374" spans="1:17" ht="144.75" thickBot="1" x14ac:dyDescent="0.3">
      <c r="A374" s="1">
        <v>10</v>
      </c>
      <c r="B374" s="68">
        <f t="shared" si="28"/>
        <v>19</v>
      </c>
      <c r="C374" s="69" t="s">
        <v>492</v>
      </c>
      <c r="D374" s="70">
        <v>2017</v>
      </c>
      <c r="E374" s="80">
        <f>3757.388-2683.849-319.984</f>
        <v>753.55499999999984</v>
      </c>
      <c r="F374" s="81">
        <v>2683.8490000000002</v>
      </c>
      <c r="G374" s="80">
        <v>753.55499999999995</v>
      </c>
      <c r="H374" s="81">
        <v>2683.8490000000002</v>
      </c>
      <c r="I374" s="80">
        <v>753.55499999999995</v>
      </c>
      <c r="J374" s="81">
        <v>2676.4609999999998</v>
      </c>
      <c r="K374" s="80">
        <v>753.55520000000001</v>
      </c>
      <c r="L374" s="81">
        <v>2676.4618</v>
      </c>
      <c r="M374" s="80">
        <v>0</v>
      </c>
      <c r="N374" s="81">
        <v>0</v>
      </c>
      <c r="O374" s="73" t="s">
        <v>374</v>
      </c>
      <c r="P374" s="74" t="s">
        <v>493</v>
      </c>
      <c r="Q374" s="75" t="s">
        <v>41</v>
      </c>
    </row>
    <row r="375" spans="1:17" ht="18" x14ac:dyDescent="0.25">
      <c r="A375" s="1">
        <v>11</v>
      </c>
      <c r="B375" s="149" t="s">
        <v>494</v>
      </c>
      <c r="C375" s="150"/>
      <c r="D375" s="150"/>
      <c r="E375" s="150"/>
      <c r="F375" s="150"/>
      <c r="G375" s="150"/>
      <c r="H375" s="150"/>
      <c r="I375" s="150"/>
      <c r="J375" s="150"/>
      <c r="K375" s="150"/>
      <c r="L375" s="150"/>
      <c r="M375" s="150"/>
      <c r="N375" s="150"/>
      <c r="O375" s="150"/>
      <c r="P375" s="150"/>
      <c r="Q375" s="151"/>
    </row>
    <row r="376" spans="1:17" ht="18" x14ac:dyDescent="0.25">
      <c r="A376" s="1">
        <v>11</v>
      </c>
      <c r="B376" s="78"/>
      <c r="C376" s="41" t="s">
        <v>27</v>
      </c>
      <c r="D376" s="42"/>
      <c r="E376" s="43">
        <f>SUM(E377,E379:E386)</f>
        <v>18171.147000000001</v>
      </c>
      <c r="F376" s="44">
        <f t="shared" ref="F376:N376" si="29">SUM(F377,F379:F386)</f>
        <v>45427.867000000006</v>
      </c>
      <c r="G376" s="43">
        <f t="shared" si="29"/>
        <v>18171.147000000001</v>
      </c>
      <c r="H376" s="44">
        <f t="shared" si="29"/>
        <v>45427.867000000006</v>
      </c>
      <c r="I376" s="43">
        <f t="shared" si="29"/>
        <v>18135.465</v>
      </c>
      <c r="J376" s="44">
        <f t="shared" si="29"/>
        <v>45222.513999999996</v>
      </c>
      <c r="K376" s="43">
        <f t="shared" si="29"/>
        <v>18135.465</v>
      </c>
      <c r="L376" s="44">
        <f t="shared" si="29"/>
        <v>45222.513999999996</v>
      </c>
      <c r="M376" s="43">
        <f t="shared" si="29"/>
        <v>0</v>
      </c>
      <c r="N376" s="44">
        <f t="shared" si="29"/>
        <v>0</v>
      </c>
      <c r="O376" s="47"/>
      <c r="P376" s="48">
        <v>0</v>
      </c>
      <c r="Q376" s="49"/>
    </row>
    <row r="377" spans="1:17" ht="18" x14ac:dyDescent="0.25">
      <c r="A377" s="1">
        <v>11</v>
      </c>
      <c r="B377" s="79"/>
      <c r="C377" s="50" t="s">
        <v>24</v>
      </c>
      <c r="D377" s="51"/>
      <c r="E377" s="52">
        <v>0</v>
      </c>
      <c r="F377" s="53">
        <v>0</v>
      </c>
      <c r="G377" s="52">
        <v>0</v>
      </c>
      <c r="H377" s="53">
        <v>0</v>
      </c>
      <c r="I377" s="52"/>
      <c r="J377" s="53"/>
      <c r="K377" s="52"/>
      <c r="L377" s="53"/>
      <c r="M377" s="52"/>
      <c r="N377" s="53"/>
      <c r="O377" s="56"/>
      <c r="P377" s="30"/>
      <c r="Q377" s="31"/>
    </row>
    <row r="378" spans="1:17" ht="36" x14ac:dyDescent="0.25">
      <c r="A378" s="1">
        <v>11</v>
      </c>
      <c r="B378" s="79"/>
      <c r="C378" s="50" t="s">
        <v>25</v>
      </c>
      <c r="D378" s="51"/>
      <c r="E378" s="52">
        <f>SUM(E379:E386)</f>
        <v>18171.147000000001</v>
      </c>
      <c r="F378" s="53">
        <f t="shared" ref="F378:N378" si="30">SUM(F379:F386)</f>
        <v>45427.867000000006</v>
      </c>
      <c r="G378" s="52">
        <f t="shared" si="30"/>
        <v>18171.147000000001</v>
      </c>
      <c r="H378" s="53">
        <f t="shared" si="30"/>
        <v>45427.867000000006</v>
      </c>
      <c r="I378" s="52">
        <f t="shared" si="30"/>
        <v>18135.465</v>
      </c>
      <c r="J378" s="53">
        <f t="shared" si="30"/>
        <v>45222.513999999996</v>
      </c>
      <c r="K378" s="52">
        <f t="shared" si="30"/>
        <v>18135.465</v>
      </c>
      <c r="L378" s="53">
        <f t="shared" si="30"/>
        <v>45222.513999999996</v>
      </c>
      <c r="M378" s="52">
        <f t="shared" si="30"/>
        <v>0</v>
      </c>
      <c r="N378" s="53">
        <f t="shared" si="30"/>
        <v>0</v>
      </c>
      <c r="O378" s="56"/>
      <c r="P378" s="30"/>
      <c r="Q378" s="31"/>
    </row>
    <row r="379" spans="1:17" ht="72" x14ac:dyDescent="0.25">
      <c r="A379" s="1">
        <v>11</v>
      </c>
      <c r="B379" s="57">
        <v>1</v>
      </c>
      <c r="C379" s="58" t="s">
        <v>495</v>
      </c>
      <c r="D379" s="59" t="s">
        <v>35</v>
      </c>
      <c r="E379" s="60">
        <f>8882-1215</f>
        <v>7667</v>
      </c>
      <c r="F379" s="61">
        <v>0</v>
      </c>
      <c r="G379" s="60">
        <v>7667</v>
      </c>
      <c r="H379" s="61">
        <v>0</v>
      </c>
      <c r="I379" s="60">
        <v>7631.3180000000002</v>
      </c>
      <c r="J379" s="61">
        <v>0</v>
      </c>
      <c r="K379" s="60">
        <v>7631.3180000000002</v>
      </c>
      <c r="L379" s="61">
        <v>0</v>
      </c>
      <c r="M379" s="60">
        <v>0</v>
      </c>
      <c r="N379" s="61">
        <v>0</v>
      </c>
      <c r="O379" s="62" t="s">
        <v>496</v>
      </c>
      <c r="P379" s="63"/>
      <c r="Q379" s="64"/>
    </row>
    <row r="380" spans="1:17" ht="90" x14ac:dyDescent="0.25">
      <c r="A380" s="1">
        <v>11</v>
      </c>
      <c r="B380" s="57">
        <f>B379+1</f>
        <v>2</v>
      </c>
      <c r="C380" s="58" t="s">
        <v>497</v>
      </c>
      <c r="D380" s="59" t="s">
        <v>29</v>
      </c>
      <c r="E380" s="60">
        <f>14800-5510.853+1215</f>
        <v>10504.147000000001</v>
      </c>
      <c r="F380" s="61">
        <f>5510.853+4778.7</f>
        <v>10289.553</v>
      </c>
      <c r="G380" s="60">
        <v>10504.147000000001</v>
      </c>
      <c r="H380" s="61">
        <v>10289.553</v>
      </c>
      <c r="I380" s="60">
        <v>10504.147000000001</v>
      </c>
      <c r="J380" s="61">
        <v>10289.553</v>
      </c>
      <c r="K380" s="60">
        <v>10504.147000000001</v>
      </c>
      <c r="L380" s="61">
        <v>10289.553</v>
      </c>
      <c r="M380" s="60">
        <v>0</v>
      </c>
      <c r="N380" s="61">
        <v>0</v>
      </c>
      <c r="O380" s="62" t="s">
        <v>30</v>
      </c>
      <c r="P380" s="63"/>
      <c r="Q380" s="64"/>
    </row>
    <row r="381" spans="1:17" ht="90" x14ac:dyDescent="0.25">
      <c r="A381" s="1">
        <v>11</v>
      </c>
      <c r="B381" s="57">
        <f t="shared" ref="B381:B386" si="31">B380+1</f>
        <v>3</v>
      </c>
      <c r="C381" s="58" t="s">
        <v>498</v>
      </c>
      <c r="D381" s="59" t="s">
        <v>29</v>
      </c>
      <c r="E381" s="60">
        <v>0</v>
      </c>
      <c r="F381" s="61">
        <v>4934</v>
      </c>
      <c r="G381" s="60">
        <v>0</v>
      </c>
      <c r="H381" s="61">
        <v>4934</v>
      </c>
      <c r="I381" s="60">
        <v>0</v>
      </c>
      <c r="J381" s="61">
        <v>4863.3559999999998</v>
      </c>
      <c r="K381" s="60">
        <v>0</v>
      </c>
      <c r="L381" s="61">
        <v>4863.3559999999998</v>
      </c>
      <c r="M381" s="60">
        <v>0</v>
      </c>
      <c r="N381" s="61">
        <v>0</v>
      </c>
      <c r="O381" s="62" t="s">
        <v>30</v>
      </c>
      <c r="P381" s="63"/>
      <c r="Q381" s="64"/>
    </row>
    <row r="382" spans="1:17" ht="54" x14ac:dyDescent="0.25">
      <c r="A382" s="1">
        <v>11</v>
      </c>
      <c r="B382" s="57">
        <f t="shared" si="31"/>
        <v>4</v>
      </c>
      <c r="C382" s="58" t="s">
        <v>499</v>
      </c>
      <c r="D382" s="59" t="s">
        <v>29</v>
      </c>
      <c r="E382" s="60">
        <v>0</v>
      </c>
      <c r="F382" s="61">
        <f>8882-3600</f>
        <v>5282</v>
      </c>
      <c r="G382" s="60">
        <v>0</v>
      </c>
      <c r="H382" s="61">
        <v>5282</v>
      </c>
      <c r="I382" s="60">
        <v>0</v>
      </c>
      <c r="J382" s="61">
        <v>5282</v>
      </c>
      <c r="K382" s="60">
        <v>0</v>
      </c>
      <c r="L382" s="61">
        <v>5282</v>
      </c>
      <c r="M382" s="60">
        <v>0</v>
      </c>
      <c r="N382" s="61">
        <v>0</v>
      </c>
      <c r="O382" s="62" t="s">
        <v>30</v>
      </c>
      <c r="P382" s="63"/>
      <c r="Q382" s="64"/>
    </row>
    <row r="383" spans="1:17" ht="72" x14ac:dyDescent="0.25">
      <c r="A383" s="1">
        <v>11</v>
      </c>
      <c r="B383" s="57">
        <f t="shared" si="31"/>
        <v>5</v>
      </c>
      <c r="C383" s="58" t="s">
        <v>500</v>
      </c>
      <c r="D383" s="59" t="s">
        <v>29</v>
      </c>
      <c r="E383" s="60">
        <v>0</v>
      </c>
      <c r="F383" s="61">
        <f>9869-1178.7</f>
        <v>8690.2999999999993</v>
      </c>
      <c r="G383" s="60">
        <v>0</v>
      </c>
      <c r="H383" s="61">
        <v>8690.2999999999993</v>
      </c>
      <c r="I383" s="60">
        <v>0</v>
      </c>
      <c r="J383" s="61">
        <v>8562.8739999999998</v>
      </c>
      <c r="K383" s="60">
        <v>0</v>
      </c>
      <c r="L383" s="61">
        <v>8562.8739999999998</v>
      </c>
      <c r="M383" s="60">
        <v>0</v>
      </c>
      <c r="N383" s="61">
        <v>0</v>
      </c>
      <c r="O383" s="62" t="s">
        <v>30</v>
      </c>
      <c r="P383" s="63"/>
      <c r="Q383" s="64"/>
    </row>
    <row r="384" spans="1:17" ht="54" x14ac:dyDescent="0.25">
      <c r="A384" s="1">
        <v>11</v>
      </c>
      <c r="B384" s="57">
        <f t="shared" si="31"/>
        <v>6</v>
      </c>
      <c r="C384" s="58" t="s">
        <v>501</v>
      </c>
      <c r="D384" s="59" t="s">
        <v>29</v>
      </c>
      <c r="E384" s="60">
        <v>0</v>
      </c>
      <c r="F384" s="61">
        <v>8882</v>
      </c>
      <c r="G384" s="60">
        <v>0</v>
      </c>
      <c r="H384" s="61">
        <v>8882</v>
      </c>
      <c r="I384" s="60">
        <v>0</v>
      </c>
      <c r="J384" s="61">
        <v>8877.875</v>
      </c>
      <c r="K384" s="60">
        <v>0</v>
      </c>
      <c r="L384" s="61">
        <v>8877.875</v>
      </c>
      <c r="M384" s="60">
        <v>0</v>
      </c>
      <c r="N384" s="61">
        <v>0</v>
      </c>
      <c r="O384" s="62" t="s">
        <v>30</v>
      </c>
      <c r="P384" s="63"/>
      <c r="Q384" s="64"/>
    </row>
    <row r="385" spans="1:17" ht="72" x14ac:dyDescent="0.25">
      <c r="A385" s="1">
        <v>11</v>
      </c>
      <c r="B385" s="57">
        <f t="shared" si="31"/>
        <v>7</v>
      </c>
      <c r="C385" s="58" t="s">
        <v>502</v>
      </c>
      <c r="D385" s="59" t="s">
        <v>29</v>
      </c>
      <c r="E385" s="60">
        <v>0</v>
      </c>
      <c r="F385" s="61">
        <v>990.01400000000001</v>
      </c>
      <c r="G385" s="60">
        <v>0</v>
      </c>
      <c r="H385" s="61">
        <v>990.01400000000001</v>
      </c>
      <c r="I385" s="60">
        <v>0</v>
      </c>
      <c r="J385" s="61">
        <v>988.65300000000002</v>
      </c>
      <c r="K385" s="60">
        <v>0</v>
      </c>
      <c r="L385" s="61">
        <v>988.65300000000002</v>
      </c>
      <c r="M385" s="60">
        <v>0</v>
      </c>
      <c r="N385" s="61">
        <v>0</v>
      </c>
      <c r="O385" s="62" t="s">
        <v>30</v>
      </c>
      <c r="P385" s="63"/>
      <c r="Q385" s="64"/>
    </row>
    <row r="386" spans="1:17" ht="90.75" thickBot="1" x14ac:dyDescent="0.3">
      <c r="A386" s="1">
        <v>11</v>
      </c>
      <c r="B386" s="68">
        <f t="shared" si="31"/>
        <v>8</v>
      </c>
      <c r="C386" s="69" t="s">
        <v>503</v>
      </c>
      <c r="D386" s="70" t="s">
        <v>29</v>
      </c>
      <c r="E386" s="80">
        <v>0</v>
      </c>
      <c r="F386" s="81">
        <v>6360</v>
      </c>
      <c r="G386" s="80">
        <v>0</v>
      </c>
      <c r="H386" s="81">
        <v>6360</v>
      </c>
      <c r="I386" s="80">
        <v>0</v>
      </c>
      <c r="J386" s="81">
        <v>6358.2030000000004</v>
      </c>
      <c r="K386" s="80">
        <v>0</v>
      </c>
      <c r="L386" s="81">
        <v>6358.2030000000004</v>
      </c>
      <c r="M386" s="80">
        <v>0</v>
      </c>
      <c r="N386" s="81">
        <v>0</v>
      </c>
      <c r="O386" s="73" t="s">
        <v>30</v>
      </c>
      <c r="P386" s="74"/>
      <c r="Q386" s="75"/>
    </row>
    <row r="387" spans="1:17" ht="18" x14ac:dyDescent="0.25">
      <c r="A387" s="1">
        <v>12</v>
      </c>
      <c r="B387" s="149" t="s">
        <v>504</v>
      </c>
      <c r="C387" s="150"/>
      <c r="D387" s="150"/>
      <c r="E387" s="150"/>
      <c r="F387" s="150"/>
      <c r="G387" s="150"/>
      <c r="H387" s="150"/>
      <c r="I387" s="150"/>
      <c r="J387" s="150"/>
      <c r="K387" s="150"/>
      <c r="L387" s="150"/>
      <c r="M387" s="150"/>
      <c r="N387" s="150"/>
      <c r="O387" s="150"/>
      <c r="P387" s="150"/>
      <c r="Q387" s="151"/>
    </row>
    <row r="388" spans="1:17" ht="18" x14ac:dyDescent="0.25">
      <c r="A388" s="1">
        <v>12</v>
      </c>
      <c r="B388" s="78"/>
      <c r="C388" s="41" t="s">
        <v>27</v>
      </c>
      <c r="D388" s="42"/>
      <c r="E388" s="43">
        <f t="shared" ref="E388:N388" si="32">SUM(E389,E391:E447)</f>
        <v>68155.231</v>
      </c>
      <c r="F388" s="44">
        <f t="shared" si="32"/>
        <v>170388.07800000001</v>
      </c>
      <c r="G388" s="43">
        <f t="shared" si="32"/>
        <v>68155.231</v>
      </c>
      <c r="H388" s="44">
        <f t="shared" si="32"/>
        <v>170388.07800000001</v>
      </c>
      <c r="I388" s="43">
        <f t="shared" si="32"/>
        <v>37435.853999999999</v>
      </c>
      <c r="J388" s="44">
        <f t="shared" si="32"/>
        <v>134916.97800000003</v>
      </c>
      <c r="K388" s="43">
        <f t="shared" si="32"/>
        <v>37435.853999999999</v>
      </c>
      <c r="L388" s="44">
        <f t="shared" si="32"/>
        <v>132560.96800000002</v>
      </c>
      <c r="M388" s="43">
        <f t="shared" si="32"/>
        <v>0</v>
      </c>
      <c r="N388" s="44">
        <f t="shared" si="32"/>
        <v>0</v>
      </c>
      <c r="O388" s="47"/>
      <c r="P388" s="48">
        <f>26+1</f>
        <v>27</v>
      </c>
      <c r="Q388" s="49"/>
    </row>
    <row r="389" spans="1:17" ht="18" x14ac:dyDescent="0.25">
      <c r="A389" s="1">
        <v>12</v>
      </c>
      <c r="B389" s="79"/>
      <c r="C389" s="50" t="s">
        <v>24</v>
      </c>
      <c r="D389" s="51"/>
      <c r="E389" s="52">
        <v>0</v>
      </c>
      <c r="F389" s="53">
        <v>0</v>
      </c>
      <c r="G389" s="52">
        <v>0</v>
      </c>
      <c r="H389" s="53">
        <v>0</v>
      </c>
      <c r="I389" s="52"/>
      <c r="J389" s="53"/>
      <c r="K389" s="52"/>
      <c r="L389" s="53"/>
      <c r="M389" s="52"/>
      <c r="N389" s="53"/>
      <c r="O389" s="56"/>
      <c r="P389" s="30"/>
      <c r="Q389" s="31"/>
    </row>
    <row r="390" spans="1:17" ht="36" x14ac:dyDescent="0.25">
      <c r="A390" s="1">
        <v>12</v>
      </c>
      <c r="B390" s="79"/>
      <c r="C390" s="50" t="s">
        <v>25</v>
      </c>
      <c r="D390" s="51"/>
      <c r="E390" s="52">
        <f>SUM(E391:E447)</f>
        <v>68155.231</v>
      </c>
      <c r="F390" s="53">
        <f t="shared" ref="F390:N390" si="33">SUM(F391:F447)</f>
        <v>170388.07800000001</v>
      </c>
      <c r="G390" s="52">
        <f t="shared" si="33"/>
        <v>68155.231</v>
      </c>
      <c r="H390" s="53">
        <f t="shared" si="33"/>
        <v>170388.07800000001</v>
      </c>
      <c r="I390" s="52">
        <f t="shared" si="33"/>
        <v>37435.853999999999</v>
      </c>
      <c r="J390" s="53">
        <f t="shared" si="33"/>
        <v>134916.97800000003</v>
      </c>
      <c r="K390" s="52">
        <f t="shared" si="33"/>
        <v>37435.853999999999</v>
      </c>
      <c r="L390" s="53">
        <f t="shared" si="33"/>
        <v>132560.96800000002</v>
      </c>
      <c r="M390" s="52">
        <f t="shared" si="33"/>
        <v>0</v>
      </c>
      <c r="N390" s="53">
        <f t="shared" si="33"/>
        <v>0</v>
      </c>
      <c r="O390" s="56"/>
      <c r="P390" s="30"/>
      <c r="Q390" s="31"/>
    </row>
    <row r="391" spans="1:17" ht="90" x14ac:dyDescent="0.25">
      <c r="A391" s="1">
        <v>12</v>
      </c>
      <c r="B391" s="57">
        <v>1</v>
      </c>
      <c r="C391" s="58" t="s">
        <v>505</v>
      </c>
      <c r="D391" s="59" t="s">
        <v>38</v>
      </c>
      <c r="E391" s="60">
        <f>2751.149-2144.7</f>
        <v>606.44900000000007</v>
      </c>
      <c r="F391" s="61">
        <v>0</v>
      </c>
      <c r="G391" s="60">
        <v>606.44899999999996</v>
      </c>
      <c r="H391" s="61">
        <v>0</v>
      </c>
      <c r="I391" s="60">
        <v>605.60799999999995</v>
      </c>
      <c r="J391" s="61">
        <v>0</v>
      </c>
      <c r="K391" s="60">
        <v>605.60799999999995</v>
      </c>
      <c r="L391" s="61">
        <v>0</v>
      </c>
      <c r="M391" s="60">
        <v>0</v>
      </c>
      <c r="N391" s="61">
        <v>0</v>
      </c>
      <c r="O391" s="62" t="s">
        <v>506</v>
      </c>
      <c r="P391" s="63"/>
      <c r="Q391" s="64"/>
    </row>
    <row r="392" spans="1:17" ht="72" x14ac:dyDescent="0.25">
      <c r="A392" s="1">
        <v>12</v>
      </c>
      <c r="B392" s="57">
        <f>B391+1</f>
        <v>2</v>
      </c>
      <c r="C392" s="58" t="s">
        <v>507</v>
      </c>
      <c r="D392" s="59" t="s">
        <v>38</v>
      </c>
      <c r="E392" s="60">
        <v>2741.6129999999998</v>
      </c>
      <c r="F392" s="61">
        <v>0</v>
      </c>
      <c r="G392" s="60">
        <v>2741.6129999999998</v>
      </c>
      <c r="H392" s="61">
        <v>0</v>
      </c>
      <c r="I392" s="60">
        <v>1525.3810000000001</v>
      </c>
      <c r="J392" s="61">
        <v>0</v>
      </c>
      <c r="K392" s="60">
        <v>1525.3810000000001</v>
      </c>
      <c r="L392" s="61">
        <v>0</v>
      </c>
      <c r="M392" s="60">
        <v>0</v>
      </c>
      <c r="N392" s="61">
        <v>0</v>
      </c>
      <c r="O392" s="62" t="s">
        <v>506</v>
      </c>
      <c r="P392" s="63"/>
      <c r="Q392" s="64"/>
    </row>
    <row r="393" spans="1:17" ht="54" x14ac:dyDescent="0.25">
      <c r="A393" s="1">
        <v>12</v>
      </c>
      <c r="B393" s="57">
        <f t="shared" ref="B393:B447" si="34">B392+1</f>
        <v>3</v>
      </c>
      <c r="C393" s="58" t="s">
        <v>508</v>
      </c>
      <c r="D393" s="59" t="s">
        <v>38</v>
      </c>
      <c r="E393" s="60">
        <v>1863.386</v>
      </c>
      <c r="F393" s="61">
        <v>0</v>
      </c>
      <c r="G393" s="60">
        <v>1863.386</v>
      </c>
      <c r="H393" s="61">
        <v>0</v>
      </c>
      <c r="I393" s="60">
        <v>887.45299999999997</v>
      </c>
      <c r="J393" s="61">
        <v>0</v>
      </c>
      <c r="K393" s="60">
        <v>887.45299999999997</v>
      </c>
      <c r="L393" s="61">
        <v>0</v>
      </c>
      <c r="M393" s="60">
        <v>0</v>
      </c>
      <c r="N393" s="61">
        <v>0</v>
      </c>
      <c r="O393" s="62" t="s">
        <v>506</v>
      </c>
      <c r="P393" s="63"/>
      <c r="Q393" s="64"/>
    </row>
    <row r="394" spans="1:17" ht="54" x14ac:dyDescent="0.25">
      <c r="A394" s="1">
        <v>12</v>
      </c>
      <c r="B394" s="57">
        <f t="shared" si="34"/>
        <v>4</v>
      </c>
      <c r="C394" s="58" t="s">
        <v>509</v>
      </c>
      <c r="D394" s="59" t="s">
        <v>38</v>
      </c>
      <c r="E394" s="60">
        <v>833.46400000000006</v>
      </c>
      <c r="F394" s="61">
        <v>0</v>
      </c>
      <c r="G394" s="60">
        <v>833.46400000000006</v>
      </c>
      <c r="H394" s="61">
        <v>0</v>
      </c>
      <c r="I394" s="60">
        <v>161.96299999999999</v>
      </c>
      <c r="J394" s="61">
        <v>0</v>
      </c>
      <c r="K394" s="60">
        <v>161.96299999999999</v>
      </c>
      <c r="L394" s="61">
        <v>0</v>
      </c>
      <c r="M394" s="60">
        <v>0</v>
      </c>
      <c r="N394" s="61">
        <v>0</v>
      </c>
      <c r="O394" s="62" t="s">
        <v>506</v>
      </c>
      <c r="P394" s="63"/>
      <c r="Q394" s="64"/>
    </row>
    <row r="395" spans="1:17" ht="72" x14ac:dyDescent="0.25">
      <c r="A395" s="1">
        <v>12</v>
      </c>
      <c r="B395" s="57">
        <f t="shared" si="34"/>
        <v>5</v>
      </c>
      <c r="C395" s="58" t="s">
        <v>510</v>
      </c>
      <c r="D395" s="59" t="s">
        <v>38</v>
      </c>
      <c r="E395" s="60">
        <f>4415.582-417.649</f>
        <v>3997.9330000000004</v>
      </c>
      <c r="F395" s="61">
        <v>0</v>
      </c>
      <c r="G395" s="60">
        <v>3997.933</v>
      </c>
      <c r="H395" s="61">
        <v>0</v>
      </c>
      <c r="I395" s="60">
        <v>3045.864</v>
      </c>
      <c r="J395" s="61">
        <v>0</v>
      </c>
      <c r="K395" s="60">
        <v>3045.864</v>
      </c>
      <c r="L395" s="61">
        <v>0</v>
      </c>
      <c r="M395" s="60">
        <v>0</v>
      </c>
      <c r="N395" s="61">
        <v>0</v>
      </c>
      <c r="O395" s="62" t="s">
        <v>52</v>
      </c>
      <c r="P395" s="63" t="s">
        <v>511</v>
      </c>
      <c r="Q395" s="64" t="s">
        <v>41</v>
      </c>
    </row>
    <row r="396" spans="1:17" ht="85.5" x14ac:dyDescent="0.25">
      <c r="A396" s="1">
        <v>12</v>
      </c>
      <c r="B396" s="57">
        <f t="shared" si="34"/>
        <v>6</v>
      </c>
      <c r="C396" s="58" t="s">
        <v>512</v>
      </c>
      <c r="D396" s="59" t="s">
        <v>38</v>
      </c>
      <c r="E396" s="60">
        <f>2389.01-729.48</f>
        <v>1659.5300000000002</v>
      </c>
      <c r="F396" s="61">
        <v>0</v>
      </c>
      <c r="G396" s="60">
        <v>1659.53</v>
      </c>
      <c r="H396" s="61">
        <v>0</v>
      </c>
      <c r="I396" s="60">
        <v>1649.796</v>
      </c>
      <c r="J396" s="61">
        <v>0</v>
      </c>
      <c r="K396" s="60">
        <v>1649.796</v>
      </c>
      <c r="L396" s="61">
        <v>0</v>
      </c>
      <c r="M396" s="60">
        <v>0</v>
      </c>
      <c r="N396" s="61">
        <v>0</v>
      </c>
      <c r="O396" s="62" t="s">
        <v>52</v>
      </c>
      <c r="P396" s="106" t="s">
        <v>513</v>
      </c>
      <c r="Q396" s="64" t="s">
        <v>41</v>
      </c>
    </row>
    <row r="397" spans="1:17" ht="90" x14ac:dyDescent="0.25">
      <c r="A397" s="1">
        <v>12</v>
      </c>
      <c r="B397" s="57">
        <f t="shared" si="34"/>
        <v>7</v>
      </c>
      <c r="C397" s="58" t="s">
        <v>514</v>
      </c>
      <c r="D397" s="59" t="s">
        <v>38</v>
      </c>
      <c r="E397" s="60">
        <f>3096.899-628.529</f>
        <v>2468.37</v>
      </c>
      <c r="F397" s="61">
        <v>0</v>
      </c>
      <c r="G397" s="60">
        <v>2468.37</v>
      </c>
      <c r="H397" s="61">
        <v>0</v>
      </c>
      <c r="I397" s="60">
        <v>2468.37</v>
      </c>
      <c r="J397" s="61">
        <v>0</v>
      </c>
      <c r="K397" s="60">
        <v>2468.37</v>
      </c>
      <c r="L397" s="61">
        <v>0</v>
      </c>
      <c r="M397" s="60">
        <v>0</v>
      </c>
      <c r="N397" s="61">
        <v>0</v>
      </c>
      <c r="O397" s="62" t="s">
        <v>52</v>
      </c>
      <c r="P397" s="63" t="s">
        <v>114</v>
      </c>
      <c r="Q397" s="64" t="s">
        <v>515</v>
      </c>
    </row>
    <row r="398" spans="1:17" ht="126" x14ac:dyDescent="0.25">
      <c r="A398" s="1">
        <v>12</v>
      </c>
      <c r="B398" s="57">
        <f t="shared" si="34"/>
        <v>8</v>
      </c>
      <c r="C398" s="58" t="s">
        <v>516</v>
      </c>
      <c r="D398" s="59" t="s">
        <v>38</v>
      </c>
      <c r="E398" s="60">
        <v>0</v>
      </c>
      <c r="F398" s="61">
        <f>1181.775-339.755</f>
        <v>842.0200000000001</v>
      </c>
      <c r="G398" s="60">
        <v>0</v>
      </c>
      <c r="H398" s="61">
        <v>842.02</v>
      </c>
      <c r="I398" s="60">
        <v>0</v>
      </c>
      <c r="J398" s="61">
        <v>365.88400000000001</v>
      </c>
      <c r="K398" s="60">
        <v>0</v>
      </c>
      <c r="L398" s="61">
        <v>365.88400000000001</v>
      </c>
      <c r="M398" s="60">
        <v>0</v>
      </c>
      <c r="N398" s="61">
        <v>0</v>
      </c>
      <c r="O398" s="62" t="s">
        <v>506</v>
      </c>
      <c r="P398" s="63"/>
      <c r="Q398" s="64"/>
    </row>
    <row r="399" spans="1:17" ht="90" x14ac:dyDescent="0.25">
      <c r="A399" s="1">
        <v>12</v>
      </c>
      <c r="B399" s="57">
        <f t="shared" si="34"/>
        <v>9</v>
      </c>
      <c r="C399" s="58" t="s">
        <v>517</v>
      </c>
      <c r="D399" s="59">
        <v>2017</v>
      </c>
      <c r="E399" s="60">
        <v>0</v>
      </c>
      <c r="F399" s="61">
        <v>10565.67</v>
      </c>
      <c r="G399" s="60">
        <v>0</v>
      </c>
      <c r="H399" s="61">
        <v>10565.67</v>
      </c>
      <c r="I399" s="60">
        <v>0</v>
      </c>
      <c r="J399" s="61">
        <v>9375.0249999999996</v>
      </c>
      <c r="K399" s="60">
        <v>0</v>
      </c>
      <c r="L399" s="61">
        <v>9375.0249999999996</v>
      </c>
      <c r="M399" s="60">
        <v>0</v>
      </c>
      <c r="N399" s="61">
        <v>0</v>
      </c>
      <c r="O399" s="62" t="s">
        <v>506</v>
      </c>
      <c r="P399" s="63"/>
      <c r="Q399" s="64"/>
    </row>
    <row r="400" spans="1:17" ht="108" x14ac:dyDescent="0.25">
      <c r="A400" s="1">
        <v>12</v>
      </c>
      <c r="B400" s="57">
        <f t="shared" si="34"/>
        <v>10</v>
      </c>
      <c r="C400" s="58" t="s">
        <v>518</v>
      </c>
      <c r="D400" s="59">
        <v>2017</v>
      </c>
      <c r="E400" s="60">
        <v>0</v>
      </c>
      <c r="F400" s="61">
        <f>9800.723-3021.146</f>
        <v>6779.5769999999993</v>
      </c>
      <c r="G400" s="60">
        <v>0</v>
      </c>
      <c r="H400" s="61">
        <v>6779.5770000000002</v>
      </c>
      <c r="I400" s="60">
        <v>0</v>
      </c>
      <c r="J400" s="61">
        <v>2876.7649999999999</v>
      </c>
      <c r="K400" s="60">
        <v>0</v>
      </c>
      <c r="L400" s="61">
        <v>2876.7649999999999</v>
      </c>
      <c r="M400" s="60">
        <v>0</v>
      </c>
      <c r="N400" s="61">
        <v>0</v>
      </c>
      <c r="O400" s="62" t="s">
        <v>506</v>
      </c>
      <c r="P400" s="63"/>
      <c r="Q400" s="64"/>
    </row>
    <row r="401" spans="1:17" ht="85.5" x14ac:dyDescent="0.25">
      <c r="A401" s="1">
        <v>12</v>
      </c>
      <c r="B401" s="57">
        <f t="shared" si="34"/>
        <v>11</v>
      </c>
      <c r="C401" s="58" t="s">
        <v>519</v>
      </c>
      <c r="D401" s="59">
        <v>2017</v>
      </c>
      <c r="E401" s="60">
        <v>0</v>
      </c>
      <c r="F401" s="61">
        <f>6300-176.158</f>
        <v>6123.8419999999996</v>
      </c>
      <c r="G401" s="60">
        <v>0</v>
      </c>
      <c r="H401" s="61">
        <v>6123.8419999999996</v>
      </c>
      <c r="I401" s="60">
        <v>0</v>
      </c>
      <c r="J401" s="61">
        <v>6117.8329999999996</v>
      </c>
      <c r="K401" s="60">
        <v>0</v>
      </c>
      <c r="L401" s="61">
        <v>6117.8310000000001</v>
      </c>
      <c r="M401" s="60">
        <v>0</v>
      </c>
      <c r="N401" s="61">
        <v>0</v>
      </c>
      <c r="O401" s="62" t="s">
        <v>52</v>
      </c>
      <c r="P401" s="106" t="s">
        <v>520</v>
      </c>
      <c r="Q401" s="64" t="s">
        <v>41</v>
      </c>
    </row>
    <row r="402" spans="1:17" ht="108" x14ac:dyDescent="0.25">
      <c r="A402" s="1">
        <v>12</v>
      </c>
      <c r="B402" s="57">
        <f t="shared" si="34"/>
        <v>12</v>
      </c>
      <c r="C402" s="58" t="s">
        <v>521</v>
      </c>
      <c r="D402" s="59">
        <v>2017</v>
      </c>
      <c r="E402" s="60">
        <v>0</v>
      </c>
      <c r="F402" s="61">
        <f>3150-62.576</f>
        <v>3087.424</v>
      </c>
      <c r="G402" s="60">
        <v>0</v>
      </c>
      <c r="H402" s="61">
        <v>3087.424</v>
      </c>
      <c r="I402" s="60">
        <v>0</v>
      </c>
      <c r="J402" s="61">
        <v>2989.4279999999999</v>
      </c>
      <c r="K402" s="60">
        <v>0</v>
      </c>
      <c r="L402" s="61">
        <v>2989.4279999999999</v>
      </c>
      <c r="M402" s="60">
        <v>0</v>
      </c>
      <c r="N402" s="61">
        <v>0</v>
      </c>
      <c r="O402" s="62" t="s">
        <v>52</v>
      </c>
      <c r="P402" s="106" t="s">
        <v>522</v>
      </c>
      <c r="Q402" s="64" t="s">
        <v>41</v>
      </c>
    </row>
    <row r="403" spans="1:17" ht="108" x14ac:dyDescent="0.25">
      <c r="A403" s="1">
        <v>12</v>
      </c>
      <c r="B403" s="57">
        <f t="shared" si="34"/>
        <v>13</v>
      </c>
      <c r="C403" s="58" t="s">
        <v>523</v>
      </c>
      <c r="D403" s="59">
        <v>2017</v>
      </c>
      <c r="E403" s="60">
        <v>0</v>
      </c>
      <c r="F403" s="61">
        <f>3398.005-101.28</f>
        <v>3296.7249999999999</v>
      </c>
      <c r="G403" s="60">
        <v>0</v>
      </c>
      <c r="H403" s="61">
        <v>3296.7249999999999</v>
      </c>
      <c r="I403" s="60">
        <v>0</v>
      </c>
      <c r="J403" s="61">
        <v>3187.4290000000001</v>
      </c>
      <c r="K403" s="60">
        <v>0</v>
      </c>
      <c r="L403" s="61">
        <v>3187.4290000000001</v>
      </c>
      <c r="M403" s="60">
        <v>0</v>
      </c>
      <c r="N403" s="61">
        <v>0</v>
      </c>
      <c r="O403" s="62" t="s">
        <v>52</v>
      </c>
      <c r="P403" s="106" t="s">
        <v>524</v>
      </c>
      <c r="Q403" s="64" t="s">
        <v>41</v>
      </c>
    </row>
    <row r="404" spans="1:17" ht="72" x14ac:dyDescent="0.25">
      <c r="A404" s="1">
        <v>12</v>
      </c>
      <c r="B404" s="57">
        <f t="shared" si="34"/>
        <v>14</v>
      </c>
      <c r="C404" s="58" t="s">
        <v>525</v>
      </c>
      <c r="D404" s="59">
        <v>2017</v>
      </c>
      <c r="E404" s="60">
        <v>0</v>
      </c>
      <c r="F404" s="61">
        <v>1090.163</v>
      </c>
      <c r="G404" s="60">
        <v>0</v>
      </c>
      <c r="H404" s="61">
        <v>1090.163</v>
      </c>
      <c r="I404" s="60">
        <v>0</v>
      </c>
      <c r="J404" s="61">
        <v>970.41</v>
      </c>
      <c r="K404" s="60">
        <v>0</v>
      </c>
      <c r="L404" s="61">
        <v>970.41</v>
      </c>
      <c r="M404" s="60">
        <v>0</v>
      </c>
      <c r="N404" s="61">
        <v>0</v>
      </c>
      <c r="O404" s="62" t="s">
        <v>52</v>
      </c>
      <c r="P404" s="63" t="s">
        <v>526</v>
      </c>
      <c r="Q404" s="64" t="s">
        <v>527</v>
      </c>
    </row>
    <row r="405" spans="1:17" ht="54" x14ac:dyDescent="0.25">
      <c r="A405" s="1">
        <v>12</v>
      </c>
      <c r="B405" s="57">
        <f t="shared" si="34"/>
        <v>15</v>
      </c>
      <c r="C405" s="58" t="s">
        <v>528</v>
      </c>
      <c r="D405" s="59">
        <v>2017</v>
      </c>
      <c r="E405" s="60">
        <v>0</v>
      </c>
      <c r="F405" s="61">
        <v>2242.134</v>
      </c>
      <c r="G405" s="60">
        <v>0</v>
      </c>
      <c r="H405" s="61">
        <v>2242.134</v>
      </c>
      <c r="I405" s="60">
        <v>0</v>
      </c>
      <c r="J405" s="61">
        <v>0</v>
      </c>
      <c r="K405" s="60">
        <v>0</v>
      </c>
      <c r="L405" s="61">
        <v>0</v>
      </c>
      <c r="M405" s="60">
        <v>0</v>
      </c>
      <c r="N405" s="61">
        <v>0</v>
      </c>
      <c r="O405" s="62" t="s">
        <v>374</v>
      </c>
      <c r="P405" s="63"/>
      <c r="Q405" s="64"/>
    </row>
    <row r="406" spans="1:17" ht="72" x14ac:dyDescent="0.25">
      <c r="A406" s="1">
        <v>12</v>
      </c>
      <c r="B406" s="57">
        <f t="shared" si="34"/>
        <v>16</v>
      </c>
      <c r="C406" s="58" t="s">
        <v>529</v>
      </c>
      <c r="D406" s="59">
        <v>2017</v>
      </c>
      <c r="E406" s="60">
        <v>0</v>
      </c>
      <c r="F406" s="61">
        <v>535.25</v>
      </c>
      <c r="G406" s="60">
        <v>0</v>
      </c>
      <c r="H406" s="61">
        <v>535.25</v>
      </c>
      <c r="I406" s="60">
        <v>0</v>
      </c>
      <c r="J406" s="61">
        <v>512.22199999999998</v>
      </c>
      <c r="K406" s="60">
        <v>0</v>
      </c>
      <c r="L406" s="61">
        <v>512.22199999999998</v>
      </c>
      <c r="M406" s="60">
        <v>0</v>
      </c>
      <c r="N406" s="61">
        <v>0</v>
      </c>
      <c r="O406" s="62" t="s">
        <v>374</v>
      </c>
      <c r="P406" s="63" t="s">
        <v>530</v>
      </c>
      <c r="Q406" s="64" t="s">
        <v>527</v>
      </c>
    </row>
    <row r="407" spans="1:17" ht="54" x14ac:dyDescent="0.25">
      <c r="A407" s="1">
        <v>12</v>
      </c>
      <c r="B407" s="57">
        <f t="shared" si="34"/>
        <v>17</v>
      </c>
      <c r="C407" s="58" t="s">
        <v>531</v>
      </c>
      <c r="D407" s="59">
        <v>2017</v>
      </c>
      <c r="E407" s="60">
        <v>0</v>
      </c>
      <c r="F407" s="61">
        <v>2242.134</v>
      </c>
      <c r="G407" s="60">
        <v>0</v>
      </c>
      <c r="H407" s="61">
        <v>2242.134</v>
      </c>
      <c r="I407" s="60">
        <v>0</v>
      </c>
      <c r="J407" s="61">
        <v>0</v>
      </c>
      <c r="K407" s="60">
        <v>0</v>
      </c>
      <c r="L407" s="61">
        <v>0</v>
      </c>
      <c r="M407" s="60">
        <v>0</v>
      </c>
      <c r="N407" s="61">
        <v>0</v>
      </c>
      <c r="O407" s="62" t="s">
        <v>506</v>
      </c>
      <c r="P407" s="63"/>
      <c r="Q407" s="64"/>
    </row>
    <row r="408" spans="1:17" ht="72" x14ac:dyDescent="0.25">
      <c r="A408" s="1">
        <v>12</v>
      </c>
      <c r="B408" s="57">
        <f t="shared" si="34"/>
        <v>18</v>
      </c>
      <c r="C408" s="58" t="s">
        <v>532</v>
      </c>
      <c r="D408" s="59">
        <v>2017</v>
      </c>
      <c r="E408" s="60">
        <v>0</v>
      </c>
      <c r="F408" s="61">
        <f>5133.286-438.101</f>
        <v>4695.1850000000004</v>
      </c>
      <c r="G408" s="60">
        <v>0</v>
      </c>
      <c r="H408" s="61">
        <v>4695.1850000000004</v>
      </c>
      <c r="I408" s="60">
        <v>0</v>
      </c>
      <c r="J408" s="61">
        <v>3503.933</v>
      </c>
      <c r="K408" s="60">
        <v>0</v>
      </c>
      <c r="L408" s="61">
        <v>3503.933</v>
      </c>
      <c r="M408" s="60">
        <v>0</v>
      </c>
      <c r="N408" s="61">
        <v>0</v>
      </c>
      <c r="O408" s="62" t="s">
        <v>506</v>
      </c>
      <c r="P408" s="63"/>
      <c r="Q408" s="64"/>
    </row>
    <row r="409" spans="1:17" ht="90" x14ac:dyDescent="0.25">
      <c r="A409" s="1">
        <v>12</v>
      </c>
      <c r="B409" s="57">
        <f t="shared" si="34"/>
        <v>19</v>
      </c>
      <c r="C409" s="58" t="s">
        <v>533</v>
      </c>
      <c r="D409" s="59">
        <v>2017</v>
      </c>
      <c r="E409" s="60">
        <v>0</v>
      </c>
      <c r="F409" s="61">
        <v>3560.4740000000002</v>
      </c>
      <c r="G409" s="60">
        <v>0</v>
      </c>
      <c r="H409" s="61">
        <v>3560.4740000000002</v>
      </c>
      <c r="I409" s="60">
        <v>0</v>
      </c>
      <c r="J409" s="61">
        <v>2293.1790000000001</v>
      </c>
      <c r="K409" s="60">
        <v>0</v>
      </c>
      <c r="L409" s="61">
        <v>2293.1790000000001</v>
      </c>
      <c r="M409" s="60">
        <v>0</v>
      </c>
      <c r="N409" s="61">
        <v>0</v>
      </c>
      <c r="O409" s="62" t="s">
        <v>506</v>
      </c>
      <c r="P409" s="63"/>
      <c r="Q409" s="64"/>
    </row>
    <row r="410" spans="1:17" ht="72" x14ac:dyDescent="0.25">
      <c r="A410" s="1">
        <v>12</v>
      </c>
      <c r="B410" s="57">
        <f t="shared" si="34"/>
        <v>20</v>
      </c>
      <c r="C410" s="58" t="s">
        <v>534</v>
      </c>
      <c r="D410" s="59" t="s">
        <v>29</v>
      </c>
      <c r="E410" s="60">
        <v>0</v>
      </c>
      <c r="F410" s="61">
        <v>4353.3</v>
      </c>
      <c r="G410" s="60">
        <v>0</v>
      </c>
      <c r="H410" s="61">
        <v>4353.3</v>
      </c>
      <c r="I410" s="60">
        <v>0</v>
      </c>
      <c r="J410" s="61">
        <v>4218.875</v>
      </c>
      <c r="K410" s="60">
        <v>0</v>
      </c>
      <c r="L410" s="61">
        <v>4218.875</v>
      </c>
      <c r="M410" s="60">
        <v>0</v>
      </c>
      <c r="N410" s="61">
        <v>0</v>
      </c>
      <c r="O410" s="62" t="s">
        <v>36</v>
      </c>
      <c r="P410" s="63"/>
      <c r="Q410" s="64"/>
    </row>
    <row r="411" spans="1:17" ht="162" x14ac:dyDescent="0.25">
      <c r="A411" s="1">
        <v>12</v>
      </c>
      <c r="B411" s="57">
        <f t="shared" si="34"/>
        <v>21</v>
      </c>
      <c r="C411" s="58" t="s">
        <v>535</v>
      </c>
      <c r="D411" s="59" t="s">
        <v>29</v>
      </c>
      <c r="E411" s="60">
        <v>0</v>
      </c>
      <c r="F411" s="61">
        <v>12720.6</v>
      </c>
      <c r="G411" s="60">
        <v>0</v>
      </c>
      <c r="H411" s="61">
        <v>12720.6</v>
      </c>
      <c r="I411" s="60">
        <v>0</v>
      </c>
      <c r="J411" s="61">
        <v>12720.599</v>
      </c>
      <c r="K411" s="60">
        <v>0</v>
      </c>
      <c r="L411" s="61">
        <v>12720.599</v>
      </c>
      <c r="M411" s="60">
        <v>0</v>
      </c>
      <c r="N411" s="61">
        <v>0</v>
      </c>
      <c r="O411" s="62" t="s">
        <v>36</v>
      </c>
      <c r="P411" s="63"/>
      <c r="Q411" s="64"/>
    </row>
    <row r="412" spans="1:17" ht="72" x14ac:dyDescent="0.25">
      <c r="A412" s="1">
        <v>12</v>
      </c>
      <c r="B412" s="57">
        <f t="shared" si="34"/>
        <v>22</v>
      </c>
      <c r="C412" s="58" t="s">
        <v>536</v>
      </c>
      <c r="D412" s="59" t="s">
        <v>38</v>
      </c>
      <c r="E412" s="60">
        <v>0</v>
      </c>
      <c r="F412" s="61">
        <f>25158.424-136.282</f>
        <v>25022.142</v>
      </c>
      <c r="G412" s="60">
        <v>0</v>
      </c>
      <c r="H412" s="61">
        <v>25022.142</v>
      </c>
      <c r="I412" s="60">
        <v>0</v>
      </c>
      <c r="J412" s="61">
        <v>25022.14</v>
      </c>
      <c r="K412" s="60">
        <v>0</v>
      </c>
      <c r="L412" s="61">
        <v>25022.14</v>
      </c>
      <c r="M412" s="60">
        <v>0</v>
      </c>
      <c r="N412" s="61">
        <v>0</v>
      </c>
      <c r="O412" s="62" t="s">
        <v>537</v>
      </c>
      <c r="P412" s="63" t="s">
        <v>538</v>
      </c>
      <c r="Q412" s="64" t="s">
        <v>41</v>
      </c>
    </row>
    <row r="413" spans="1:17" ht="72" x14ac:dyDescent="0.25">
      <c r="A413" s="1">
        <v>12</v>
      </c>
      <c r="B413" s="57">
        <f t="shared" si="34"/>
        <v>23</v>
      </c>
      <c r="C413" s="58" t="s">
        <v>539</v>
      </c>
      <c r="D413" s="59">
        <v>2017</v>
      </c>
      <c r="E413" s="60">
        <v>0</v>
      </c>
      <c r="F413" s="61">
        <v>1025.212</v>
      </c>
      <c r="G413" s="60">
        <v>0</v>
      </c>
      <c r="H413" s="61">
        <v>1025.212</v>
      </c>
      <c r="I413" s="60">
        <v>0</v>
      </c>
      <c r="J413" s="61">
        <v>993.80399999999997</v>
      </c>
      <c r="K413" s="60">
        <v>0</v>
      </c>
      <c r="L413" s="61">
        <v>993.80399999999997</v>
      </c>
      <c r="M413" s="60">
        <v>0</v>
      </c>
      <c r="N413" s="61">
        <v>0</v>
      </c>
      <c r="O413" s="62" t="s">
        <v>540</v>
      </c>
      <c r="P413" s="63"/>
      <c r="Q413" s="64"/>
    </row>
    <row r="414" spans="1:17" ht="90" x14ac:dyDescent="0.25">
      <c r="A414" s="1">
        <v>12</v>
      </c>
      <c r="B414" s="57">
        <f t="shared" si="34"/>
        <v>24</v>
      </c>
      <c r="C414" s="58" t="s">
        <v>541</v>
      </c>
      <c r="D414" s="59">
        <v>2017</v>
      </c>
      <c r="E414" s="60">
        <v>0</v>
      </c>
      <c r="F414" s="61">
        <v>1381.299</v>
      </c>
      <c r="G414" s="60">
        <v>0</v>
      </c>
      <c r="H414" s="61">
        <v>1381.299</v>
      </c>
      <c r="I414" s="60">
        <v>0</v>
      </c>
      <c r="J414" s="61">
        <v>930.03399999999999</v>
      </c>
      <c r="K414" s="60">
        <v>0</v>
      </c>
      <c r="L414" s="61">
        <v>930.03399999999999</v>
      </c>
      <c r="M414" s="60">
        <v>0</v>
      </c>
      <c r="N414" s="61">
        <v>0</v>
      </c>
      <c r="O414" s="62" t="s">
        <v>374</v>
      </c>
      <c r="P414" s="63"/>
      <c r="Q414" s="64"/>
    </row>
    <row r="415" spans="1:17" ht="90" x14ac:dyDescent="0.25">
      <c r="A415" s="1">
        <v>12</v>
      </c>
      <c r="B415" s="57">
        <f t="shared" si="34"/>
        <v>25</v>
      </c>
      <c r="C415" s="58" t="s">
        <v>542</v>
      </c>
      <c r="D415" s="59">
        <v>2017</v>
      </c>
      <c r="E415" s="60">
        <v>0</v>
      </c>
      <c r="F415" s="61">
        <v>5976</v>
      </c>
      <c r="G415" s="60">
        <v>0</v>
      </c>
      <c r="H415" s="61">
        <v>5976</v>
      </c>
      <c r="I415" s="60">
        <v>0</v>
      </c>
      <c r="J415" s="61">
        <v>5785.0060000000003</v>
      </c>
      <c r="K415" s="60">
        <v>0</v>
      </c>
      <c r="L415" s="61">
        <v>5785.0060000000003</v>
      </c>
      <c r="M415" s="60">
        <v>0</v>
      </c>
      <c r="N415" s="61">
        <v>0</v>
      </c>
      <c r="O415" s="62" t="s">
        <v>540</v>
      </c>
      <c r="P415" s="63"/>
      <c r="Q415" s="64"/>
    </row>
    <row r="416" spans="1:17" ht="90" x14ac:dyDescent="0.25">
      <c r="A416" s="1">
        <v>12</v>
      </c>
      <c r="B416" s="57">
        <f t="shared" si="34"/>
        <v>26</v>
      </c>
      <c r="C416" s="58" t="s">
        <v>543</v>
      </c>
      <c r="D416" s="59">
        <v>2017</v>
      </c>
      <c r="E416" s="60">
        <v>0</v>
      </c>
      <c r="F416" s="61">
        <v>1385.3789999999999</v>
      </c>
      <c r="G416" s="60">
        <v>0</v>
      </c>
      <c r="H416" s="61">
        <v>1385.3789999999999</v>
      </c>
      <c r="I416" s="60">
        <v>0</v>
      </c>
      <c r="J416" s="61">
        <v>1085.337</v>
      </c>
      <c r="K416" s="60">
        <v>0</v>
      </c>
      <c r="L416" s="61">
        <v>1085.337</v>
      </c>
      <c r="M416" s="60">
        <v>0</v>
      </c>
      <c r="N416" s="61">
        <v>0</v>
      </c>
      <c r="O416" s="62" t="s">
        <v>374</v>
      </c>
      <c r="P416" s="63"/>
      <c r="Q416" s="64"/>
    </row>
    <row r="417" spans="1:17" ht="90" x14ac:dyDescent="0.25">
      <c r="A417" s="1">
        <v>12</v>
      </c>
      <c r="B417" s="57">
        <f t="shared" si="34"/>
        <v>27</v>
      </c>
      <c r="C417" s="58" t="s">
        <v>544</v>
      </c>
      <c r="D417" s="59">
        <v>2017</v>
      </c>
      <c r="E417" s="60">
        <v>0</v>
      </c>
      <c r="F417" s="61">
        <v>11328.912</v>
      </c>
      <c r="G417" s="60">
        <v>0</v>
      </c>
      <c r="H417" s="61">
        <v>11328.912</v>
      </c>
      <c r="I417" s="60">
        <v>0</v>
      </c>
      <c r="J417" s="61">
        <v>11168.754000000001</v>
      </c>
      <c r="K417" s="60">
        <v>0</v>
      </c>
      <c r="L417" s="61">
        <v>11168.754000000001</v>
      </c>
      <c r="M417" s="60">
        <v>0</v>
      </c>
      <c r="N417" s="61">
        <v>0</v>
      </c>
      <c r="O417" s="62" t="s">
        <v>540</v>
      </c>
      <c r="P417" s="63"/>
      <c r="Q417" s="64"/>
    </row>
    <row r="418" spans="1:17" ht="54" x14ac:dyDescent="0.25">
      <c r="A418" s="1">
        <v>12</v>
      </c>
      <c r="B418" s="57">
        <f t="shared" si="34"/>
        <v>28</v>
      </c>
      <c r="C418" s="58" t="s">
        <v>545</v>
      </c>
      <c r="D418" s="59">
        <v>2017</v>
      </c>
      <c r="E418" s="60">
        <v>0</v>
      </c>
      <c r="F418" s="61">
        <v>397.65499999999997</v>
      </c>
      <c r="G418" s="60">
        <v>0</v>
      </c>
      <c r="H418" s="61">
        <v>397.65499999999997</v>
      </c>
      <c r="I418" s="60">
        <v>0</v>
      </c>
      <c r="J418" s="61">
        <v>250.90600000000001</v>
      </c>
      <c r="K418" s="60">
        <v>0</v>
      </c>
      <c r="L418" s="61">
        <v>250.90600000000001</v>
      </c>
      <c r="M418" s="60">
        <v>0</v>
      </c>
      <c r="N418" s="61">
        <v>0</v>
      </c>
      <c r="O418" s="62" t="s">
        <v>537</v>
      </c>
      <c r="P418" s="63" t="s">
        <v>546</v>
      </c>
      <c r="Q418" s="64" t="s">
        <v>108</v>
      </c>
    </row>
    <row r="419" spans="1:17" ht="54" x14ac:dyDescent="0.25">
      <c r="A419" s="1">
        <v>12</v>
      </c>
      <c r="B419" s="57">
        <f t="shared" si="34"/>
        <v>29</v>
      </c>
      <c r="C419" s="58" t="s">
        <v>547</v>
      </c>
      <c r="D419" s="59">
        <v>2017</v>
      </c>
      <c r="E419" s="60">
        <f>17381.372-7107.098-71.607</f>
        <v>10202.666999999999</v>
      </c>
      <c r="F419" s="61">
        <v>7107.098</v>
      </c>
      <c r="G419" s="60">
        <v>10202.666999999999</v>
      </c>
      <c r="H419" s="61">
        <v>7107.098</v>
      </c>
      <c r="I419" s="60">
        <v>10202.071</v>
      </c>
      <c r="J419" s="61">
        <v>7023.3419999999996</v>
      </c>
      <c r="K419" s="60">
        <v>10202.071</v>
      </c>
      <c r="L419" s="61">
        <v>7023.3419999999996</v>
      </c>
      <c r="M419" s="60">
        <v>0</v>
      </c>
      <c r="N419" s="61">
        <v>0</v>
      </c>
      <c r="O419" s="62" t="s">
        <v>374</v>
      </c>
      <c r="P419" s="63" t="s">
        <v>206</v>
      </c>
      <c r="Q419" s="64" t="s">
        <v>41</v>
      </c>
    </row>
    <row r="420" spans="1:17" ht="99.75" x14ac:dyDescent="0.25">
      <c r="A420" s="1">
        <v>12</v>
      </c>
      <c r="B420" s="57">
        <f t="shared" si="34"/>
        <v>30</v>
      </c>
      <c r="C420" s="58" t="s">
        <v>548</v>
      </c>
      <c r="D420" s="59" t="s">
        <v>29</v>
      </c>
      <c r="E420" s="60">
        <v>0</v>
      </c>
      <c r="F420" s="61">
        <f>991.224-93.024</f>
        <v>898.2</v>
      </c>
      <c r="G420" s="60">
        <v>0</v>
      </c>
      <c r="H420" s="61">
        <v>898.2</v>
      </c>
      <c r="I420" s="60">
        <v>0</v>
      </c>
      <c r="J420" s="61">
        <v>898.2</v>
      </c>
      <c r="K420" s="60">
        <v>0</v>
      </c>
      <c r="L420" s="61">
        <v>898.2</v>
      </c>
      <c r="M420" s="60">
        <v>0</v>
      </c>
      <c r="N420" s="61">
        <v>0</v>
      </c>
      <c r="O420" s="62" t="s">
        <v>36</v>
      </c>
      <c r="P420" s="106" t="s">
        <v>549</v>
      </c>
      <c r="Q420" s="64" t="s">
        <v>235</v>
      </c>
    </row>
    <row r="421" spans="1:17" ht="54" x14ac:dyDescent="0.25">
      <c r="A421" s="1">
        <v>12</v>
      </c>
      <c r="B421" s="57">
        <f t="shared" si="34"/>
        <v>31</v>
      </c>
      <c r="C421" s="58" t="s">
        <v>550</v>
      </c>
      <c r="D421" s="59">
        <v>2017</v>
      </c>
      <c r="E421" s="60">
        <v>2140.7979999999998</v>
      </c>
      <c r="F421" s="61">
        <v>0</v>
      </c>
      <c r="G421" s="60">
        <v>2140.7979999999998</v>
      </c>
      <c r="H421" s="61">
        <v>0</v>
      </c>
      <c r="I421" s="60">
        <v>2140.7979999999998</v>
      </c>
      <c r="J421" s="61">
        <v>0</v>
      </c>
      <c r="K421" s="60">
        <v>2140.7979999999998</v>
      </c>
      <c r="L421" s="61">
        <v>0</v>
      </c>
      <c r="M421" s="60">
        <v>0</v>
      </c>
      <c r="N421" s="61">
        <v>0</v>
      </c>
      <c r="O421" s="62" t="s">
        <v>52</v>
      </c>
      <c r="P421" s="63" t="s">
        <v>551</v>
      </c>
      <c r="Q421" s="64" t="s">
        <v>552</v>
      </c>
    </row>
    <row r="422" spans="1:17" ht="90" x14ac:dyDescent="0.25">
      <c r="A422" s="1">
        <v>12</v>
      </c>
      <c r="B422" s="57">
        <f t="shared" si="34"/>
        <v>32</v>
      </c>
      <c r="C422" s="58" t="s">
        <v>553</v>
      </c>
      <c r="D422" s="59">
        <v>2017</v>
      </c>
      <c r="E422" s="60">
        <v>0</v>
      </c>
      <c r="F422" s="61">
        <f>8703.895-694.959</f>
        <v>8008.9360000000006</v>
      </c>
      <c r="G422" s="60">
        <v>0</v>
      </c>
      <c r="H422" s="61">
        <v>8008.9359999999997</v>
      </c>
      <c r="I422" s="60">
        <v>0</v>
      </c>
      <c r="J422" s="61">
        <v>7822.0230000000001</v>
      </c>
      <c r="K422" s="60">
        <v>0</v>
      </c>
      <c r="L422" s="61">
        <v>7822.0230000000001</v>
      </c>
      <c r="M422" s="60">
        <v>0</v>
      </c>
      <c r="N422" s="61">
        <v>0</v>
      </c>
      <c r="O422" s="62" t="s">
        <v>537</v>
      </c>
      <c r="P422" s="63" t="s">
        <v>554</v>
      </c>
      <c r="Q422" s="64" t="s">
        <v>41</v>
      </c>
    </row>
    <row r="423" spans="1:17" ht="72" x14ac:dyDescent="0.25">
      <c r="A423" s="1">
        <v>12</v>
      </c>
      <c r="B423" s="57">
        <f t="shared" si="34"/>
        <v>33</v>
      </c>
      <c r="C423" s="58" t="s">
        <v>555</v>
      </c>
      <c r="D423" s="59">
        <v>2017</v>
      </c>
      <c r="E423" s="60">
        <v>0</v>
      </c>
      <c r="F423" s="61">
        <f>727.705-52.408</f>
        <v>675.29700000000003</v>
      </c>
      <c r="G423" s="60">
        <v>0</v>
      </c>
      <c r="H423" s="61">
        <v>675.29700000000003</v>
      </c>
      <c r="I423" s="60">
        <v>0</v>
      </c>
      <c r="J423" s="61">
        <v>675.29700000000003</v>
      </c>
      <c r="K423" s="60">
        <v>0</v>
      </c>
      <c r="L423" s="61">
        <v>675.29700000000003</v>
      </c>
      <c r="M423" s="60">
        <v>0</v>
      </c>
      <c r="N423" s="61">
        <v>0</v>
      </c>
      <c r="O423" s="62" t="s">
        <v>52</v>
      </c>
      <c r="P423" s="106" t="s">
        <v>556</v>
      </c>
      <c r="Q423" s="64" t="s">
        <v>108</v>
      </c>
    </row>
    <row r="424" spans="1:17" ht="72" x14ac:dyDescent="0.25">
      <c r="A424" s="1">
        <v>12</v>
      </c>
      <c r="B424" s="57">
        <f t="shared" si="34"/>
        <v>34</v>
      </c>
      <c r="C424" s="58" t="s">
        <v>557</v>
      </c>
      <c r="D424" s="59">
        <v>2017</v>
      </c>
      <c r="E424" s="60">
        <v>0</v>
      </c>
      <c r="F424" s="61">
        <v>1219.0070000000001</v>
      </c>
      <c r="G424" s="60">
        <v>0</v>
      </c>
      <c r="H424" s="61">
        <v>1219.0070000000001</v>
      </c>
      <c r="I424" s="60">
        <v>0</v>
      </c>
      <c r="J424" s="61">
        <v>1071.252</v>
      </c>
      <c r="K424" s="60">
        <v>0</v>
      </c>
      <c r="L424" s="61">
        <v>1071.252</v>
      </c>
      <c r="M424" s="60">
        <v>0</v>
      </c>
      <c r="N424" s="61">
        <v>0</v>
      </c>
      <c r="O424" s="62" t="s">
        <v>52</v>
      </c>
      <c r="P424" s="63" t="s">
        <v>164</v>
      </c>
      <c r="Q424" s="64" t="s">
        <v>558</v>
      </c>
    </row>
    <row r="425" spans="1:17" ht="72" x14ac:dyDescent="0.25">
      <c r="A425" s="1">
        <v>12</v>
      </c>
      <c r="B425" s="57">
        <f t="shared" si="34"/>
        <v>35</v>
      </c>
      <c r="C425" s="58" t="s">
        <v>559</v>
      </c>
      <c r="D425" s="59">
        <v>2017</v>
      </c>
      <c r="E425" s="60">
        <v>7220.0990000000002</v>
      </c>
      <c r="F425" s="61">
        <v>0</v>
      </c>
      <c r="G425" s="60">
        <v>7220.0990000000002</v>
      </c>
      <c r="H425" s="61">
        <v>0</v>
      </c>
      <c r="I425" s="60">
        <v>2814.02</v>
      </c>
      <c r="J425" s="61">
        <v>0</v>
      </c>
      <c r="K425" s="60">
        <v>2814.02</v>
      </c>
      <c r="L425" s="61">
        <v>0</v>
      </c>
      <c r="M425" s="60">
        <v>0</v>
      </c>
      <c r="N425" s="61">
        <v>0</v>
      </c>
      <c r="O425" s="62" t="s">
        <v>36</v>
      </c>
      <c r="P425" s="63"/>
      <c r="Q425" s="64"/>
    </row>
    <row r="426" spans="1:17" ht="85.5" x14ac:dyDescent="0.25">
      <c r="A426" s="1">
        <v>12</v>
      </c>
      <c r="B426" s="57">
        <f t="shared" si="34"/>
        <v>36</v>
      </c>
      <c r="C426" s="58" t="s">
        <v>560</v>
      </c>
      <c r="D426" s="59">
        <v>2017</v>
      </c>
      <c r="E426" s="60">
        <v>0</v>
      </c>
      <c r="F426" s="61">
        <v>1349.645</v>
      </c>
      <c r="G426" s="60">
        <v>0</v>
      </c>
      <c r="H426" s="61">
        <v>1349.645</v>
      </c>
      <c r="I426" s="60">
        <v>0</v>
      </c>
      <c r="J426" s="61">
        <v>1346.6980000000001</v>
      </c>
      <c r="K426" s="60">
        <v>0</v>
      </c>
      <c r="L426" s="61">
        <v>1346.6990000000001</v>
      </c>
      <c r="M426" s="60">
        <v>0</v>
      </c>
      <c r="N426" s="61">
        <v>0</v>
      </c>
      <c r="O426" s="62" t="s">
        <v>52</v>
      </c>
      <c r="P426" s="106" t="s">
        <v>561</v>
      </c>
      <c r="Q426" s="64" t="s">
        <v>41</v>
      </c>
    </row>
    <row r="427" spans="1:17" ht="72" x14ac:dyDescent="0.25">
      <c r="A427" s="1">
        <v>12</v>
      </c>
      <c r="B427" s="57">
        <f t="shared" si="34"/>
        <v>37</v>
      </c>
      <c r="C427" s="58" t="s">
        <v>562</v>
      </c>
      <c r="D427" s="59">
        <v>2017</v>
      </c>
      <c r="E427" s="60">
        <f>4656.759-34.026</f>
        <v>4622.7330000000002</v>
      </c>
      <c r="F427" s="61">
        <v>0</v>
      </c>
      <c r="G427" s="60">
        <v>4622.7330000000002</v>
      </c>
      <c r="H427" s="61">
        <v>0</v>
      </c>
      <c r="I427" s="60">
        <v>4622.7330000000002</v>
      </c>
      <c r="J427" s="61">
        <v>0</v>
      </c>
      <c r="K427" s="60">
        <v>4622.7330000000002</v>
      </c>
      <c r="L427" s="61">
        <v>0</v>
      </c>
      <c r="M427" s="60">
        <v>0</v>
      </c>
      <c r="N427" s="61">
        <v>0</v>
      </c>
      <c r="O427" s="62" t="s">
        <v>106</v>
      </c>
      <c r="P427" s="63" t="s">
        <v>563</v>
      </c>
      <c r="Q427" s="64" t="s">
        <v>41</v>
      </c>
    </row>
    <row r="428" spans="1:17" ht="72" x14ac:dyDescent="0.25">
      <c r="A428" s="1">
        <v>12</v>
      </c>
      <c r="B428" s="57">
        <f t="shared" si="34"/>
        <v>38</v>
      </c>
      <c r="C428" s="58" t="s">
        <v>564</v>
      </c>
      <c r="D428" s="59">
        <v>2017</v>
      </c>
      <c r="E428" s="60">
        <f>2853.792-46.2</f>
        <v>2807.5920000000001</v>
      </c>
      <c r="F428" s="61">
        <v>0</v>
      </c>
      <c r="G428" s="60">
        <v>2807.5920000000001</v>
      </c>
      <c r="H428" s="61">
        <v>0</v>
      </c>
      <c r="I428" s="60">
        <v>2807.5909999999999</v>
      </c>
      <c r="J428" s="61">
        <v>0</v>
      </c>
      <c r="K428" s="60">
        <v>2807.5909999999999</v>
      </c>
      <c r="L428" s="61">
        <v>0</v>
      </c>
      <c r="M428" s="60">
        <v>0</v>
      </c>
      <c r="N428" s="61">
        <v>0</v>
      </c>
      <c r="O428" s="62" t="s">
        <v>106</v>
      </c>
      <c r="P428" s="63" t="s">
        <v>565</v>
      </c>
      <c r="Q428" s="64" t="s">
        <v>527</v>
      </c>
    </row>
    <row r="429" spans="1:17" ht="72" x14ac:dyDescent="0.25">
      <c r="A429" s="1">
        <v>12</v>
      </c>
      <c r="B429" s="57">
        <f t="shared" si="34"/>
        <v>39</v>
      </c>
      <c r="C429" s="58" t="s">
        <v>566</v>
      </c>
      <c r="D429" s="59">
        <v>2017</v>
      </c>
      <c r="E429" s="60">
        <f>10197.886-46.466</f>
        <v>10151.42</v>
      </c>
      <c r="F429" s="61">
        <v>0</v>
      </c>
      <c r="G429" s="60">
        <v>10151.42</v>
      </c>
      <c r="H429" s="61">
        <v>0</v>
      </c>
      <c r="I429" s="60">
        <v>3431.2550000000001</v>
      </c>
      <c r="J429" s="61">
        <v>0</v>
      </c>
      <c r="K429" s="60">
        <v>3431.2550000000001</v>
      </c>
      <c r="L429" s="61">
        <v>0</v>
      </c>
      <c r="M429" s="60">
        <v>0</v>
      </c>
      <c r="N429" s="61">
        <v>0</v>
      </c>
      <c r="O429" s="62" t="s">
        <v>506</v>
      </c>
      <c r="P429" s="63"/>
      <c r="Q429" s="64"/>
    </row>
    <row r="430" spans="1:17" ht="54" x14ac:dyDescent="0.25">
      <c r="A430" s="1">
        <v>12</v>
      </c>
      <c r="B430" s="57">
        <f t="shared" si="34"/>
        <v>40</v>
      </c>
      <c r="C430" s="58" t="s">
        <v>567</v>
      </c>
      <c r="D430" s="59">
        <v>2017</v>
      </c>
      <c r="E430" s="60">
        <v>0</v>
      </c>
      <c r="F430" s="61">
        <f>1018.881-209.781</f>
        <v>809.09999999999991</v>
      </c>
      <c r="G430" s="60">
        <v>0</v>
      </c>
      <c r="H430" s="61">
        <v>809.1</v>
      </c>
      <c r="I430" s="60">
        <v>0</v>
      </c>
      <c r="J430" s="61">
        <v>809.1</v>
      </c>
      <c r="K430" s="60">
        <v>0</v>
      </c>
      <c r="L430" s="61">
        <v>809.1</v>
      </c>
      <c r="M430" s="60">
        <v>0</v>
      </c>
      <c r="N430" s="61">
        <v>0</v>
      </c>
      <c r="O430" s="62" t="s">
        <v>52</v>
      </c>
      <c r="P430" s="63" t="s">
        <v>568</v>
      </c>
      <c r="Q430" s="64" t="s">
        <v>108</v>
      </c>
    </row>
    <row r="431" spans="1:17" ht="72" x14ac:dyDescent="0.25">
      <c r="A431" s="1">
        <v>12</v>
      </c>
      <c r="B431" s="57">
        <f t="shared" si="34"/>
        <v>41</v>
      </c>
      <c r="C431" s="58" t="s">
        <v>569</v>
      </c>
      <c r="D431" s="59">
        <v>2017</v>
      </c>
      <c r="E431" s="60">
        <v>0</v>
      </c>
      <c r="F431" s="61">
        <f>517.698-67.716</f>
        <v>449.98199999999997</v>
      </c>
      <c r="G431" s="60">
        <v>0</v>
      </c>
      <c r="H431" s="61">
        <v>449.98200000000003</v>
      </c>
      <c r="I431" s="60">
        <v>0</v>
      </c>
      <c r="J431" s="61">
        <v>449.98200000000003</v>
      </c>
      <c r="K431" s="60">
        <v>0</v>
      </c>
      <c r="L431" s="61">
        <v>449.98200000000003</v>
      </c>
      <c r="M431" s="60">
        <v>0</v>
      </c>
      <c r="N431" s="61">
        <v>0</v>
      </c>
      <c r="O431" s="62" t="s">
        <v>52</v>
      </c>
      <c r="P431" s="63" t="s">
        <v>570</v>
      </c>
      <c r="Q431" s="64" t="s">
        <v>108</v>
      </c>
    </row>
    <row r="432" spans="1:17" ht="108" x14ac:dyDescent="0.25">
      <c r="A432" s="1">
        <v>12</v>
      </c>
      <c r="B432" s="57">
        <f t="shared" si="34"/>
        <v>42</v>
      </c>
      <c r="C432" s="58" t="s">
        <v>571</v>
      </c>
      <c r="D432" s="59">
        <v>2017</v>
      </c>
      <c r="E432" s="60">
        <v>0</v>
      </c>
      <c r="F432" s="61">
        <v>1512</v>
      </c>
      <c r="G432" s="60">
        <v>0</v>
      </c>
      <c r="H432" s="61">
        <v>1512</v>
      </c>
      <c r="I432" s="60">
        <v>0</v>
      </c>
      <c r="J432" s="61">
        <v>1511.55</v>
      </c>
      <c r="K432" s="60">
        <v>0</v>
      </c>
      <c r="L432" s="61">
        <v>1511.55</v>
      </c>
      <c r="M432" s="60">
        <v>0</v>
      </c>
      <c r="N432" s="61">
        <v>0</v>
      </c>
      <c r="O432" s="62" t="s">
        <v>52</v>
      </c>
      <c r="P432" s="63" t="s">
        <v>572</v>
      </c>
      <c r="Q432" s="64" t="s">
        <v>108</v>
      </c>
    </row>
    <row r="433" spans="1:17" ht="85.5" x14ac:dyDescent="0.25">
      <c r="A433" s="1">
        <v>12</v>
      </c>
      <c r="B433" s="57">
        <f t="shared" si="34"/>
        <v>43</v>
      </c>
      <c r="C433" s="58" t="s">
        <v>573</v>
      </c>
      <c r="D433" s="59">
        <v>2017</v>
      </c>
      <c r="E433" s="60">
        <v>0</v>
      </c>
      <c r="F433" s="61">
        <v>1349.9970000000001</v>
      </c>
      <c r="G433" s="60">
        <v>0</v>
      </c>
      <c r="H433" s="61">
        <v>1349.9970000000001</v>
      </c>
      <c r="I433" s="60">
        <v>0</v>
      </c>
      <c r="J433" s="61">
        <v>1343.29</v>
      </c>
      <c r="K433" s="60">
        <v>0</v>
      </c>
      <c r="L433" s="61">
        <v>1343.29</v>
      </c>
      <c r="M433" s="60">
        <v>0</v>
      </c>
      <c r="N433" s="61">
        <v>0</v>
      </c>
      <c r="O433" s="62" t="s">
        <v>374</v>
      </c>
      <c r="P433" s="106" t="s">
        <v>574</v>
      </c>
      <c r="Q433" s="64" t="s">
        <v>41</v>
      </c>
    </row>
    <row r="434" spans="1:17" ht="90" x14ac:dyDescent="0.25">
      <c r="A434" s="1">
        <v>12</v>
      </c>
      <c r="B434" s="57">
        <f t="shared" si="34"/>
        <v>44</v>
      </c>
      <c r="C434" s="58" t="s">
        <v>575</v>
      </c>
      <c r="D434" s="59" t="s">
        <v>38</v>
      </c>
      <c r="E434" s="60">
        <v>0</v>
      </c>
      <c r="F434" s="61">
        <f>14018.479-878.419</f>
        <v>13140.06</v>
      </c>
      <c r="G434" s="60">
        <v>0</v>
      </c>
      <c r="H434" s="61">
        <v>13140.06</v>
      </c>
      <c r="I434" s="60">
        <v>0</v>
      </c>
      <c r="J434" s="61">
        <v>12978.009</v>
      </c>
      <c r="K434" s="60">
        <v>0</v>
      </c>
      <c r="L434" s="61">
        <v>10622</v>
      </c>
      <c r="M434" s="60">
        <v>0</v>
      </c>
      <c r="N434" s="61">
        <v>0</v>
      </c>
      <c r="O434" s="62" t="s">
        <v>537</v>
      </c>
      <c r="P434" s="63" t="s">
        <v>244</v>
      </c>
      <c r="Q434" s="64" t="s">
        <v>41</v>
      </c>
    </row>
    <row r="435" spans="1:17" ht="90" x14ac:dyDescent="0.25">
      <c r="A435" s="1">
        <v>12</v>
      </c>
      <c r="B435" s="57">
        <f t="shared" si="34"/>
        <v>45</v>
      </c>
      <c r="C435" s="58" t="s">
        <v>576</v>
      </c>
      <c r="D435" s="59">
        <v>2017</v>
      </c>
      <c r="E435" s="60">
        <v>0</v>
      </c>
      <c r="F435" s="61">
        <f>3654.379-104.551</f>
        <v>3549.828</v>
      </c>
      <c r="G435" s="60">
        <v>0</v>
      </c>
      <c r="H435" s="61">
        <v>3549.828</v>
      </c>
      <c r="I435" s="60">
        <v>0</v>
      </c>
      <c r="J435" s="61">
        <v>3512.681</v>
      </c>
      <c r="K435" s="60">
        <v>0</v>
      </c>
      <c r="L435" s="61">
        <v>3512.681</v>
      </c>
      <c r="M435" s="60">
        <v>0</v>
      </c>
      <c r="N435" s="61">
        <v>0</v>
      </c>
      <c r="O435" s="62" t="s">
        <v>374</v>
      </c>
      <c r="P435" s="74" t="s">
        <v>577</v>
      </c>
      <c r="Q435" s="75" t="s">
        <v>41</v>
      </c>
    </row>
    <row r="436" spans="1:17" ht="72" x14ac:dyDescent="0.25">
      <c r="A436" s="1">
        <v>12</v>
      </c>
      <c r="B436" s="68">
        <f t="shared" si="34"/>
        <v>46</v>
      </c>
      <c r="C436" s="69" t="s">
        <v>578</v>
      </c>
      <c r="D436" s="70">
        <v>2017</v>
      </c>
      <c r="E436" s="80">
        <v>0</v>
      </c>
      <c r="F436" s="81">
        <v>970.57500000000005</v>
      </c>
      <c r="G436" s="80">
        <v>0</v>
      </c>
      <c r="H436" s="81">
        <v>970.57500000000005</v>
      </c>
      <c r="I436" s="80">
        <v>0</v>
      </c>
      <c r="J436" s="81">
        <v>970.57500000000005</v>
      </c>
      <c r="K436" s="80">
        <v>0</v>
      </c>
      <c r="L436" s="81">
        <v>970.57500000000005</v>
      </c>
      <c r="M436" s="80">
        <v>0</v>
      </c>
      <c r="N436" s="81">
        <v>0</v>
      </c>
      <c r="O436" s="62" t="s">
        <v>52</v>
      </c>
      <c r="P436" s="63" t="s">
        <v>579</v>
      </c>
      <c r="Q436" s="64" t="s">
        <v>108</v>
      </c>
    </row>
    <row r="437" spans="1:17" ht="54" x14ac:dyDescent="0.25">
      <c r="A437" s="1">
        <v>12</v>
      </c>
      <c r="B437" s="68">
        <f t="shared" si="34"/>
        <v>47</v>
      </c>
      <c r="C437" s="69" t="s">
        <v>580</v>
      </c>
      <c r="D437" s="70" t="s">
        <v>38</v>
      </c>
      <c r="E437" s="80">
        <v>6354.8860000000004</v>
      </c>
      <c r="F437" s="81">
        <v>0</v>
      </c>
      <c r="G437" s="80">
        <v>6354.8860000000004</v>
      </c>
      <c r="H437" s="81">
        <v>0</v>
      </c>
      <c r="I437" s="80">
        <v>1072.951</v>
      </c>
      <c r="J437" s="81">
        <v>0</v>
      </c>
      <c r="K437" s="80">
        <v>1072.951</v>
      </c>
      <c r="L437" s="81">
        <v>0</v>
      </c>
      <c r="M437" s="80">
        <v>0</v>
      </c>
      <c r="N437" s="81">
        <v>0</v>
      </c>
      <c r="O437" s="62" t="s">
        <v>506</v>
      </c>
      <c r="P437" s="74"/>
      <c r="Q437" s="75"/>
    </row>
    <row r="438" spans="1:17" ht="90" x14ac:dyDescent="0.25">
      <c r="A438" s="1">
        <v>12</v>
      </c>
      <c r="B438" s="68">
        <f t="shared" si="34"/>
        <v>48</v>
      </c>
      <c r="C438" s="69" t="s">
        <v>581</v>
      </c>
      <c r="D438" s="70" t="s">
        <v>105</v>
      </c>
      <c r="E438" s="80">
        <v>0</v>
      </c>
      <c r="F438" s="81">
        <v>137.416</v>
      </c>
      <c r="G438" s="80">
        <v>0</v>
      </c>
      <c r="H438" s="81">
        <v>137.416</v>
      </c>
      <c r="I438" s="80">
        <v>0</v>
      </c>
      <c r="J438" s="81">
        <v>137.416</v>
      </c>
      <c r="K438" s="80">
        <v>0</v>
      </c>
      <c r="L438" s="81">
        <v>137.416</v>
      </c>
      <c r="M438" s="80">
        <v>0</v>
      </c>
      <c r="N438" s="81">
        <v>0</v>
      </c>
      <c r="O438" s="62" t="s">
        <v>52</v>
      </c>
      <c r="P438" s="74" t="s">
        <v>151</v>
      </c>
      <c r="Q438" s="75" t="s">
        <v>41</v>
      </c>
    </row>
    <row r="439" spans="1:17" ht="90" x14ac:dyDescent="0.25">
      <c r="A439" s="1">
        <v>12</v>
      </c>
      <c r="B439" s="68">
        <f t="shared" si="34"/>
        <v>49</v>
      </c>
      <c r="C439" s="69" t="s">
        <v>582</v>
      </c>
      <c r="D439" s="70" t="s">
        <v>105</v>
      </c>
      <c r="E439" s="80">
        <v>0</v>
      </c>
      <c r="F439" s="81">
        <v>945.13699999999994</v>
      </c>
      <c r="G439" s="80">
        <v>0</v>
      </c>
      <c r="H439" s="81">
        <v>945.13699999999994</v>
      </c>
      <c r="I439" s="80">
        <v>0</v>
      </c>
      <c r="J439" s="81">
        <v>0</v>
      </c>
      <c r="K439" s="80">
        <v>0</v>
      </c>
      <c r="L439" s="81">
        <v>0</v>
      </c>
      <c r="M439" s="80">
        <v>0</v>
      </c>
      <c r="N439" s="81">
        <v>0</v>
      </c>
      <c r="O439" s="62" t="s">
        <v>506</v>
      </c>
      <c r="P439" s="74"/>
      <c r="Q439" s="75"/>
    </row>
    <row r="440" spans="1:17" ht="108" x14ac:dyDescent="0.25">
      <c r="A440" s="1">
        <v>12</v>
      </c>
      <c r="B440" s="68">
        <f t="shared" si="34"/>
        <v>50</v>
      </c>
      <c r="C440" s="69" t="s">
        <v>583</v>
      </c>
      <c r="D440" s="70" t="s">
        <v>105</v>
      </c>
      <c r="E440" s="80">
        <v>0</v>
      </c>
      <c r="F440" s="81">
        <v>1348.4390000000001</v>
      </c>
      <c r="G440" s="80">
        <v>0</v>
      </c>
      <c r="H440" s="81">
        <v>1348.4390000000001</v>
      </c>
      <c r="I440" s="80">
        <v>0</v>
      </c>
      <c r="J440" s="81">
        <v>0</v>
      </c>
      <c r="K440" s="80">
        <v>0</v>
      </c>
      <c r="L440" s="81">
        <v>0</v>
      </c>
      <c r="M440" s="80">
        <v>0</v>
      </c>
      <c r="N440" s="81">
        <v>0</v>
      </c>
      <c r="O440" s="62" t="s">
        <v>506</v>
      </c>
      <c r="P440" s="74"/>
      <c r="Q440" s="75"/>
    </row>
    <row r="441" spans="1:17" ht="108" x14ac:dyDescent="0.25">
      <c r="A441" s="1">
        <v>12</v>
      </c>
      <c r="B441" s="68">
        <f t="shared" si="34"/>
        <v>51</v>
      </c>
      <c r="C441" s="69" t="s">
        <v>584</v>
      </c>
      <c r="D441" s="70" t="s">
        <v>105</v>
      </c>
      <c r="E441" s="80">
        <v>0</v>
      </c>
      <c r="F441" s="81">
        <v>131.875</v>
      </c>
      <c r="G441" s="80">
        <v>0</v>
      </c>
      <c r="H441" s="81">
        <v>131.875</v>
      </c>
      <c r="I441" s="80">
        <v>0</v>
      </c>
      <c r="J441" s="81">
        <v>0</v>
      </c>
      <c r="K441" s="80">
        <v>0</v>
      </c>
      <c r="L441" s="81">
        <v>0</v>
      </c>
      <c r="M441" s="80">
        <v>0</v>
      </c>
      <c r="N441" s="81">
        <v>0</v>
      </c>
      <c r="O441" s="62" t="s">
        <v>506</v>
      </c>
      <c r="P441" s="74"/>
      <c r="Q441" s="75"/>
    </row>
    <row r="442" spans="1:17" ht="108" x14ac:dyDescent="0.25">
      <c r="A442" s="1">
        <v>12</v>
      </c>
      <c r="B442" s="68">
        <f t="shared" si="34"/>
        <v>52</v>
      </c>
      <c r="C442" s="69" t="s">
        <v>585</v>
      </c>
      <c r="D442" s="70" t="s">
        <v>105</v>
      </c>
      <c r="E442" s="80">
        <v>0</v>
      </c>
      <c r="F442" s="81">
        <v>100.798</v>
      </c>
      <c r="G442" s="80">
        <v>0</v>
      </c>
      <c r="H442" s="81">
        <v>100.798</v>
      </c>
      <c r="I442" s="80">
        <v>0</v>
      </c>
      <c r="J442" s="81">
        <v>0</v>
      </c>
      <c r="K442" s="80">
        <v>0</v>
      </c>
      <c r="L442" s="81">
        <v>0</v>
      </c>
      <c r="M442" s="80">
        <v>0</v>
      </c>
      <c r="N442" s="81">
        <v>0</v>
      </c>
      <c r="O442" s="62" t="s">
        <v>506</v>
      </c>
      <c r="P442" s="74"/>
      <c r="Q442" s="75"/>
    </row>
    <row r="443" spans="1:17" ht="72" x14ac:dyDescent="0.25">
      <c r="A443" s="1">
        <v>12</v>
      </c>
      <c r="B443" s="68">
        <f t="shared" si="34"/>
        <v>53</v>
      </c>
      <c r="C443" s="69" t="s">
        <v>586</v>
      </c>
      <c r="D443" s="70" t="s">
        <v>105</v>
      </c>
      <c r="E443" s="80">
        <v>2250</v>
      </c>
      <c r="F443" s="81">
        <v>0</v>
      </c>
      <c r="G443" s="80">
        <v>2250</v>
      </c>
      <c r="H443" s="81">
        <v>0</v>
      </c>
      <c r="I443" s="80">
        <v>0</v>
      </c>
      <c r="J443" s="81">
        <v>0</v>
      </c>
      <c r="K443" s="80">
        <v>0</v>
      </c>
      <c r="L443" s="81">
        <v>0</v>
      </c>
      <c r="M443" s="80">
        <v>0</v>
      </c>
      <c r="N443" s="81">
        <v>0</v>
      </c>
      <c r="O443" s="62" t="s">
        <v>506</v>
      </c>
      <c r="P443" s="74"/>
      <c r="Q443" s="75"/>
    </row>
    <row r="444" spans="1:17" ht="72" x14ac:dyDescent="0.25">
      <c r="A444" s="1">
        <v>12</v>
      </c>
      <c r="B444" s="68">
        <f t="shared" si="34"/>
        <v>54</v>
      </c>
      <c r="C444" s="69" t="s">
        <v>587</v>
      </c>
      <c r="D444" s="70" t="s">
        <v>105</v>
      </c>
      <c r="E444" s="80">
        <v>0</v>
      </c>
      <c r="F444" s="81">
        <v>147.733</v>
      </c>
      <c r="G444" s="80">
        <v>0</v>
      </c>
      <c r="H444" s="81">
        <v>147.733</v>
      </c>
      <c r="I444" s="80">
        <v>0</v>
      </c>
      <c r="J444" s="81">
        <v>0</v>
      </c>
      <c r="K444" s="80">
        <v>0</v>
      </c>
      <c r="L444" s="81">
        <v>0</v>
      </c>
      <c r="M444" s="80">
        <v>0</v>
      </c>
      <c r="N444" s="81">
        <v>0</v>
      </c>
      <c r="O444" s="62" t="s">
        <v>506</v>
      </c>
      <c r="P444" s="74"/>
      <c r="Q444" s="75"/>
    </row>
    <row r="445" spans="1:17" ht="72" x14ac:dyDescent="0.25">
      <c r="A445" s="1">
        <v>12</v>
      </c>
      <c r="B445" s="68">
        <f t="shared" si="34"/>
        <v>55</v>
      </c>
      <c r="C445" s="69" t="s">
        <v>588</v>
      </c>
      <c r="D445" s="70" t="s">
        <v>105</v>
      </c>
      <c r="E445" s="80">
        <v>2137.5</v>
      </c>
      <c r="F445" s="81">
        <v>0</v>
      </c>
      <c r="G445" s="80">
        <v>2137.5</v>
      </c>
      <c r="H445" s="81">
        <v>0</v>
      </c>
      <c r="I445" s="80">
        <v>0</v>
      </c>
      <c r="J445" s="81">
        <v>0</v>
      </c>
      <c r="K445" s="80">
        <v>0</v>
      </c>
      <c r="L445" s="81">
        <v>0</v>
      </c>
      <c r="M445" s="80">
        <v>0</v>
      </c>
      <c r="N445" s="81">
        <v>0</v>
      </c>
      <c r="O445" s="62" t="s">
        <v>506</v>
      </c>
      <c r="P445" s="74"/>
      <c r="Q445" s="75"/>
    </row>
    <row r="446" spans="1:17" ht="54" x14ac:dyDescent="0.25">
      <c r="A446" s="1">
        <v>12</v>
      </c>
      <c r="B446" s="68">
        <f t="shared" si="34"/>
        <v>56</v>
      </c>
      <c r="C446" s="69" t="s">
        <v>589</v>
      </c>
      <c r="D446" s="70" t="s">
        <v>105</v>
      </c>
      <c r="E446" s="80">
        <v>6096.7910000000002</v>
      </c>
      <c r="F446" s="81">
        <v>15863.569</v>
      </c>
      <c r="G446" s="80">
        <v>6096.7910000000002</v>
      </c>
      <c r="H446" s="81">
        <v>15863.569</v>
      </c>
      <c r="I446" s="80">
        <v>0</v>
      </c>
      <c r="J446" s="81">
        <v>0</v>
      </c>
      <c r="K446" s="80">
        <v>0</v>
      </c>
      <c r="L446" s="81">
        <v>0</v>
      </c>
      <c r="M446" s="80">
        <v>0</v>
      </c>
      <c r="N446" s="81">
        <v>0</v>
      </c>
      <c r="O446" s="62" t="s">
        <v>506</v>
      </c>
      <c r="P446" s="74"/>
      <c r="Q446" s="75"/>
    </row>
    <row r="447" spans="1:17" ht="108.75" thickBot="1" x14ac:dyDescent="0.3">
      <c r="A447" s="1">
        <v>12</v>
      </c>
      <c r="B447" s="68">
        <f t="shared" si="34"/>
        <v>57</v>
      </c>
      <c r="C447" s="69" t="s">
        <v>590</v>
      </c>
      <c r="D447" s="70" t="s">
        <v>105</v>
      </c>
      <c r="E447" s="80">
        <v>0</v>
      </c>
      <c r="F447" s="81">
        <v>2022.289</v>
      </c>
      <c r="G447" s="80">
        <v>0</v>
      </c>
      <c r="H447" s="81">
        <v>2022.289</v>
      </c>
      <c r="I447" s="80">
        <v>0</v>
      </c>
      <c r="J447" s="81">
        <v>0</v>
      </c>
      <c r="K447" s="80">
        <v>0</v>
      </c>
      <c r="L447" s="81">
        <v>0</v>
      </c>
      <c r="M447" s="80">
        <v>0</v>
      </c>
      <c r="N447" s="81">
        <v>0</v>
      </c>
      <c r="O447" s="73" t="s">
        <v>506</v>
      </c>
      <c r="P447" s="74"/>
      <c r="Q447" s="75"/>
    </row>
    <row r="448" spans="1:17" ht="18" x14ac:dyDescent="0.25">
      <c r="A448" s="1">
        <v>13</v>
      </c>
      <c r="B448" s="149" t="s">
        <v>591</v>
      </c>
      <c r="C448" s="150"/>
      <c r="D448" s="150"/>
      <c r="E448" s="150"/>
      <c r="F448" s="150"/>
      <c r="G448" s="150"/>
      <c r="H448" s="150"/>
      <c r="I448" s="150"/>
      <c r="J448" s="150"/>
      <c r="K448" s="150"/>
      <c r="L448" s="150"/>
      <c r="M448" s="150"/>
      <c r="N448" s="150"/>
      <c r="O448" s="150"/>
      <c r="P448" s="150"/>
      <c r="Q448" s="151"/>
    </row>
    <row r="449" spans="1:17" ht="18" x14ac:dyDescent="0.25">
      <c r="A449" s="1">
        <v>13</v>
      </c>
      <c r="B449" s="78"/>
      <c r="C449" s="41" t="s">
        <v>27</v>
      </c>
      <c r="D449" s="42"/>
      <c r="E449" s="43">
        <f t="shared" ref="E449:N449" si="35">SUM(E450,E452:E500,E503:E515)</f>
        <v>47588.935999999994</v>
      </c>
      <c r="F449" s="44">
        <f t="shared" si="35"/>
        <v>118972.34100000001</v>
      </c>
      <c r="G449" s="43">
        <f t="shared" si="35"/>
        <v>47588.935999999994</v>
      </c>
      <c r="H449" s="44">
        <f t="shared" si="35"/>
        <v>118972.34100000001</v>
      </c>
      <c r="I449" s="43">
        <f t="shared" si="35"/>
        <v>45658.838000000003</v>
      </c>
      <c r="J449" s="44">
        <f t="shared" si="35"/>
        <v>112786.93900000004</v>
      </c>
      <c r="K449" s="43">
        <f t="shared" si="35"/>
        <v>45658.838000000003</v>
      </c>
      <c r="L449" s="44">
        <f t="shared" si="35"/>
        <v>112786.93900000004</v>
      </c>
      <c r="M449" s="43">
        <f t="shared" si="35"/>
        <v>0</v>
      </c>
      <c r="N449" s="44">
        <f t="shared" si="35"/>
        <v>0</v>
      </c>
      <c r="O449" s="47"/>
      <c r="P449" s="48">
        <f>34+1</f>
        <v>35</v>
      </c>
      <c r="Q449" s="49"/>
    </row>
    <row r="450" spans="1:17" ht="18" x14ac:dyDescent="0.25">
      <c r="A450" s="1">
        <v>13</v>
      </c>
      <c r="B450" s="79"/>
      <c r="C450" s="50" t="s">
        <v>24</v>
      </c>
      <c r="D450" s="51"/>
      <c r="E450" s="52">
        <v>0</v>
      </c>
      <c r="F450" s="53">
        <v>0</v>
      </c>
      <c r="G450" s="52">
        <v>0</v>
      </c>
      <c r="H450" s="53">
        <v>0</v>
      </c>
      <c r="I450" s="52"/>
      <c r="J450" s="53"/>
      <c r="K450" s="52"/>
      <c r="L450" s="53"/>
      <c r="M450" s="52"/>
      <c r="N450" s="53"/>
      <c r="O450" s="56"/>
      <c r="P450" s="30"/>
      <c r="Q450" s="31"/>
    </row>
    <row r="451" spans="1:17" ht="36" x14ac:dyDescent="0.25">
      <c r="A451" s="1">
        <v>13</v>
      </c>
      <c r="B451" s="79"/>
      <c r="C451" s="50" t="s">
        <v>25</v>
      </c>
      <c r="D451" s="51"/>
      <c r="E451" s="52">
        <f t="shared" ref="E451:N451" si="36">SUM(E452:E500,E503:E515)</f>
        <v>47588.935999999994</v>
      </c>
      <c r="F451" s="53">
        <f t="shared" si="36"/>
        <v>118972.34100000001</v>
      </c>
      <c r="G451" s="52">
        <f t="shared" si="36"/>
        <v>47588.935999999994</v>
      </c>
      <c r="H451" s="53">
        <f t="shared" si="36"/>
        <v>118972.34100000001</v>
      </c>
      <c r="I451" s="52">
        <f t="shared" si="36"/>
        <v>45658.838000000003</v>
      </c>
      <c r="J451" s="53">
        <f t="shared" si="36"/>
        <v>112786.93900000004</v>
      </c>
      <c r="K451" s="52">
        <f t="shared" si="36"/>
        <v>45658.838000000003</v>
      </c>
      <c r="L451" s="53">
        <f t="shared" si="36"/>
        <v>112786.93900000004</v>
      </c>
      <c r="M451" s="52">
        <f t="shared" si="36"/>
        <v>0</v>
      </c>
      <c r="N451" s="53">
        <f t="shared" si="36"/>
        <v>0</v>
      </c>
      <c r="O451" s="56"/>
      <c r="P451" s="30"/>
      <c r="Q451" s="31"/>
    </row>
    <row r="452" spans="1:17" ht="54" x14ac:dyDescent="0.25">
      <c r="A452" s="1">
        <v>13</v>
      </c>
      <c r="B452" s="57">
        <v>1</v>
      </c>
      <c r="C452" s="58" t="s">
        <v>592</v>
      </c>
      <c r="D452" s="59" t="s">
        <v>35</v>
      </c>
      <c r="E452" s="60">
        <v>0</v>
      </c>
      <c r="F452" s="61">
        <f>1000+1993.252</f>
        <v>2993.252</v>
      </c>
      <c r="G452" s="60">
        <v>0</v>
      </c>
      <c r="H452" s="61">
        <v>2993.252</v>
      </c>
      <c r="I452" s="60">
        <v>0</v>
      </c>
      <c r="J452" s="61">
        <v>2993.2510000000002</v>
      </c>
      <c r="K452" s="60">
        <v>0</v>
      </c>
      <c r="L452" s="61">
        <v>2993.2510000000002</v>
      </c>
      <c r="M452" s="60">
        <v>0</v>
      </c>
      <c r="N452" s="61">
        <v>0</v>
      </c>
      <c r="O452" s="62" t="s">
        <v>36</v>
      </c>
      <c r="P452" s="74"/>
      <c r="Q452" s="75"/>
    </row>
    <row r="453" spans="1:17" ht="72" x14ac:dyDescent="0.25">
      <c r="A453" s="1">
        <v>13</v>
      </c>
      <c r="B453" s="57">
        <f>B452+1</f>
        <v>2</v>
      </c>
      <c r="C453" s="58" t="s">
        <v>593</v>
      </c>
      <c r="D453" s="59" t="s">
        <v>594</v>
      </c>
      <c r="E453" s="60">
        <f>1200-600+1000</f>
        <v>1600</v>
      </c>
      <c r="F453" s="61">
        <f>600+8862+3000</f>
        <v>12462</v>
      </c>
      <c r="G453" s="60">
        <v>1600</v>
      </c>
      <c r="H453" s="61">
        <v>12462</v>
      </c>
      <c r="I453" s="60">
        <v>1600</v>
      </c>
      <c r="J453" s="61">
        <v>12381.816000000001</v>
      </c>
      <c r="K453" s="60">
        <v>1600</v>
      </c>
      <c r="L453" s="61">
        <v>12381.816000000001</v>
      </c>
      <c r="M453" s="60">
        <v>0</v>
      </c>
      <c r="N453" s="61">
        <v>0</v>
      </c>
      <c r="O453" s="62" t="s">
        <v>36</v>
      </c>
      <c r="P453" s="74"/>
      <c r="Q453" s="75"/>
    </row>
    <row r="454" spans="1:17" ht="108" x14ac:dyDescent="0.25">
      <c r="A454" s="1">
        <v>13</v>
      </c>
      <c r="B454" s="57">
        <f t="shared" ref="B454:B500" si="37">B453+1</f>
        <v>3</v>
      </c>
      <c r="C454" s="58" t="s">
        <v>595</v>
      </c>
      <c r="D454" s="59" t="s">
        <v>35</v>
      </c>
      <c r="E454" s="60">
        <v>0</v>
      </c>
      <c r="F454" s="61">
        <f>2900+900</f>
        <v>3800</v>
      </c>
      <c r="G454" s="60">
        <v>0</v>
      </c>
      <c r="H454" s="61">
        <v>3800</v>
      </c>
      <c r="I454" s="60">
        <v>0</v>
      </c>
      <c r="J454" s="61">
        <v>3626.7150000000001</v>
      </c>
      <c r="K454" s="60">
        <v>0</v>
      </c>
      <c r="L454" s="61">
        <v>3626.7150000000001</v>
      </c>
      <c r="M454" s="60">
        <v>0</v>
      </c>
      <c r="N454" s="61">
        <v>0</v>
      </c>
      <c r="O454" s="62" t="s">
        <v>36</v>
      </c>
      <c r="P454" s="74"/>
      <c r="Q454" s="75"/>
    </row>
    <row r="455" spans="1:17" ht="72" x14ac:dyDescent="0.25">
      <c r="A455" s="1">
        <v>13</v>
      </c>
      <c r="B455" s="57">
        <f t="shared" si="37"/>
        <v>4</v>
      </c>
      <c r="C455" s="58" t="s">
        <v>596</v>
      </c>
      <c r="D455" s="59" t="s">
        <v>35</v>
      </c>
      <c r="E455" s="60">
        <v>0</v>
      </c>
      <c r="F455" s="61">
        <v>10700</v>
      </c>
      <c r="G455" s="60">
        <v>0</v>
      </c>
      <c r="H455" s="61">
        <v>10700</v>
      </c>
      <c r="I455" s="60">
        <v>0</v>
      </c>
      <c r="J455" s="61">
        <v>10700</v>
      </c>
      <c r="K455" s="60">
        <v>0</v>
      </c>
      <c r="L455" s="61">
        <v>10700</v>
      </c>
      <c r="M455" s="60">
        <v>0</v>
      </c>
      <c r="N455" s="61">
        <v>0</v>
      </c>
      <c r="O455" s="62" t="s">
        <v>36</v>
      </c>
      <c r="P455" s="74"/>
      <c r="Q455" s="75"/>
    </row>
    <row r="456" spans="1:17" ht="54" x14ac:dyDescent="0.25">
      <c r="A456" s="1">
        <v>13</v>
      </c>
      <c r="B456" s="57">
        <f t="shared" si="37"/>
        <v>5</v>
      </c>
      <c r="C456" s="58" t="s">
        <v>597</v>
      </c>
      <c r="D456" s="59" t="s">
        <v>35</v>
      </c>
      <c r="E456" s="60">
        <v>0</v>
      </c>
      <c r="F456" s="61">
        <v>1415.33</v>
      </c>
      <c r="G456" s="60">
        <v>0</v>
      </c>
      <c r="H456" s="61">
        <v>1415.33</v>
      </c>
      <c r="I456" s="60">
        <v>0</v>
      </c>
      <c r="J456" s="61">
        <v>1415.33</v>
      </c>
      <c r="K456" s="60">
        <v>0</v>
      </c>
      <c r="L456" s="61">
        <v>1415.33</v>
      </c>
      <c r="M456" s="60">
        <v>0</v>
      </c>
      <c r="N456" s="61">
        <v>0</v>
      </c>
      <c r="O456" s="62" t="s">
        <v>36</v>
      </c>
      <c r="P456" s="74"/>
      <c r="Q456" s="75"/>
    </row>
    <row r="457" spans="1:17" ht="72" x14ac:dyDescent="0.25">
      <c r="A457" s="1">
        <v>13</v>
      </c>
      <c r="B457" s="57">
        <f t="shared" si="37"/>
        <v>6</v>
      </c>
      <c r="C457" s="58" t="s">
        <v>598</v>
      </c>
      <c r="D457" s="59" t="s">
        <v>599</v>
      </c>
      <c r="E457" s="60">
        <v>530.88499999999999</v>
      </c>
      <c r="F457" s="61">
        <v>0</v>
      </c>
      <c r="G457" s="60">
        <v>530.88499999999999</v>
      </c>
      <c r="H457" s="61">
        <v>0</v>
      </c>
      <c r="I457" s="60">
        <v>530.88499999999999</v>
      </c>
      <c r="J457" s="61">
        <v>0</v>
      </c>
      <c r="K457" s="60">
        <v>530.88499999999999</v>
      </c>
      <c r="L457" s="61">
        <v>0</v>
      </c>
      <c r="M457" s="60">
        <v>0</v>
      </c>
      <c r="N457" s="61">
        <v>0</v>
      </c>
      <c r="O457" s="62" t="s">
        <v>30</v>
      </c>
      <c r="P457" s="74" t="s">
        <v>600</v>
      </c>
      <c r="Q457" s="75" t="s">
        <v>41</v>
      </c>
    </row>
    <row r="458" spans="1:17" ht="72" x14ac:dyDescent="0.25">
      <c r="A458" s="1">
        <v>13</v>
      </c>
      <c r="B458" s="57">
        <f t="shared" si="37"/>
        <v>7</v>
      </c>
      <c r="C458" s="58" t="s">
        <v>601</v>
      </c>
      <c r="D458" s="59" t="s">
        <v>35</v>
      </c>
      <c r="E458" s="60">
        <v>0</v>
      </c>
      <c r="F458" s="61">
        <f>1000+206.748</f>
        <v>1206.748</v>
      </c>
      <c r="G458" s="60">
        <v>0</v>
      </c>
      <c r="H458" s="61">
        <v>1206.748</v>
      </c>
      <c r="I458" s="60">
        <v>0</v>
      </c>
      <c r="J458" s="61">
        <v>1202.181</v>
      </c>
      <c r="K458" s="60">
        <v>0</v>
      </c>
      <c r="L458" s="61">
        <v>1202.181</v>
      </c>
      <c r="M458" s="60">
        <v>0</v>
      </c>
      <c r="N458" s="61">
        <v>0</v>
      </c>
      <c r="O458" s="62" t="s">
        <v>36</v>
      </c>
      <c r="P458" s="74"/>
      <c r="Q458" s="75"/>
    </row>
    <row r="459" spans="1:17" ht="72" x14ac:dyDescent="0.25">
      <c r="A459" s="1">
        <v>13</v>
      </c>
      <c r="B459" s="57">
        <f t="shared" si="37"/>
        <v>8</v>
      </c>
      <c r="C459" s="58" t="s">
        <v>602</v>
      </c>
      <c r="D459" s="59" t="s">
        <v>35</v>
      </c>
      <c r="E459" s="60">
        <v>0</v>
      </c>
      <c r="F459" s="61">
        <f>6000+1000</f>
        <v>7000</v>
      </c>
      <c r="G459" s="60">
        <v>0</v>
      </c>
      <c r="H459" s="61">
        <v>7000</v>
      </c>
      <c r="I459" s="60">
        <v>0</v>
      </c>
      <c r="J459" s="61">
        <v>6775.52</v>
      </c>
      <c r="K459" s="60">
        <v>0</v>
      </c>
      <c r="L459" s="61">
        <v>6775.52</v>
      </c>
      <c r="M459" s="60">
        <v>0</v>
      </c>
      <c r="N459" s="61">
        <v>0</v>
      </c>
      <c r="O459" s="62" t="s">
        <v>36</v>
      </c>
      <c r="P459" s="74"/>
      <c r="Q459" s="75"/>
    </row>
    <row r="460" spans="1:17" ht="72" x14ac:dyDescent="0.25">
      <c r="A460" s="1">
        <v>13</v>
      </c>
      <c r="B460" s="57">
        <f t="shared" si="37"/>
        <v>9</v>
      </c>
      <c r="C460" s="58" t="s">
        <v>603</v>
      </c>
      <c r="D460" s="59" t="s">
        <v>604</v>
      </c>
      <c r="E460" s="60">
        <f>3187.311-2000</f>
        <v>1187.3110000000001</v>
      </c>
      <c r="F460" s="61">
        <v>2000</v>
      </c>
      <c r="G460" s="60">
        <v>1187.3109999999999</v>
      </c>
      <c r="H460" s="61">
        <v>2000</v>
      </c>
      <c r="I460" s="60">
        <v>1187.3109999999999</v>
      </c>
      <c r="J460" s="61">
        <v>1441.5830000000001</v>
      </c>
      <c r="K460" s="60">
        <v>1187.3109999999999</v>
      </c>
      <c r="L460" s="61">
        <v>1441.5830000000001</v>
      </c>
      <c r="M460" s="60">
        <v>0</v>
      </c>
      <c r="N460" s="61">
        <v>0</v>
      </c>
      <c r="O460" s="62" t="s">
        <v>377</v>
      </c>
      <c r="P460" s="74" t="s">
        <v>605</v>
      </c>
      <c r="Q460" s="75" t="s">
        <v>41</v>
      </c>
    </row>
    <row r="461" spans="1:17" ht="90" x14ac:dyDescent="0.25">
      <c r="A461" s="1">
        <v>13</v>
      </c>
      <c r="B461" s="57">
        <f t="shared" si="37"/>
        <v>10</v>
      </c>
      <c r="C461" s="58" t="s">
        <v>606</v>
      </c>
      <c r="D461" s="59" t="s">
        <v>35</v>
      </c>
      <c r="E461" s="60">
        <f>0+1000</f>
        <v>1000</v>
      </c>
      <c r="F461" s="61">
        <v>1950</v>
      </c>
      <c r="G461" s="60">
        <v>1000</v>
      </c>
      <c r="H461" s="61">
        <v>1950</v>
      </c>
      <c r="I461" s="60">
        <v>1000</v>
      </c>
      <c r="J461" s="61">
        <v>1950</v>
      </c>
      <c r="K461" s="60">
        <v>1000</v>
      </c>
      <c r="L461" s="61">
        <v>1950</v>
      </c>
      <c r="M461" s="60">
        <v>0</v>
      </c>
      <c r="N461" s="61">
        <v>0</v>
      </c>
      <c r="O461" s="62" t="s">
        <v>36</v>
      </c>
      <c r="P461" s="74"/>
      <c r="Q461" s="75"/>
    </row>
    <row r="462" spans="1:17" ht="54" x14ac:dyDescent="0.25">
      <c r="A462" s="1">
        <v>13</v>
      </c>
      <c r="B462" s="57">
        <f t="shared" si="37"/>
        <v>11</v>
      </c>
      <c r="C462" s="58" t="s">
        <v>607</v>
      </c>
      <c r="D462" s="59" t="s">
        <v>38</v>
      </c>
      <c r="E462" s="60">
        <f>0+2000</f>
        <v>2000</v>
      </c>
      <c r="F462" s="61">
        <f>2000+1000</f>
        <v>3000</v>
      </c>
      <c r="G462" s="60">
        <v>2000</v>
      </c>
      <c r="H462" s="61">
        <v>3000</v>
      </c>
      <c r="I462" s="60">
        <v>2000</v>
      </c>
      <c r="J462" s="61">
        <v>2500</v>
      </c>
      <c r="K462" s="60">
        <v>2000</v>
      </c>
      <c r="L462" s="61">
        <v>2500</v>
      </c>
      <c r="M462" s="60">
        <v>0</v>
      </c>
      <c r="N462" s="61">
        <v>0</v>
      </c>
      <c r="O462" s="62" t="s">
        <v>52</v>
      </c>
      <c r="P462" s="74" t="s">
        <v>608</v>
      </c>
      <c r="Q462" s="75" t="s">
        <v>41</v>
      </c>
    </row>
    <row r="463" spans="1:17" ht="60" x14ac:dyDescent="0.25">
      <c r="A463" s="1">
        <v>13</v>
      </c>
      <c r="B463" s="57">
        <f t="shared" si="37"/>
        <v>12</v>
      </c>
      <c r="C463" s="58" t="s">
        <v>609</v>
      </c>
      <c r="D463" s="59" t="s">
        <v>38</v>
      </c>
      <c r="E463" s="60">
        <f>14400-2000</f>
        <v>12400</v>
      </c>
      <c r="F463" s="61">
        <v>0</v>
      </c>
      <c r="G463" s="60">
        <v>12400</v>
      </c>
      <c r="H463" s="61">
        <v>0</v>
      </c>
      <c r="I463" s="60">
        <v>12400</v>
      </c>
      <c r="J463" s="61">
        <v>0</v>
      </c>
      <c r="K463" s="60">
        <v>12400</v>
      </c>
      <c r="L463" s="61">
        <v>0</v>
      </c>
      <c r="M463" s="60">
        <v>0</v>
      </c>
      <c r="N463" s="61">
        <v>0</v>
      </c>
      <c r="O463" s="62" t="s">
        <v>610</v>
      </c>
      <c r="P463" s="74" t="s">
        <v>611</v>
      </c>
      <c r="Q463" s="75" t="s">
        <v>612</v>
      </c>
    </row>
    <row r="464" spans="1:17" ht="72" x14ac:dyDescent="0.25">
      <c r="A464" s="1">
        <v>13</v>
      </c>
      <c r="B464" s="57">
        <f t="shared" si="37"/>
        <v>13</v>
      </c>
      <c r="C464" s="58" t="s">
        <v>613</v>
      </c>
      <c r="D464" s="59" t="s">
        <v>35</v>
      </c>
      <c r="E464" s="60">
        <f>0+500</f>
        <v>500</v>
      </c>
      <c r="F464" s="61">
        <f>4262.689+500</f>
        <v>4762.6890000000003</v>
      </c>
      <c r="G464" s="60">
        <v>500</v>
      </c>
      <c r="H464" s="61">
        <v>4762.6890000000003</v>
      </c>
      <c r="I464" s="60">
        <v>500</v>
      </c>
      <c r="J464" s="61">
        <v>4762.6890000000003</v>
      </c>
      <c r="K464" s="60">
        <v>500</v>
      </c>
      <c r="L464" s="61">
        <v>4762.6890000000003</v>
      </c>
      <c r="M464" s="60">
        <v>0</v>
      </c>
      <c r="N464" s="61">
        <v>0</v>
      </c>
      <c r="O464" s="62" t="s">
        <v>36</v>
      </c>
      <c r="P464" s="74"/>
      <c r="Q464" s="75"/>
    </row>
    <row r="465" spans="1:17" ht="54" x14ac:dyDescent="0.25">
      <c r="A465" s="1">
        <v>13</v>
      </c>
      <c r="B465" s="57">
        <f t="shared" si="37"/>
        <v>14</v>
      </c>
      <c r="C465" s="58" t="s">
        <v>614</v>
      </c>
      <c r="D465" s="59" t="s">
        <v>604</v>
      </c>
      <c r="E465" s="60">
        <f>3100-1600-1500</f>
        <v>0</v>
      </c>
      <c r="F465" s="61">
        <f>1600-500</f>
        <v>1100</v>
      </c>
      <c r="G465" s="60">
        <v>0</v>
      </c>
      <c r="H465" s="61">
        <v>1100</v>
      </c>
      <c r="I465" s="60">
        <v>0</v>
      </c>
      <c r="J465" s="61">
        <v>855.81899999999996</v>
      </c>
      <c r="K465" s="60">
        <v>0</v>
      </c>
      <c r="L465" s="61">
        <v>855.81899999999996</v>
      </c>
      <c r="M465" s="60">
        <v>0</v>
      </c>
      <c r="N465" s="61">
        <v>0</v>
      </c>
      <c r="O465" s="62" t="s">
        <v>36</v>
      </c>
      <c r="P465" s="74"/>
      <c r="Q465" s="75"/>
    </row>
    <row r="466" spans="1:17" ht="72" x14ac:dyDescent="0.25">
      <c r="A466" s="1">
        <v>13</v>
      </c>
      <c r="B466" s="57">
        <f t="shared" si="37"/>
        <v>15</v>
      </c>
      <c r="C466" s="58" t="s">
        <v>615</v>
      </c>
      <c r="D466" s="59" t="s">
        <v>604</v>
      </c>
      <c r="E466" s="60">
        <v>647.47699999999998</v>
      </c>
      <c r="F466" s="61">
        <v>0</v>
      </c>
      <c r="G466" s="60">
        <v>647.47699999999998</v>
      </c>
      <c r="H466" s="61">
        <v>0</v>
      </c>
      <c r="I466" s="60">
        <v>647.47699999999998</v>
      </c>
      <c r="J466" s="61">
        <v>0</v>
      </c>
      <c r="K466" s="60">
        <v>647.47699999999998</v>
      </c>
      <c r="L466" s="61">
        <v>0</v>
      </c>
      <c r="M466" s="60">
        <v>0</v>
      </c>
      <c r="N466" s="61">
        <v>0</v>
      </c>
      <c r="O466" s="62" t="s">
        <v>106</v>
      </c>
      <c r="P466" s="74" t="s">
        <v>616</v>
      </c>
      <c r="Q466" s="75" t="s">
        <v>41</v>
      </c>
    </row>
    <row r="467" spans="1:17" ht="90" x14ac:dyDescent="0.25">
      <c r="A467" s="1">
        <v>13</v>
      </c>
      <c r="B467" s="57">
        <f t="shared" si="37"/>
        <v>16</v>
      </c>
      <c r="C467" s="58" t="s">
        <v>617</v>
      </c>
      <c r="D467" s="59" t="s">
        <v>35</v>
      </c>
      <c r="E467" s="60">
        <f>5700-3700</f>
        <v>2000</v>
      </c>
      <c r="F467" s="61">
        <v>3700</v>
      </c>
      <c r="G467" s="60">
        <v>2000</v>
      </c>
      <c r="H467" s="61">
        <v>3700</v>
      </c>
      <c r="I467" s="60">
        <v>2000</v>
      </c>
      <c r="J467" s="61">
        <v>3700</v>
      </c>
      <c r="K467" s="60">
        <v>2000</v>
      </c>
      <c r="L467" s="61">
        <v>3700</v>
      </c>
      <c r="M467" s="60">
        <v>0</v>
      </c>
      <c r="N467" s="61">
        <v>0</v>
      </c>
      <c r="O467" s="62" t="s">
        <v>52</v>
      </c>
      <c r="P467" s="74" t="s">
        <v>618</v>
      </c>
      <c r="Q467" s="75" t="s">
        <v>41</v>
      </c>
    </row>
    <row r="468" spans="1:17" ht="72" x14ac:dyDescent="0.25">
      <c r="A468" s="1">
        <v>13</v>
      </c>
      <c r="B468" s="57">
        <f t="shared" si="37"/>
        <v>17</v>
      </c>
      <c r="C468" s="58" t="s">
        <v>619</v>
      </c>
      <c r="D468" s="59">
        <v>2017</v>
      </c>
      <c r="E468" s="60">
        <v>0</v>
      </c>
      <c r="F468" s="61">
        <v>2000</v>
      </c>
      <c r="G468" s="60">
        <v>0</v>
      </c>
      <c r="H468" s="61">
        <v>2000</v>
      </c>
      <c r="I468" s="60">
        <v>0</v>
      </c>
      <c r="J468" s="61">
        <v>2000</v>
      </c>
      <c r="K468" s="60">
        <v>0</v>
      </c>
      <c r="L468" s="61">
        <v>2000</v>
      </c>
      <c r="M468" s="60">
        <v>0</v>
      </c>
      <c r="N468" s="61">
        <v>0</v>
      </c>
      <c r="O468" s="62" t="s">
        <v>52</v>
      </c>
      <c r="P468" s="74" t="s">
        <v>620</v>
      </c>
      <c r="Q468" s="75" t="s">
        <v>41</v>
      </c>
    </row>
    <row r="469" spans="1:17" ht="72" x14ac:dyDescent="0.25">
      <c r="A469" s="1">
        <v>13</v>
      </c>
      <c r="B469" s="57">
        <f t="shared" si="37"/>
        <v>18</v>
      </c>
      <c r="C469" s="58" t="s">
        <v>621</v>
      </c>
      <c r="D469" s="59" t="s">
        <v>38</v>
      </c>
      <c r="E469" s="60">
        <v>0</v>
      </c>
      <c r="F469" s="61">
        <v>1000</v>
      </c>
      <c r="G469" s="60">
        <v>0</v>
      </c>
      <c r="H469" s="61">
        <v>1000</v>
      </c>
      <c r="I469" s="60">
        <v>0</v>
      </c>
      <c r="J469" s="61">
        <v>1000</v>
      </c>
      <c r="K469" s="60">
        <v>0</v>
      </c>
      <c r="L469" s="61">
        <v>1000</v>
      </c>
      <c r="M469" s="60">
        <v>0</v>
      </c>
      <c r="N469" s="61">
        <v>0</v>
      </c>
      <c r="O469" s="62" t="s">
        <v>36</v>
      </c>
      <c r="P469" s="74"/>
      <c r="Q469" s="75"/>
    </row>
    <row r="470" spans="1:17" ht="72" x14ac:dyDescent="0.25">
      <c r="A470" s="1">
        <v>13</v>
      </c>
      <c r="B470" s="57">
        <f t="shared" si="37"/>
        <v>19</v>
      </c>
      <c r="C470" s="58" t="s">
        <v>622</v>
      </c>
      <c r="D470" s="59" t="s">
        <v>38</v>
      </c>
      <c r="E470" s="60">
        <f>4000-3000</f>
        <v>1000</v>
      </c>
      <c r="F470" s="61">
        <v>3000</v>
      </c>
      <c r="G470" s="60">
        <v>1000</v>
      </c>
      <c r="H470" s="61">
        <v>3000</v>
      </c>
      <c r="I470" s="60">
        <v>977.36199999999997</v>
      </c>
      <c r="J470" s="61">
        <v>3000</v>
      </c>
      <c r="K470" s="60">
        <v>977.36199999999997</v>
      </c>
      <c r="L470" s="61">
        <v>3000</v>
      </c>
      <c r="M470" s="60">
        <v>0</v>
      </c>
      <c r="N470" s="61">
        <v>0</v>
      </c>
      <c r="O470" s="62" t="s">
        <v>52</v>
      </c>
      <c r="P470" s="74" t="s">
        <v>623</v>
      </c>
      <c r="Q470" s="75" t="s">
        <v>41</v>
      </c>
    </row>
    <row r="471" spans="1:17" ht="54" x14ac:dyDescent="0.25">
      <c r="A471" s="1">
        <v>13</v>
      </c>
      <c r="B471" s="57">
        <f t="shared" si="37"/>
        <v>20</v>
      </c>
      <c r="C471" s="58" t="s">
        <v>624</v>
      </c>
      <c r="D471" s="59" t="s">
        <v>35</v>
      </c>
      <c r="E471" s="60">
        <v>0</v>
      </c>
      <c r="F471" s="61">
        <v>1500</v>
      </c>
      <c r="G471" s="60">
        <v>0</v>
      </c>
      <c r="H471" s="61">
        <v>1500</v>
      </c>
      <c r="I471" s="60">
        <v>0</v>
      </c>
      <c r="J471" s="61">
        <v>1500</v>
      </c>
      <c r="K471" s="60">
        <v>0</v>
      </c>
      <c r="L471" s="61">
        <v>1500</v>
      </c>
      <c r="M471" s="60">
        <v>0</v>
      </c>
      <c r="N471" s="61">
        <v>0</v>
      </c>
      <c r="O471" s="62" t="s">
        <v>36</v>
      </c>
      <c r="P471" s="74"/>
      <c r="Q471" s="75"/>
    </row>
    <row r="472" spans="1:17" ht="72" x14ac:dyDescent="0.25">
      <c r="A472" s="1">
        <v>13</v>
      </c>
      <c r="B472" s="57">
        <f t="shared" si="37"/>
        <v>21</v>
      </c>
      <c r="C472" s="58" t="s">
        <v>625</v>
      </c>
      <c r="D472" s="59">
        <v>2017</v>
      </c>
      <c r="E472" s="60">
        <v>0</v>
      </c>
      <c r="F472" s="61">
        <f>6500-5200</f>
        <v>1300</v>
      </c>
      <c r="G472" s="60">
        <v>0</v>
      </c>
      <c r="H472" s="61">
        <v>1300</v>
      </c>
      <c r="I472" s="60">
        <v>0</v>
      </c>
      <c r="J472" s="61">
        <v>1300</v>
      </c>
      <c r="K472" s="60">
        <v>0</v>
      </c>
      <c r="L472" s="61">
        <v>1300</v>
      </c>
      <c r="M472" s="60">
        <v>0</v>
      </c>
      <c r="N472" s="61">
        <v>0</v>
      </c>
      <c r="O472" s="62" t="s">
        <v>36</v>
      </c>
      <c r="P472" s="74"/>
      <c r="Q472" s="75"/>
    </row>
    <row r="473" spans="1:17" ht="36" x14ac:dyDescent="0.25">
      <c r="A473" s="1">
        <v>13</v>
      </c>
      <c r="B473" s="57">
        <f t="shared" si="37"/>
        <v>22</v>
      </c>
      <c r="C473" s="58" t="s">
        <v>626</v>
      </c>
      <c r="D473" s="59" t="s">
        <v>51</v>
      </c>
      <c r="E473" s="60">
        <v>0</v>
      </c>
      <c r="F473" s="61">
        <v>2900</v>
      </c>
      <c r="G473" s="60">
        <v>0</v>
      </c>
      <c r="H473" s="61">
        <v>2900</v>
      </c>
      <c r="I473" s="60">
        <v>0</v>
      </c>
      <c r="J473" s="61">
        <v>2900</v>
      </c>
      <c r="K473" s="60">
        <v>0</v>
      </c>
      <c r="L473" s="61">
        <v>2900</v>
      </c>
      <c r="M473" s="60">
        <v>0</v>
      </c>
      <c r="N473" s="61">
        <v>0</v>
      </c>
      <c r="O473" s="62" t="s">
        <v>102</v>
      </c>
      <c r="P473" s="74"/>
      <c r="Q473" s="75"/>
    </row>
    <row r="474" spans="1:17" ht="54" x14ac:dyDescent="0.25">
      <c r="A474" s="1">
        <v>13</v>
      </c>
      <c r="B474" s="57">
        <f t="shared" si="37"/>
        <v>23</v>
      </c>
      <c r="C474" s="58" t="s">
        <v>627</v>
      </c>
      <c r="D474" s="59">
        <v>2017</v>
      </c>
      <c r="E474" s="60">
        <v>1000</v>
      </c>
      <c r="F474" s="61">
        <v>0</v>
      </c>
      <c r="G474" s="60">
        <v>1000</v>
      </c>
      <c r="H474" s="61">
        <v>0</v>
      </c>
      <c r="I474" s="60">
        <v>1000</v>
      </c>
      <c r="J474" s="61">
        <v>0</v>
      </c>
      <c r="K474" s="60">
        <v>1000</v>
      </c>
      <c r="L474" s="61">
        <v>0</v>
      </c>
      <c r="M474" s="60">
        <v>0</v>
      </c>
      <c r="N474" s="61">
        <v>0</v>
      </c>
      <c r="O474" s="62" t="s">
        <v>52</v>
      </c>
      <c r="P474" s="74" t="s">
        <v>628</v>
      </c>
      <c r="Q474" s="75" t="s">
        <v>41</v>
      </c>
    </row>
    <row r="475" spans="1:17" ht="72" x14ac:dyDescent="0.25">
      <c r="A475" s="1">
        <v>13</v>
      </c>
      <c r="B475" s="57">
        <f t="shared" si="37"/>
        <v>24</v>
      </c>
      <c r="C475" s="58" t="s">
        <v>629</v>
      </c>
      <c r="D475" s="59" t="s">
        <v>101</v>
      </c>
      <c r="E475" s="60">
        <v>0</v>
      </c>
      <c r="F475" s="61">
        <v>2414.0129999999999</v>
      </c>
      <c r="G475" s="60">
        <v>0</v>
      </c>
      <c r="H475" s="61">
        <v>2414.0129999999999</v>
      </c>
      <c r="I475" s="60">
        <v>0</v>
      </c>
      <c r="J475" s="61">
        <v>2414.0129999999999</v>
      </c>
      <c r="K475" s="60">
        <v>0</v>
      </c>
      <c r="L475" s="61">
        <v>2414.0129999999999</v>
      </c>
      <c r="M475" s="60">
        <v>0</v>
      </c>
      <c r="N475" s="61">
        <v>0</v>
      </c>
      <c r="O475" s="62" t="s">
        <v>52</v>
      </c>
      <c r="P475" s="74" t="s">
        <v>538</v>
      </c>
      <c r="Q475" s="75" t="s">
        <v>41</v>
      </c>
    </row>
    <row r="476" spans="1:17" ht="72" x14ac:dyDescent="0.25">
      <c r="A476" s="1">
        <v>13</v>
      </c>
      <c r="B476" s="57">
        <f t="shared" si="37"/>
        <v>25</v>
      </c>
      <c r="C476" s="58" t="s">
        <v>630</v>
      </c>
      <c r="D476" s="59">
        <v>2017</v>
      </c>
      <c r="E476" s="60">
        <v>0</v>
      </c>
      <c r="F476" s="61">
        <f>1140.785-150</f>
        <v>990.78500000000008</v>
      </c>
      <c r="G476" s="60">
        <v>0</v>
      </c>
      <c r="H476" s="61">
        <v>990.78499999999997</v>
      </c>
      <c r="I476" s="60">
        <v>0</v>
      </c>
      <c r="J476" s="61">
        <v>990.78499999999997</v>
      </c>
      <c r="K476" s="60">
        <v>0</v>
      </c>
      <c r="L476" s="61">
        <v>990.78499999999997</v>
      </c>
      <c r="M476" s="60">
        <v>0</v>
      </c>
      <c r="N476" s="61">
        <v>0</v>
      </c>
      <c r="O476" s="62" t="s">
        <v>52</v>
      </c>
      <c r="P476" s="74" t="s">
        <v>631</v>
      </c>
      <c r="Q476" s="75" t="s">
        <v>41</v>
      </c>
    </row>
    <row r="477" spans="1:17" ht="54" x14ac:dyDescent="0.25">
      <c r="A477" s="1">
        <v>13</v>
      </c>
      <c r="B477" s="57">
        <f t="shared" si="37"/>
        <v>26</v>
      </c>
      <c r="C477" s="58" t="s">
        <v>632</v>
      </c>
      <c r="D477" s="59" t="s">
        <v>29</v>
      </c>
      <c r="E477" s="60">
        <v>0</v>
      </c>
      <c r="F477" s="61">
        <v>1500</v>
      </c>
      <c r="G477" s="60">
        <v>0</v>
      </c>
      <c r="H477" s="61">
        <v>1500</v>
      </c>
      <c r="I477" s="60">
        <v>0</v>
      </c>
      <c r="J477" s="61">
        <v>1500</v>
      </c>
      <c r="K477" s="60">
        <v>0</v>
      </c>
      <c r="L477" s="61">
        <v>1500</v>
      </c>
      <c r="M477" s="60">
        <v>0</v>
      </c>
      <c r="N477" s="61">
        <v>0</v>
      </c>
      <c r="O477" s="62" t="s">
        <v>102</v>
      </c>
      <c r="P477" s="74"/>
      <c r="Q477" s="75"/>
    </row>
    <row r="478" spans="1:17" ht="54" x14ac:dyDescent="0.25">
      <c r="A478" s="1">
        <v>13</v>
      </c>
      <c r="B478" s="57">
        <f t="shared" si="37"/>
        <v>27</v>
      </c>
      <c r="C478" s="58" t="s">
        <v>633</v>
      </c>
      <c r="D478" s="59">
        <v>2017</v>
      </c>
      <c r="E478" s="60">
        <v>0</v>
      </c>
      <c r="F478" s="61">
        <f>1500+2550</f>
        <v>4050</v>
      </c>
      <c r="G478" s="60">
        <v>0</v>
      </c>
      <c r="H478" s="61">
        <v>4050</v>
      </c>
      <c r="I478" s="60">
        <v>0</v>
      </c>
      <c r="J478" s="61">
        <v>3353.2460000000001</v>
      </c>
      <c r="K478" s="60">
        <v>0</v>
      </c>
      <c r="L478" s="61">
        <v>3353.2460000000001</v>
      </c>
      <c r="M478" s="60">
        <v>0</v>
      </c>
      <c r="N478" s="61">
        <v>0</v>
      </c>
      <c r="O478" s="62" t="s">
        <v>102</v>
      </c>
      <c r="P478" s="74"/>
      <c r="Q478" s="75"/>
    </row>
    <row r="479" spans="1:17" ht="72" x14ac:dyDescent="0.25">
      <c r="A479" s="1">
        <v>13</v>
      </c>
      <c r="B479" s="57">
        <f t="shared" si="37"/>
        <v>28</v>
      </c>
      <c r="C479" s="58" t="s">
        <v>634</v>
      </c>
      <c r="D479" s="59">
        <v>2017</v>
      </c>
      <c r="E479" s="60">
        <v>0</v>
      </c>
      <c r="F479" s="61">
        <f>797.434-400</f>
        <v>397.43399999999997</v>
      </c>
      <c r="G479" s="60">
        <v>0</v>
      </c>
      <c r="H479" s="61">
        <v>397.43400000000003</v>
      </c>
      <c r="I479" s="60">
        <v>0</v>
      </c>
      <c r="J479" s="61">
        <v>394.92200000000003</v>
      </c>
      <c r="K479" s="60">
        <v>0</v>
      </c>
      <c r="L479" s="61">
        <v>394.92200000000003</v>
      </c>
      <c r="M479" s="60">
        <v>0</v>
      </c>
      <c r="N479" s="61">
        <v>0</v>
      </c>
      <c r="O479" s="62" t="s">
        <v>36</v>
      </c>
      <c r="P479" s="74"/>
      <c r="Q479" s="75"/>
    </row>
    <row r="480" spans="1:17" ht="90" x14ac:dyDescent="0.25">
      <c r="A480" s="1">
        <v>13</v>
      </c>
      <c r="B480" s="57">
        <f t="shared" si="37"/>
        <v>29</v>
      </c>
      <c r="C480" s="58" t="s">
        <v>635</v>
      </c>
      <c r="D480" s="59" t="s">
        <v>101</v>
      </c>
      <c r="E480" s="60">
        <v>0</v>
      </c>
      <c r="F480" s="61">
        <v>1300</v>
      </c>
      <c r="G480" s="60">
        <v>0</v>
      </c>
      <c r="H480" s="61">
        <v>1300</v>
      </c>
      <c r="I480" s="60">
        <v>0</v>
      </c>
      <c r="J480" s="61">
        <v>1300</v>
      </c>
      <c r="K480" s="60">
        <v>0</v>
      </c>
      <c r="L480" s="61">
        <v>1300</v>
      </c>
      <c r="M480" s="60">
        <v>0</v>
      </c>
      <c r="N480" s="61">
        <v>0</v>
      </c>
      <c r="O480" s="62" t="s">
        <v>102</v>
      </c>
      <c r="P480" s="74"/>
      <c r="Q480" s="75"/>
    </row>
    <row r="481" spans="1:17" ht="72" x14ac:dyDescent="0.25">
      <c r="A481" s="1">
        <v>13</v>
      </c>
      <c r="B481" s="57">
        <f t="shared" si="37"/>
        <v>30</v>
      </c>
      <c r="C481" s="58" t="s">
        <v>636</v>
      </c>
      <c r="D481" s="59" t="s">
        <v>29</v>
      </c>
      <c r="E481" s="60">
        <v>0</v>
      </c>
      <c r="F481" s="61">
        <v>1000</v>
      </c>
      <c r="G481" s="60">
        <v>0</v>
      </c>
      <c r="H481" s="61">
        <v>1000</v>
      </c>
      <c r="I481" s="60">
        <v>0</v>
      </c>
      <c r="J481" s="61">
        <v>1000</v>
      </c>
      <c r="K481" s="60">
        <v>0</v>
      </c>
      <c r="L481" s="61">
        <v>1000</v>
      </c>
      <c r="M481" s="60">
        <v>0</v>
      </c>
      <c r="N481" s="61">
        <v>0</v>
      </c>
      <c r="O481" s="62" t="s">
        <v>36</v>
      </c>
      <c r="P481" s="74"/>
      <c r="Q481" s="75"/>
    </row>
    <row r="482" spans="1:17" ht="90" x14ac:dyDescent="0.25">
      <c r="A482" s="1">
        <v>13</v>
      </c>
      <c r="B482" s="57">
        <f t="shared" si="37"/>
        <v>31</v>
      </c>
      <c r="C482" s="58" t="s">
        <v>637</v>
      </c>
      <c r="D482" s="59" t="s">
        <v>29</v>
      </c>
      <c r="E482" s="60">
        <v>0</v>
      </c>
      <c r="F482" s="61">
        <v>2000</v>
      </c>
      <c r="G482" s="60">
        <v>0</v>
      </c>
      <c r="H482" s="61">
        <v>2000</v>
      </c>
      <c r="I482" s="60">
        <v>0</v>
      </c>
      <c r="J482" s="61">
        <v>2000</v>
      </c>
      <c r="K482" s="60">
        <v>0</v>
      </c>
      <c r="L482" s="61">
        <v>2000</v>
      </c>
      <c r="M482" s="60">
        <v>0</v>
      </c>
      <c r="N482" s="61">
        <v>0</v>
      </c>
      <c r="O482" s="62" t="s">
        <v>36</v>
      </c>
      <c r="P482" s="74"/>
      <c r="Q482" s="75"/>
    </row>
    <row r="483" spans="1:17" ht="54" x14ac:dyDescent="0.25">
      <c r="A483" s="1">
        <v>13</v>
      </c>
      <c r="B483" s="57">
        <f t="shared" si="37"/>
        <v>32</v>
      </c>
      <c r="C483" s="58" t="s">
        <v>638</v>
      </c>
      <c r="D483" s="59">
        <v>2017</v>
      </c>
      <c r="E483" s="60">
        <v>0</v>
      </c>
      <c r="F483" s="61">
        <v>1122.8219999999999</v>
      </c>
      <c r="G483" s="60">
        <v>0</v>
      </c>
      <c r="H483" s="61">
        <v>1122.8219999999999</v>
      </c>
      <c r="I483" s="60">
        <v>0</v>
      </c>
      <c r="J483" s="61">
        <v>1107.7819999999999</v>
      </c>
      <c r="K483" s="60">
        <v>0</v>
      </c>
      <c r="L483" s="61">
        <v>1107.7819999999999</v>
      </c>
      <c r="M483" s="60">
        <v>0</v>
      </c>
      <c r="N483" s="61">
        <v>0</v>
      </c>
      <c r="O483" s="62" t="s">
        <v>52</v>
      </c>
      <c r="P483" s="74" t="s">
        <v>639</v>
      </c>
      <c r="Q483" s="75" t="s">
        <v>41</v>
      </c>
    </row>
    <row r="484" spans="1:17" ht="54" x14ac:dyDescent="0.25">
      <c r="A484" s="1">
        <v>13</v>
      </c>
      <c r="B484" s="57">
        <f t="shared" si="37"/>
        <v>33</v>
      </c>
      <c r="C484" s="58" t="s">
        <v>640</v>
      </c>
      <c r="D484" s="59">
        <v>2017</v>
      </c>
      <c r="E484" s="60">
        <v>0</v>
      </c>
      <c r="F484" s="61">
        <v>3676.49</v>
      </c>
      <c r="G484" s="60">
        <v>0</v>
      </c>
      <c r="H484" s="61">
        <v>3676.49</v>
      </c>
      <c r="I484" s="60">
        <v>0</v>
      </c>
      <c r="J484" s="61">
        <v>3676.49</v>
      </c>
      <c r="K484" s="60">
        <v>0</v>
      </c>
      <c r="L484" s="61">
        <v>3676.49</v>
      </c>
      <c r="M484" s="60">
        <v>0</v>
      </c>
      <c r="N484" s="61">
        <v>0</v>
      </c>
      <c r="O484" s="62" t="s">
        <v>52</v>
      </c>
      <c r="P484" s="74" t="s">
        <v>234</v>
      </c>
      <c r="Q484" s="75" t="s">
        <v>41</v>
      </c>
    </row>
    <row r="485" spans="1:17" ht="72" x14ac:dyDescent="0.25">
      <c r="A485" s="1">
        <v>13</v>
      </c>
      <c r="B485" s="57">
        <f t="shared" si="37"/>
        <v>34</v>
      </c>
      <c r="C485" s="58" t="s">
        <v>641</v>
      </c>
      <c r="D485" s="59">
        <v>2017</v>
      </c>
      <c r="E485" s="60">
        <v>2300</v>
      </c>
      <c r="F485" s="61">
        <f>0+1000</f>
        <v>1000</v>
      </c>
      <c r="G485" s="60">
        <v>2300</v>
      </c>
      <c r="H485" s="61">
        <v>1000</v>
      </c>
      <c r="I485" s="60">
        <v>2300</v>
      </c>
      <c r="J485" s="61">
        <v>1000</v>
      </c>
      <c r="K485" s="60">
        <v>2300</v>
      </c>
      <c r="L485" s="61">
        <v>1000</v>
      </c>
      <c r="M485" s="60">
        <v>0</v>
      </c>
      <c r="N485" s="61">
        <v>0</v>
      </c>
      <c r="O485" s="62" t="s">
        <v>52</v>
      </c>
      <c r="P485" s="74" t="s">
        <v>642</v>
      </c>
      <c r="Q485" s="75" t="s">
        <v>41</v>
      </c>
    </row>
    <row r="486" spans="1:17" ht="108" x14ac:dyDescent="0.25">
      <c r="A486" s="1">
        <v>13</v>
      </c>
      <c r="B486" s="57">
        <f t="shared" si="37"/>
        <v>35</v>
      </c>
      <c r="C486" s="58" t="s">
        <v>643</v>
      </c>
      <c r="D486" s="59" t="s">
        <v>29</v>
      </c>
      <c r="E486" s="60">
        <v>833.33399999999995</v>
      </c>
      <c r="F486" s="61">
        <v>0</v>
      </c>
      <c r="G486" s="60">
        <v>833.33399999999995</v>
      </c>
      <c r="H486" s="61">
        <v>0</v>
      </c>
      <c r="I486" s="60">
        <v>823.99300000000005</v>
      </c>
      <c r="J486" s="61">
        <v>0</v>
      </c>
      <c r="K486" s="60">
        <v>823.99300000000005</v>
      </c>
      <c r="L486" s="61">
        <v>0</v>
      </c>
      <c r="M486" s="60">
        <v>0</v>
      </c>
      <c r="N486" s="61">
        <v>0</v>
      </c>
      <c r="O486" s="62" t="s">
        <v>52</v>
      </c>
      <c r="P486" s="74" t="s">
        <v>644</v>
      </c>
      <c r="Q486" s="75" t="s">
        <v>41</v>
      </c>
    </row>
    <row r="487" spans="1:17" ht="90" x14ac:dyDescent="0.25">
      <c r="A487" s="1">
        <v>13</v>
      </c>
      <c r="B487" s="57">
        <f t="shared" si="37"/>
        <v>36</v>
      </c>
      <c r="C487" s="58" t="s">
        <v>645</v>
      </c>
      <c r="D487" s="59" t="s">
        <v>29</v>
      </c>
      <c r="E487" s="60">
        <v>0</v>
      </c>
      <c r="F487" s="61">
        <v>797.43399999999997</v>
      </c>
      <c r="G487" s="60">
        <v>0</v>
      </c>
      <c r="H487" s="61">
        <v>797.43399999999997</v>
      </c>
      <c r="I487" s="60">
        <v>0</v>
      </c>
      <c r="J487" s="61">
        <v>797.43399999999997</v>
      </c>
      <c r="K487" s="60">
        <v>0</v>
      </c>
      <c r="L487" s="61">
        <v>797.43399999999997</v>
      </c>
      <c r="M487" s="60">
        <v>0</v>
      </c>
      <c r="N487" s="61">
        <v>0</v>
      </c>
      <c r="O487" s="62" t="s">
        <v>36</v>
      </c>
      <c r="P487" s="74"/>
      <c r="Q487" s="75"/>
    </row>
    <row r="488" spans="1:17" ht="72" x14ac:dyDescent="0.25">
      <c r="A488" s="1">
        <v>13</v>
      </c>
      <c r="B488" s="57">
        <f t="shared" si="37"/>
        <v>37</v>
      </c>
      <c r="C488" s="58" t="s">
        <v>646</v>
      </c>
      <c r="D488" s="59">
        <v>2017</v>
      </c>
      <c r="E488" s="60">
        <v>969.96</v>
      </c>
      <c r="F488" s="61">
        <v>0</v>
      </c>
      <c r="G488" s="60">
        <v>969.96</v>
      </c>
      <c r="H488" s="61">
        <v>0</v>
      </c>
      <c r="I488" s="60">
        <v>969.96</v>
      </c>
      <c r="J488" s="61">
        <v>0</v>
      </c>
      <c r="K488" s="60">
        <v>969.96</v>
      </c>
      <c r="L488" s="61">
        <v>0</v>
      </c>
      <c r="M488" s="60">
        <v>0</v>
      </c>
      <c r="N488" s="61">
        <v>0</v>
      </c>
      <c r="O488" s="62" t="s">
        <v>106</v>
      </c>
      <c r="P488" s="74" t="s">
        <v>273</v>
      </c>
      <c r="Q488" s="75" t="s">
        <v>41</v>
      </c>
    </row>
    <row r="489" spans="1:17" ht="108" x14ac:dyDescent="0.25">
      <c r="A489" s="1">
        <v>13</v>
      </c>
      <c r="B489" s="57">
        <f t="shared" si="37"/>
        <v>38</v>
      </c>
      <c r="C489" s="58" t="s">
        <v>647</v>
      </c>
      <c r="D489" s="59" t="s">
        <v>29</v>
      </c>
      <c r="E489" s="60">
        <f>1097.843</f>
        <v>1097.8430000000001</v>
      </c>
      <c r="F489" s="61">
        <f>0+200</f>
        <v>200</v>
      </c>
      <c r="G489" s="60">
        <v>1097.8430000000001</v>
      </c>
      <c r="H489" s="61">
        <v>200</v>
      </c>
      <c r="I489" s="60">
        <v>1097.7750000000001</v>
      </c>
      <c r="J489" s="61">
        <v>200</v>
      </c>
      <c r="K489" s="60">
        <v>1097.7750000000001</v>
      </c>
      <c r="L489" s="61">
        <v>200</v>
      </c>
      <c r="M489" s="60">
        <v>0</v>
      </c>
      <c r="N489" s="61">
        <v>0</v>
      </c>
      <c r="O489" s="62" t="s">
        <v>52</v>
      </c>
      <c r="P489" s="74" t="s">
        <v>648</v>
      </c>
      <c r="Q489" s="75" t="s">
        <v>41</v>
      </c>
    </row>
    <row r="490" spans="1:17" ht="72" x14ac:dyDescent="0.25">
      <c r="A490" s="1">
        <v>13</v>
      </c>
      <c r="B490" s="57">
        <f t="shared" si="37"/>
        <v>39</v>
      </c>
      <c r="C490" s="58" t="s">
        <v>649</v>
      </c>
      <c r="D490" s="59">
        <v>2017</v>
      </c>
      <c r="E490" s="60">
        <v>0</v>
      </c>
      <c r="F490" s="61">
        <v>733.5</v>
      </c>
      <c r="G490" s="60">
        <v>0</v>
      </c>
      <c r="H490" s="61">
        <v>733.5</v>
      </c>
      <c r="I490" s="60">
        <v>0</v>
      </c>
      <c r="J490" s="61">
        <v>733.5</v>
      </c>
      <c r="K490" s="60">
        <v>0</v>
      </c>
      <c r="L490" s="61">
        <v>733.5</v>
      </c>
      <c r="M490" s="60">
        <v>0</v>
      </c>
      <c r="N490" s="61">
        <v>0</v>
      </c>
      <c r="O490" s="62" t="s">
        <v>52</v>
      </c>
      <c r="P490" s="74" t="s">
        <v>650</v>
      </c>
      <c r="Q490" s="75" t="s">
        <v>41</v>
      </c>
    </row>
    <row r="491" spans="1:17" ht="90" x14ac:dyDescent="0.25">
      <c r="A491" s="1">
        <v>13</v>
      </c>
      <c r="B491" s="57">
        <f t="shared" si="37"/>
        <v>40</v>
      </c>
      <c r="C491" s="58" t="s">
        <v>651</v>
      </c>
      <c r="D491" s="59" t="s">
        <v>29</v>
      </c>
      <c r="E491" s="60">
        <v>0</v>
      </c>
      <c r="F491" s="61">
        <v>1355.509</v>
      </c>
      <c r="G491" s="60">
        <v>0</v>
      </c>
      <c r="H491" s="61">
        <v>1355.509</v>
      </c>
      <c r="I491" s="60">
        <v>0</v>
      </c>
      <c r="J491" s="61">
        <v>1340.336</v>
      </c>
      <c r="K491" s="60">
        <v>0</v>
      </c>
      <c r="L491" s="61">
        <v>1340.336</v>
      </c>
      <c r="M491" s="60">
        <v>0</v>
      </c>
      <c r="N491" s="61">
        <v>0</v>
      </c>
      <c r="O491" s="62" t="s">
        <v>52</v>
      </c>
      <c r="P491" s="74" t="s">
        <v>652</v>
      </c>
      <c r="Q491" s="75" t="s">
        <v>41</v>
      </c>
    </row>
    <row r="492" spans="1:17" ht="90" x14ac:dyDescent="0.25">
      <c r="A492" s="1">
        <v>13</v>
      </c>
      <c r="B492" s="57">
        <f t="shared" si="37"/>
        <v>41</v>
      </c>
      <c r="C492" s="58" t="s">
        <v>653</v>
      </c>
      <c r="D492" s="59">
        <v>2017</v>
      </c>
      <c r="E492" s="60">
        <v>0</v>
      </c>
      <c r="F492" s="61">
        <f>2488.243-274.545</f>
        <v>2213.6979999999999</v>
      </c>
      <c r="G492" s="60">
        <v>0</v>
      </c>
      <c r="H492" s="61">
        <v>2213.6979999999999</v>
      </c>
      <c r="I492" s="60">
        <v>0</v>
      </c>
      <c r="J492" s="61">
        <v>2165.4929999999999</v>
      </c>
      <c r="K492" s="60">
        <v>0</v>
      </c>
      <c r="L492" s="61">
        <v>2165.4929999999999</v>
      </c>
      <c r="M492" s="60">
        <v>0</v>
      </c>
      <c r="N492" s="61">
        <v>0</v>
      </c>
      <c r="O492" s="62" t="s">
        <v>52</v>
      </c>
      <c r="P492" s="74" t="s">
        <v>654</v>
      </c>
      <c r="Q492" s="75" t="s">
        <v>41</v>
      </c>
    </row>
    <row r="493" spans="1:17" ht="108" x14ac:dyDescent="0.25">
      <c r="A493" s="1">
        <v>13</v>
      </c>
      <c r="B493" s="57">
        <f t="shared" si="37"/>
        <v>42</v>
      </c>
      <c r="C493" s="58" t="s">
        <v>655</v>
      </c>
      <c r="D493" s="59">
        <v>2017</v>
      </c>
      <c r="E493" s="60">
        <v>0</v>
      </c>
      <c r="F493" s="61">
        <f>1141.287-190.12</f>
        <v>951.16700000000003</v>
      </c>
      <c r="G493" s="60">
        <v>0</v>
      </c>
      <c r="H493" s="61">
        <v>951.16700000000003</v>
      </c>
      <c r="I493" s="60">
        <v>0</v>
      </c>
      <c r="J493" s="61">
        <v>933.49</v>
      </c>
      <c r="K493" s="60">
        <v>0</v>
      </c>
      <c r="L493" s="61">
        <v>933.49</v>
      </c>
      <c r="M493" s="60">
        <v>0</v>
      </c>
      <c r="N493" s="61">
        <v>0</v>
      </c>
      <c r="O493" s="62" t="s">
        <v>52</v>
      </c>
      <c r="P493" s="74" t="s">
        <v>125</v>
      </c>
      <c r="Q493" s="75" t="s">
        <v>41</v>
      </c>
    </row>
    <row r="494" spans="1:17" ht="108" x14ac:dyDescent="0.25">
      <c r="A494" s="1">
        <v>13</v>
      </c>
      <c r="B494" s="57">
        <f t="shared" si="37"/>
        <v>43</v>
      </c>
      <c r="C494" s="58" t="s">
        <v>656</v>
      </c>
      <c r="D494" s="59">
        <v>2017</v>
      </c>
      <c r="E494" s="60">
        <v>0</v>
      </c>
      <c r="F494" s="61">
        <f>1275.192-49.52</f>
        <v>1225.672</v>
      </c>
      <c r="G494" s="60">
        <v>0</v>
      </c>
      <c r="H494" s="61">
        <v>1225.672</v>
      </c>
      <c r="I494" s="60">
        <v>0</v>
      </c>
      <c r="J494" s="61">
        <v>1222.52</v>
      </c>
      <c r="K494" s="60">
        <v>0</v>
      </c>
      <c r="L494" s="61">
        <v>1222.52</v>
      </c>
      <c r="M494" s="60">
        <v>0</v>
      </c>
      <c r="N494" s="61">
        <v>0</v>
      </c>
      <c r="O494" s="62" t="s">
        <v>52</v>
      </c>
      <c r="P494" s="74" t="s">
        <v>125</v>
      </c>
      <c r="Q494" s="75" t="s">
        <v>41</v>
      </c>
    </row>
    <row r="495" spans="1:17" ht="90" x14ac:dyDescent="0.25">
      <c r="A495" s="1">
        <v>13</v>
      </c>
      <c r="B495" s="57">
        <f t="shared" si="37"/>
        <v>44</v>
      </c>
      <c r="C495" s="58" t="s">
        <v>657</v>
      </c>
      <c r="D495" s="59">
        <v>2017</v>
      </c>
      <c r="E495" s="60">
        <f>3287.019-1787.019</f>
        <v>1499.9999999999998</v>
      </c>
      <c r="F495" s="61">
        <v>1787.019</v>
      </c>
      <c r="G495" s="60">
        <v>1500</v>
      </c>
      <c r="H495" s="61">
        <v>1787.019</v>
      </c>
      <c r="I495" s="60">
        <v>1500</v>
      </c>
      <c r="J495" s="61">
        <v>1786.566</v>
      </c>
      <c r="K495" s="60">
        <v>1500</v>
      </c>
      <c r="L495" s="61">
        <v>1786.566</v>
      </c>
      <c r="M495" s="60">
        <v>0</v>
      </c>
      <c r="N495" s="61">
        <v>0</v>
      </c>
      <c r="O495" s="62" t="s">
        <v>377</v>
      </c>
      <c r="P495" s="74" t="s">
        <v>658</v>
      </c>
      <c r="Q495" s="75" t="s">
        <v>41</v>
      </c>
    </row>
    <row r="496" spans="1:17" ht="72" x14ac:dyDescent="0.25">
      <c r="A496" s="1">
        <v>13</v>
      </c>
      <c r="B496" s="57">
        <f t="shared" si="37"/>
        <v>45</v>
      </c>
      <c r="C496" s="58" t="s">
        <v>659</v>
      </c>
      <c r="D496" s="59">
        <v>2017</v>
      </c>
      <c r="E496" s="60">
        <v>0</v>
      </c>
      <c r="F496" s="61">
        <v>1650</v>
      </c>
      <c r="G496" s="60">
        <v>0</v>
      </c>
      <c r="H496" s="61">
        <v>1650</v>
      </c>
      <c r="I496" s="60">
        <v>0</v>
      </c>
      <c r="J496" s="61">
        <v>222.45</v>
      </c>
      <c r="K496" s="60">
        <v>0</v>
      </c>
      <c r="L496" s="61">
        <v>222.45</v>
      </c>
      <c r="M496" s="60">
        <v>0</v>
      </c>
      <c r="N496" s="61">
        <v>0</v>
      </c>
      <c r="O496" s="62" t="s">
        <v>36</v>
      </c>
      <c r="P496" s="74"/>
      <c r="Q496" s="75"/>
    </row>
    <row r="497" spans="1:17" ht="72" x14ac:dyDescent="0.25">
      <c r="A497" s="1">
        <v>13</v>
      </c>
      <c r="B497" s="57">
        <f t="shared" si="37"/>
        <v>46</v>
      </c>
      <c r="C497" s="58" t="s">
        <v>660</v>
      </c>
      <c r="D497" s="59">
        <v>2017</v>
      </c>
      <c r="E497" s="60">
        <f>2300-1100</f>
        <v>1200</v>
      </c>
      <c r="F497" s="61">
        <v>0</v>
      </c>
      <c r="G497" s="60">
        <v>1200</v>
      </c>
      <c r="H497" s="61">
        <v>0</v>
      </c>
      <c r="I497" s="60">
        <v>1100</v>
      </c>
      <c r="J497" s="61">
        <v>0</v>
      </c>
      <c r="K497" s="60">
        <v>1100</v>
      </c>
      <c r="L497" s="61">
        <v>0</v>
      </c>
      <c r="M497" s="60">
        <v>0</v>
      </c>
      <c r="N497" s="61">
        <v>0</v>
      </c>
      <c r="O497" s="62" t="s">
        <v>36</v>
      </c>
      <c r="P497" s="74"/>
      <c r="Q497" s="75"/>
    </row>
    <row r="498" spans="1:17" ht="72" x14ac:dyDescent="0.25">
      <c r="A498" s="1">
        <v>13</v>
      </c>
      <c r="B498" s="57">
        <f t="shared" si="37"/>
        <v>47</v>
      </c>
      <c r="C498" s="58" t="s">
        <v>661</v>
      </c>
      <c r="D498" s="59">
        <v>2017</v>
      </c>
      <c r="E498" s="60">
        <v>0</v>
      </c>
      <c r="F498" s="61">
        <f>2300</f>
        <v>2300</v>
      </c>
      <c r="G498" s="60">
        <v>0</v>
      </c>
      <c r="H498" s="61">
        <v>2300</v>
      </c>
      <c r="I498" s="60">
        <v>0</v>
      </c>
      <c r="J498" s="61">
        <v>2300</v>
      </c>
      <c r="K498" s="60">
        <v>0</v>
      </c>
      <c r="L498" s="61">
        <v>2300</v>
      </c>
      <c r="M498" s="60">
        <v>0</v>
      </c>
      <c r="N498" s="61">
        <v>0</v>
      </c>
      <c r="O498" s="62" t="s">
        <v>36</v>
      </c>
      <c r="P498" s="74"/>
      <c r="Q498" s="75"/>
    </row>
    <row r="499" spans="1:17" ht="90" x14ac:dyDescent="0.25">
      <c r="A499" s="1">
        <v>13</v>
      </c>
      <c r="B499" s="57">
        <f t="shared" si="37"/>
        <v>48</v>
      </c>
      <c r="C499" s="58" t="s">
        <v>662</v>
      </c>
      <c r="D499" s="59">
        <v>2017</v>
      </c>
      <c r="E499" s="60">
        <f>2601.128-386.594</f>
        <v>2214.5340000000001</v>
      </c>
      <c r="F499" s="61">
        <v>386.59399999999999</v>
      </c>
      <c r="G499" s="60">
        <v>2214.5340000000001</v>
      </c>
      <c r="H499" s="61">
        <v>386.59399999999999</v>
      </c>
      <c r="I499" s="60">
        <v>1944.559</v>
      </c>
      <c r="J499" s="61">
        <v>386.59399999999999</v>
      </c>
      <c r="K499" s="60">
        <v>1944.559</v>
      </c>
      <c r="L499" s="61">
        <v>386.59399999999999</v>
      </c>
      <c r="M499" s="60">
        <v>0</v>
      </c>
      <c r="N499" s="61">
        <v>0</v>
      </c>
      <c r="O499" s="62" t="s">
        <v>52</v>
      </c>
      <c r="P499" s="74" t="s">
        <v>663</v>
      </c>
      <c r="Q499" s="75" t="s">
        <v>41</v>
      </c>
    </row>
    <row r="500" spans="1:17" ht="120.75" x14ac:dyDescent="0.25">
      <c r="A500" s="1">
        <v>13</v>
      </c>
      <c r="B500" s="57">
        <f t="shared" si="37"/>
        <v>49</v>
      </c>
      <c r="C500" s="107" t="s">
        <v>664</v>
      </c>
      <c r="D500" s="108">
        <v>2017</v>
      </c>
      <c r="E500" s="109">
        <f>SUM(E501:E502)</f>
        <v>0</v>
      </c>
      <c r="F500" s="110">
        <f t="shared" ref="F500:N500" si="38">SUM(F501:F502)</f>
        <v>11455</v>
      </c>
      <c r="G500" s="109">
        <f t="shared" si="38"/>
        <v>0</v>
      </c>
      <c r="H500" s="110">
        <f t="shared" si="38"/>
        <v>11455</v>
      </c>
      <c r="I500" s="109">
        <f t="shared" si="38"/>
        <v>0</v>
      </c>
      <c r="J500" s="110">
        <f t="shared" si="38"/>
        <v>9281.375</v>
      </c>
      <c r="K500" s="109">
        <f t="shared" si="38"/>
        <v>0</v>
      </c>
      <c r="L500" s="110">
        <f t="shared" si="38"/>
        <v>9281.375</v>
      </c>
      <c r="M500" s="109">
        <f t="shared" si="38"/>
        <v>0</v>
      </c>
      <c r="N500" s="110">
        <f t="shared" si="38"/>
        <v>0</v>
      </c>
      <c r="O500" s="111" t="s">
        <v>102</v>
      </c>
      <c r="P500" s="112"/>
      <c r="Q500" s="113" t="s">
        <v>235</v>
      </c>
    </row>
    <row r="501" spans="1:17" ht="56.25" x14ac:dyDescent="0.25">
      <c r="A501" s="1">
        <v>13</v>
      </c>
      <c r="B501" s="114"/>
      <c r="C501" s="115" t="s">
        <v>665</v>
      </c>
      <c r="D501" s="116">
        <v>2017</v>
      </c>
      <c r="E501" s="117">
        <v>0</v>
      </c>
      <c r="F501" s="118">
        <v>900</v>
      </c>
      <c r="G501" s="117">
        <v>0</v>
      </c>
      <c r="H501" s="118">
        <v>900</v>
      </c>
      <c r="I501" s="117">
        <v>0</v>
      </c>
      <c r="J501" s="118">
        <v>877.447</v>
      </c>
      <c r="K501" s="117">
        <v>0</v>
      </c>
      <c r="L501" s="118">
        <v>877.447</v>
      </c>
      <c r="M501" s="117">
        <v>0</v>
      </c>
      <c r="N501" s="118">
        <v>0</v>
      </c>
      <c r="O501" s="62" t="s">
        <v>52</v>
      </c>
      <c r="P501" s="74" t="s">
        <v>666</v>
      </c>
      <c r="Q501" s="75" t="s">
        <v>41</v>
      </c>
    </row>
    <row r="502" spans="1:17" ht="56.25" x14ac:dyDescent="0.25">
      <c r="A502" s="1">
        <v>13</v>
      </c>
      <c r="B502" s="114"/>
      <c r="C502" s="115" t="s">
        <v>667</v>
      </c>
      <c r="D502" s="116" t="s">
        <v>101</v>
      </c>
      <c r="E502" s="117">
        <v>0</v>
      </c>
      <c r="F502" s="118">
        <f>11755-1200</f>
        <v>10555</v>
      </c>
      <c r="G502" s="117">
        <v>0</v>
      </c>
      <c r="H502" s="118">
        <v>10555</v>
      </c>
      <c r="I502" s="117">
        <v>0</v>
      </c>
      <c r="J502" s="118">
        <v>8403.9279999999999</v>
      </c>
      <c r="K502" s="117">
        <v>0</v>
      </c>
      <c r="L502" s="118">
        <v>8403.9279999999999</v>
      </c>
      <c r="M502" s="117">
        <v>0</v>
      </c>
      <c r="N502" s="118">
        <v>0</v>
      </c>
      <c r="O502" s="62" t="s">
        <v>102</v>
      </c>
      <c r="P502" s="74"/>
      <c r="Q502" s="75"/>
    </row>
    <row r="503" spans="1:17" ht="90" x14ac:dyDescent="0.25">
      <c r="A503" s="1">
        <v>13</v>
      </c>
      <c r="B503" s="57">
        <f>B500+1</f>
        <v>50</v>
      </c>
      <c r="C503" s="58" t="s">
        <v>668</v>
      </c>
      <c r="D503" s="59" t="s">
        <v>604</v>
      </c>
      <c r="E503" s="60">
        <v>1600</v>
      </c>
      <c r="F503" s="61">
        <v>0</v>
      </c>
      <c r="G503" s="60">
        <v>1600</v>
      </c>
      <c r="H503" s="61">
        <v>0</v>
      </c>
      <c r="I503" s="60">
        <v>1372.741</v>
      </c>
      <c r="J503" s="61">
        <v>0</v>
      </c>
      <c r="K503" s="60">
        <v>1372.741</v>
      </c>
      <c r="L503" s="61">
        <v>0</v>
      </c>
      <c r="M503" s="60">
        <v>0</v>
      </c>
      <c r="N503" s="61">
        <v>0</v>
      </c>
      <c r="O503" s="62" t="s">
        <v>52</v>
      </c>
      <c r="P503" s="74" t="s">
        <v>477</v>
      </c>
      <c r="Q503" s="75" t="s">
        <v>41</v>
      </c>
    </row>
    <row r="504" spans="1:17" ht="90" x14ac:dyDescent="0.25">
      <c r="A504" s="1">
        <v>13</v>
      </c>
      <c r="B504" s="57">
        <f t="shared" ref="B504:B515" si="39">B503+1</f>
        <v>51</v>
      </c>
      <c r="C504" s="58" t="s">
        <v>669</v>
      </c>
      <c r="D504" s="59" t="s">
        <v>29</v>
      </c>
      <c r="E504" s="60">
        <v>1600</v>
      </c>
      <c r="F504" s="61">
        <v>0</v>
      </c>
      <c r="G504" s="60">
        <v>1600</v>
      </c>
      <c r="H504" s="61">
        <v>0</v>
      </c>
      <c r="I504" s="60">
        <v>370.39</v>
      </c>
      <c r="J504" s="61">
        <v>0</v>
      </c>
      <c r="K504" s="60">
        <v>370.39</v>
      </c>
      <c r="L504" s="61">
        <v>0</v>
      </c>
      <c r="M504" s="60">
        <v>0</v>
      </c>
      <c r="N504" s="61">
        <v>0</v>
      </c>
      <c r="O504" s="62" t="s">
        <v>36</v>
      </c>
      <c r="P504" s="74"/>
      <c r="Q504" s="75"/>
    </row>
    <row r="505" spans="1:17" ht="54" x14ac:dyDescent="0.25">
      <c r="A505" s="1">
        <v>13</v>
      </c>
      <c r="B505" s="57">
        <f t="shared" si="39"/>
        <v>52</v>
      </c>
      <c r="C505" s="58" t="s">
        <v>670</v>
      </c>
      <c r="D505" s="59">
        <v>2017</v>
      </c>
      <c r="E505" s="60">
        <v>1600</v>
      </c>
      <c r="F505" s="61">
        <v>0</v>
      </c>
      <c r="G505" s="60">
        <v>1600</v>
      </c>
      <c r="H505" s="61">
        <v>0</v>
      </c>
      <c r="I505" s="60">
        <v>1600</v>
      </c>
      <c r="J505" s="61">
        <v>0</v>
      </c>
      <c r="K505" s="60">
        <v>1600</v>
      </c>
      <c r="L505" s="61">
        <v>0</v>
      </c>
      <c r="M505" s="60">
        <v>0</v>
      </c>
      <c r="N505" s="61">
        <v>0</v>
      </c>
      <c r="O505" s="62" t="s">
        <v>52</v>
      </c>
      <c r="P505" s="74" t="s">
        <v>206</v>
      </c>
      <c r="Q505" s="75" t="s">
        <v>41</v>
      </c>
    </row>
    <row r="506" spans="1:17" ht="90" x14ac:dyDescent="0.25">
      <c r="A506" s="1">
        <v>13</v>
      </c>
      <c r="B506" s="57">
        <f t="shared" si="39"/>
        <v>53</v>
      </c>
      <c r="C506" s="58" t="s">
        <v>671</v>
      </c>
      <c r="D506" s="59">
        <v>2017</v>
      </c>
      <c r="E506" s="60">
        <v>0</v>
      </c>
      <c r="F506" s="61">
        <v>1164</v>
      </c>
      <c r="G506" s="60">
        <v>0</v>
      </c>
      <c r="H506" s="61">
        <v>1164</v>
      </c>
      <c r="I506" s="60">
        <v>0</v>
      </c>
      <c r="J506" s="61">
        <v>1164</v>
      </c>
      <c r="K506" s="60">
        <v>0</v>
      </c>
      <c r="L506" s="61">
        <v>1164</v>
      </c>
      <c r="M506" s="60">
        <v>0</v>
      </c>
      <c r="N506" s="61">
        <v>0</v>
      </c>
      <c r="O506" s="62" t="s">
        <v>52</v>
      </c>
      <c r="P506" s="74" t="s">
        <v>672</v>
      </c>
      <c r="Q506" s="75" t="s">
        <v>41</v>
      </c>
    </row>
    <row r="507" spans="1:17" ht="54" x14ac:dyDescent="0.25">
      <c r="A507" s="1">
        <v>13</v>
      </c>
      <c r="B507" s="57">
        <f t="shared" si="39"/>
        <v>54</v>
      </c>
      <c r="C507" s="58" t="s">
        <v>673</v>
      </c>
      <c r="D507" s="59">
        <v>2017</v>
      </c>
      <c r="E507" s="60">
        <v>1600</v>
      </c>
      <c r="F507" s="61">
        <v>0</v>
      </c>
      <c r="G507" s="60">
        <v>1600</v>
      </c>
      <c r="H507" s="61">
        <v>0</v>
      </c>
      <c r="I507" s="60">
        <v>1600</v>
      </c>
      <c r="J507" s="61">
        <v>0</v>
      </c>
      <c r="K507" s="60">
        <v>1600</v>
      </c>
      <c r="L507" s="61">
        <v>0</v>
      </c>
      <c r="M507" s="60">
        <v>0</v>
      </c>
      <c r="N507" s="61">
        <v>0</v>
      </c>
      <c r="O507" s="62" t="s">
        <v>52</v>
      </c>
      <c r="P507" s="74" t="s">
        <v>273</v>
      </c>
      <c r="Q507" s="75" t="s">
        <v>41</v>
      </c>
    </row>
    <row r="508" spans="1:17" ht="72" x14ac:dyDescent="0.25">
      <c r="A508" s="1">
        <v>13</v>
      </c>
      <c r="B508" s="57">
        <f t="shared" si="39"/>
        <v>55</v>
      </c>
      <c r="C508" s="58" t="s">
        <v>674</v>
      </c>
      <c r="D508" s="59">
        <v>2017</v>
      </c>
      <c r="E508" s="60">
        <v>1600</v>
      </c>
      <c r="F508" s="61">
        <v>0</v>
      </c>
      <c r="G508" s="60">
        <v>1600</v>
      </c>
      <c r="H508" s="61">
        <v>0</v>
      </c>
      <c r="I508" s="60">
        <v>1600</v>
      </c>
      <c r="J508" s="61">
        <v>0</v>
      </c>
      <c r="K508" s="60">
        <v>1600</v>
      </c>
      <c r="L508" s="61">
        <v>0</v>
      </c>
      <c r="M508" s="60">
        <v>0</v>
      </c>
      <c r="N508" s="61">
        <v>0</v>
      </c>
      <c r="O508" s="62" t="s">
        <v>36</v>
      </c>
      <c r="P508" s="74"/>
      <c r="Q508" s="75"/>
    </row>
    <row r="509" spans="1:17" ht="54" x14ac:dyDescent="0.25">
      <c r="A509" s="1">
        <v>13</v>
      </c>
      <c r="B509" s="57">
        <f t="shared" si="39"/>
        <v>56</v>
      </c>
      <c r="C509" s="58" t="s">
        <v>675</v>
      </c>
      <c r="D509" s="59">
        <v>2017</v>
      </c>
      <c r="E509" s="60">
        <v>1600</v>
      </c>
      <c r="F509" s="61">
        <v>0</v>
      </c>
      <c r="G509" s="60">
        <v>1600</v>
      </c>
      <c r="H509" s="61">
        <v>0</v>
      </c>
      <c r="I509" s="60">
        <v>1600</v>
      </c>
      <c r="J509" s="61">
        <v>0</v>
      </c>
      <c r="K509" s="60">
        <v>1600</v>
      </c>
      <c r="L509" s="61">
        <v>0</v>
      </c>
      <c r="M509" s="60">
        <v>0</v>
      </c>
      <c r="N509" s="61">
        <v>0</v>
      </c>
      <c r="O509" s="62" t="s">
        <v>52</v>
      </c>
      <c r="P509" s="74" t="s">
        <v>676</v>
      </c>
      <c r="Q509" s="75" t="s">
        <v>41</v>
      </c>
    </row>
    <row r="510" spans="1:17" ht="60" x14ac:dyDescent="0.25">
      <c r="A510" s="1">
        <v>13</v>
      </c>
      <c r="B510" s="57">
        <f t="shared" si="39"/>
        <v>57</v>
      </c>
      <c r="C510" s="58" t="s">
        <v>677</v>
      </c>
      <c r="D510" s="59">
        <v>2017</v>
      </c>
      <c r="E510" s="60">
        <v>1600</v>
      </c>
      <c r="F510" s="61">
        <v>0</v>
      </c>
      <c r="G510" s="60">
        <v>1600</v>
      </c>
      <c r="H510" s="61">
        <v>0</v>
      </c>
      <c r="I510" s="60">
        <v>1600</v>
      </c>
      <c r="J510" s="61">
        <v>0</v>
      </c>
      <c r="K510" s="60">
        <v>1600</v>
      </c>
      <c r="L510" s="61">
        <v>0</v>
      </c>
      <c r="M510" s="60">
        <v>0</v>
      </c>
      <c r="N510" s="61">
        <v>0</v>
      </c>
      <c r="O510" s="62" t="s">
        <v>52</v>
      </c>
      <c r="P510" s="74" t="s">
        <v>678</v>
      </c>
      <c r="Q510" s="75" t="s">
        <v>612</v>
      </c>
    </row>
    <row r="511" spans="1:17" ht="90" x14ac:dyDescent="0.25">
      <c r="A511" s="1">
        <v>13</v>
      </c>
      <c r="B511" s="57">
        <f t="shared" si="39"/>
        <v>58</v>
      </c>
      <c r="C511" s="58" t="s">
        <v>679</v>
      </c>
      <c r="D511" s="59">
        <v>2017</v>
      </c>
      <c r="E511" s="60">
        <v>1307.5920000000001</v>
      </c>
      <c r="F511" s="61">
        <v>0</v>
      </c>
      <c r="G511" s="60">
        <v>1307.5920000000001</v>
      </c>
      <c r="H511" s="61">
        <v>0</v>
      </c>
      <c r="I511" s="60">
        <v>1236.385</v>
      </c>
      <c r="J511" s="61">
        <v>0</v>
      </c>
      <c r="K511" s="60">
        <v>1236.385</v>
      </c>
      <c r="L511" s="61">
        <v>0</v>
      </c>
      <c r="M511" s="60">
        <v>0</v>
      </c>
      <c r="N511" s="61">
        <v>0</v>
      </c>
      <c r="O511" s="62" t="s">
        <v>52</v>
      </c>
      <c r="P511" s="74" t="s">
        <v>244</v>
      </c>
      <c r="Q511" s="75" t="s">
        <v>41</v>
      </c>
    </row>
    <row r="512" spans="1:17" ht="72" x14ac:dyDescent="0.25">
      <c r="A512" s="1">
        <v>13</v>
      </c>
      <c r="B512" s="57">
        <f t="shared" si="39"/>
        <v>59</v>
      </c>
      <c r="C512" s="58" t="s">
        <v>680</v>
      </c>
      <c r="D512" s="59">
        <v>2017</v>
      </c>
      <c r="E512" s="60">
        <v>0</v>
      </c>
      <c r="F512" s="61">
        <v>997</v>
      </c>
      <c r="G512" s="60">
        <v>0</v>
      </c>
      <c r="H512" s="61">
        <v>997</v>
      </c>
      <c r="I512" s="60">
        <v>0</v>
      </c>
      <c r="J512" s="61">
        <v>997</v>
      </c>
      <c r="K512" s="60">
        <v>0</v>
      </c>
      <c r="L512" s="61">
        <v>997</v>
      </c>
      <c r="M512" s="60">
        <v>0</v>
      </c>
      <c r="N512" s="61">
        <v>0</v>
      </c>
      <c r="O512" s="62" t="s">
        <v>52</v>
      </c>
      <c r="P512" s="74" t="s">
        <v>484</v>
      </c>
      <c r="Q512" s="75" t="s">
        <v>41</v>
      </c>
    </row>
    <row r="513" spans="1:17" ht="54" x14ac:dyDescent="0.25">
      <c r="A513" s="1">
        <v>13</v>
      </c>
      <c r="B513" s="68">
        <f t="shared" si="39"/>
        <v>60</v>
      </c>
      <c r="C513" s="69" t="s">
        <v>681</v>
      </c>
      <c r="D513" s="70">
        <v>2017</v>
      </c>
      <c r="E513" s="80">
        <v>0</v>
      </c>
      <c r="F513" s="81">
        <v>2000</v>
      </c>
      <c r="G513" s="80">
        <v>0</v>
      </c>
      <c r="H513" s="81">
        <v>2000</v>
      </c>
      <c r="I513" s="80">
        <v>0</v>
      </c>
      <c r="J513" s="81">
        <v>2000</v>
      </c>
      <c r="K513" s="80">
        <v>0</v>
      </c>
      <c r="L513" s="81">
        <v>2000</v>
      </c>
      <c r="M513" s="80">
        <v>0</v>
      </c>
      <c r="N513" s="81">
        <v>0</v>
      </c>
      <c r="O513" s="62" t="s">
        <v>36</v>
      </c>
      <c r="P513" s="74"/>
      <c r="Q513" s="75"/>
    </row>
    <row r="514" spans="1:17" ht="90" x14ac:dyDescent="0.25">
      <c r="A514" s="1">
        <v>13</v>
      </c>
      <c r="B514" s="68">
        <f t="shared" si="39"/>
        <v>61</v>
      </c>
      <c r="C514" s="69" t="s">
        <v>682</v>
      </c>
      <c r="D514" s="70">
        <v>2017</v>
      </c>
      <c r="E514" s="80">
        <v>1100</v>
      </c>
      <c r="F514" s="81">
        <f>0+1314.185</f>
        <v>1314.1849999999999</v>
      </c>
      <c r="G514" s="80">
        <v>1100</v>
      </c>
      <c r="H514" s="81">
        <v>1314.1849999999999</v>
      </c>
      <c r="I514" s="80">
        <v>1100</v>
      </c>
      <c r="J514" s="81">
        <v>1314.1849999999999</v>
      </c>
      <c r="K514" s="80">
        <v>1100</v>
      </c>
      <c r="L514" s="81">
        <v>1314.1849999999999</v>
      </c>
      <c r="M514" s="80">
        <v>0</v>
      </c>
      <c r="N514" s="81">
        <v>0</v>
      </c>
      <c r="O514" s="62" t="s">
        <v>52</v>
      </c>
      <c r="P514" s="74" t="s">
        <v>683</v>
      </c>
      <c r="Q514" s="75" t="s">
        <v>41</v>
      </c>
    </row>
    <row r="515" spans="1:17" ht="90.75" thickBot="1" x14ac:dyDescent="0.3">
      <c r="A515" s="1">
        <v>13</v>
      </c>
      <c r="B515" s="84">
        <f t="shared" si="39"/>
        <v>62</v>
      </c>
      <c r="C515" s="85" t="s">
        <v>684</v>
      </c>
      <c r="D515" s="86">
        <v>2017</v>
      </c>
      <c r="E515" s="87">
        <v>0</v>
      </c>
      <c r="F515" s="88">
        <v>1200</v>
      </c>
      <c r="G515" s="87">
        <v>0</v>
      </c>
      <c r="H515" s="88">
        <v>1200</v>
      </c>
      <c r="I515" s="87">
        <v>0</v>
      </c>
      <c r="J515" s="88">
        <v>1199.854</v>
      </c>
      <c r="K515" s="87">
        <v>0</v>
      </c>
      <c r="L515" s="88">
        <v>1199.854</v>
      </c>
      <c r="M515" s="87">
        <v>0</v>
      </c>
      <c r="N515" s="88">
        <v>0</v>
      </c>
      <c r="O515" s="89" t="s">
        <v>52</v>
      </c>
      <c r="P515" s="93" t="s">
        <v>685</v>
      </c>
      <c r="Q515" s="94" t="s">
        <v>41</v>
      </c>
    </row>
    <row r="516" spans="1:17" ht="18" x14ac:dyDescent="0.25">
      <c r="A516" s="1">
        <v>14</v>
      </c>
      <c r="B516" s="149" t="s">
        <v>686</v>
      </c>
      <c r="C516" s="150"/>
      <c r="D516" s="150"/>
      <c r="E516" s="150"/>
      <c r="F516" s="150"/>
      <c r="G516" s="150"/>
      <c r="H516" s="150"/>
      <c r="I516" s="150"/>
      <c r="J516" s="150"/>
      <c r="K516" s="150"/>
      <c r="L516" s="150"/>
      <c r="M516" s="150"/>
      <c r="N516" s="150"/>
      <c r="O516" s="150"/>
      <c r="P516" s="150"/>
      <c r="Q516" s="151"/>
    </row>
    <row r="517" spans="1:17" ht="18" x14ac:dyDescent="0.25">
      <c r="A517" s="1">
        <v>14</v>
      </c>
      <c r="B517" s="40"/>
      <c r="C517" s="119" t="s">
        <v>27</v>
      </c>
      <c r="D517" s="120"/>
      <c r="E517" s="43">
        <f>SUM(E518,E520:E539)</f>
        <v>21626.557000000001</v>
      </c>
      <c r="F517" s="44">
        <f t="shared" ref="F517:N517" si="40">SUM(F518,F520:F539)</f>
        <v>54066.392000000007</v>
      </c>
      <c r="G517" s="45">
        <f t="shared" si="40"/>
        <v>21626.557000000001</v>
      </c>
      <c r="H517" s="46">
        <f t="shared" si="40"/>
        <v>54066.392000000007</v>
      </c>
      <c r="I517" s="43">
        <f t="shared" si="40"/>
        <v>19247.196</v>
      </c>
      <c r="J517" s="44">
        <f t="shared" si="40"/>
        <v>28762.334999999999</v>
      </c>
      <c r="K517" s="45">
        <f t="shared" si="40"/>
        <v>19247.196</v>
      </c>
      <c r="L517" s="46">
        <f t="shared" si="40"/>
        <v>26181.683000000001</v>
      </c>
      <c r="M517" s="45">
        <f t="shared" si="40"/>
        <v>0</v>
      </c>
      <c r="N517" s="46">
        <f t="shared" si="40"/>
        <v>0</v>
      </c>
      <c r="O517" s="121"/>
      <c r="P517" s="48">
        <v>7</v>
      </c>
      <c r="Q517" s="49"/>
    </row>
    <row r="518" spans="1:17" ht="18" x14ac:dyDescent="0.25">
      <c r="A518" s="1">
        <v>14</v>
      </c>
      <c r="B518" s="24"/>
      <c r="C518" s="25" t="s">
        <v>24</v>
      </c>
      <c r="D518" s="26"/>
      <c r="E518" s="54">
        <v>0</v>
      </c>
      <c r="F518" s="55">
        <v>0</v>
      </c>
      <c r="G518" s="54">
        <f>13008.44-13008.44</f>
        <v>0</v>
      </c>
      <c r="H518" s="55">
        <v>0</v>
      </c>
      <c r="I518" s="54"/>
      <c r="J518" s="55"/>
      <c r="K518" s="54"/>
      <c r="L518" s="55"/>
      <c r="M518" s="54"/>
      <c r="N518" s="55"/>
      <c r="O518" s="122"/>
      <c r="P518" s="30"/>
      <c r="Q518" s="31"/>
    </row>
    <row r="519" spans="1:17" ht="36" x14ac:dyDescent="0.25">
      <c r="A519" s="1">
        <v>14</v>
      </c>
      <c r="B519" s="24"/>
      <c r="C519" s="25" t="s">
        <v>25</v>
      </c>
      <c r="D519" s="26"/>
      <c r="E519" s="54">
        <f>SUM(E520:E539)</f>
        <v>21626.557000000001</v>
      </c>
      <c r="F519" s="55">
        <f t="shared" ref="F519:N519" si="41">SUM(F520:F539)</f>
        <v>54066.392000000007</v>
      </c>
      <c r="G519" s="54">
        <f t="shared" si="41"/>
        <v>21626.557000000001</v>
      </c>
      <c r="H519" s="55">
        <f t="shared" si="41"/>
        <v>54066.392000000007</v>
      </c>
      <c r="I519" s="54">
        <f t="shared" si="41"/>
        <v>19247.196</v>
      </c>
      <c r="J519" s="55">
        <f t="shared" si="41"/>
        <v>28762.334999999999</v>
      </c>
      <c r="K519" s="54">
        <f t="shared" si="41"/>
        <v>19247.196</v>
      </c>
      <c r="L519" s="55">
        <f t="shared" si="41"/>
        <v>26181.683000000001</v>
      </c>
      <c r="M519" s="54">
        <f t="shared" si="41"/>
        <v>0</v>
      </c>
      <c r="N519" s="55">
        <f t="shared" si="41"/>
        <v>0</v>
      </c>
      <c r="O519" s="122"/>
      <c r="P519" s="30"/>
      <c r="Q519" s="31"/>
    </row>
    <row r="520" spans="1:17" ht="90" x14ac:dyDescent="0.25">
      <c r="A520" s="1">
        <v>14</v>
      </c>
      <c r="B520" s="57">
        <v>1</v>
      </c>
      <c r="C520" s="58" t="s">
        <v>687</v>
      </c>
      <c r="D520" s="59"/>
      <c r="E520" s="60">
        <v>0</v>
      </c>
      <c r="F520" s="61">
        <v>207.494</v>
      </c>
      <c r="G520" s="60">
        <v>0</v>
      </c>
      <c r="H520" s="61">
        <v>207.494</v>
      </c>
      <c r="I520" s="60">
        <v>0</v>
      </c>
      <c r="J520" s="61">
        <v>207.494</v>
      </c>
      <c r="K520" s="60">
        <v>0</v>
      </c>
      <c r="L520" s="61">
        <v>0</v>
      </c>
      <c r="M520" s="60">
        <v>0</v>
      </c>
      <c r="N520" s="61">
        <v>0</v>
      </c>
      <c r="O520" s="123" t="s">
        <v>688</v>
      </c>
      <c r="P520" s="74" t="s">
        <v>689</v>
      </c>
      <c r="Q520" s="64" t="s">
        <v>690</v>
      </c>
    </row>
    <row r="521" spans="1:17" ht="54" x14ac:dyDescent="0.25">
      <c r="A521" s="1">
        <v>14</v>
      </c>
      <c r="B521" s="57">
        <f>B520+1</f>
        <v>2</v>
      </c>
      <c r="C521" s="58" t="s">
        <v>691</v>
      </c>
      <c r="D521" s="59" t="s">
        <v>38</v>
      </c>
      <c r="E521" s="60">
        <v>0</v>
      </c>
      <c r="F521" s="61">
        <v>1791</v>
      </c>
      <c r="G521" s="60">
        <v>0</v>
      </c>
      <c r="H521" s="61">
        <v>1791</v>
      </c>
      <c r="I521" s="60">
        <v>0</v>
      </c>
      <c r="J521" s="61">
        <v>1791</v>
      </c>
      <c r="K521" s="60">
        <v>0</v>
      </c>
      <c r="L521" s="61">
        <v>1791</v>
      </c>
      <c r="M521" s="60">
        <v>0</v>
      </c>
      <c r="N521" s="61">
        <v>0</v>
      </c>
      <c r="O521" s="62" t="s">
        <v>374</v>
      </c>
      <c r="P521" s="63" t="s">
        <v>692</v>
      </c>
      <c r="Q521" s="64" t="s">
        <v>108</v>
      </c>
    </row>
    <row r="522" spans="1:17" ht="72" x14ac:dyDescent="0.25">
      <c r="A522" s="1">
        <v>14</v>
      </c>
      <c r="B522" s="57">
        <f t="shared" ref="B522:B539" si="42">B521+1</f>
        <v>3</v>
      </c>
      <c r="C522" s="58" t="s">
        <v>693</v>
      </c>
      <c r="D522" s="59" t="s">
        <v>96</v>
      </c>
      <c r="E522" s="60">
        <v>0</v>
      </c>
      <c r="F522" s="61">
        <v>3114.2429999999999</v>
      </c>
      <c r="G522" s="60">
        <v>0</v>
      </c>
      <c r="H522" s="61">
        <v>3114.2429999999999</v>
      </c>
      <c r="I522" s="60">
        <v>0</v>
      </c>
      <c r="J522" s="61">
        <v>2988.4589999999998</v>
      </c>
      <c r="K522" s="60">
        <v>0</v>
      </c>
      <c r="L522" s="61">
        <v>2988.4589999999998</v>
      </c>
      <c r="M522" s="60">
        <v>0</v>
      </c>
      <c r="N522" s="61">
        <v>0</v>
      </c>
      <c r="O522" s="123" t="s">
        <v>36</v>
      </c>
      <c r="P522" s="63"/>
      <c r="Q522" s="64"/>
    </row>
    <row r="523" spans="1:17" ht="90" x14ac:dyDescent="0.25">
      <c r="A523" s="1">
        <v>14</v>
      </c>
      <c r="B523" s="57">
        <f t="shared" si="42"/>
        <v>4</v>
      </c>
      <c r="C523" s="58" t="s">
        <v>694</v>
      </c>
      <c r="D523" s="59" t="s">
        <v>695</v>
      </c>
      <c r="E523" s="60">
        <v>0</v>
      </c>
      <c r="F523" s="61">
        <v>2267.4380000000001</v>
      </c>
      <c r="G523" s="60">
        <v>0</v>
      </c>
      <c r="H523" s="61">
        <v>2267.4380000000001</v>
      </c>
      <c r="I523" s="60">
        <v>0</v>
      </c>
      <c r="J523" s="61">
        <v>2075.4740000000002</v>
      </c>
      <c r="K523" s="60">
        <v>0</v>
      </c>
      <c r="L523" s="61">
        <v>2075.4740000000002</v>
      </c>
      <c r="M523" s="60">
        <v>0</v>
      </c>
      <c r="N523" s="61">
        <v>0</v>
      </c>
      <c r="O523" s="123" t="s">
        <v>102</v>
      </c>
      <c r="P523" s="63"/>
      <c r="Q523" s="64"/>
    </row>
    <row r="524" spans="1:17" ht="108" x14ac:dyDescent="0.25">
      <c r="A524" s="1">
        <v>14</v>
      </c>
      <c r="B524" s="57">
        <f t="shared" si="42"/>
        <v>5</v>
      </c>
      <c r="C524" s="58" t="s">
        <v>696</v>
      </c>
      <c r="D524" s="59" t="s">
        <v>695</v>
      </c>
      <c r="E524" s="60">
        <v>0</v>
      </c>
      <c r="F524" s="61">
        <v>1530.3810000000001</v>
      </c>
      <c r="G524" s="60">
        <v>0</v>
      </c>
      <c r="H524" s="61">
        <v>1530.3810000000001</v>
      </c>
      <c r="I524" s="60">
        <v>0</v>
      </c>
      <c r="J524" s="61">
        <v>249.96100000000001</v>
      </c>
      <c r="K524" s="60">
        <v>0</v>
      </c>
      <c r="L524" s="61">
        <v>249.96100000000001</v>
      </c>
      <c r="M524" s="60">
        <v>0</v>
      </c>
      <c r="N524" s="61">
        <v>0</v>
      </c>
      <c r="O524" s="123" t="s">
        <v>102</v>
      </c>
      <c r="P524" s="63"/>
      <c r="Q524" s="64"/>
    </row>
    <row r="525" spans="1:17" ht="90" x14ac:dyDescent="0.25">
      <c r="A525" s="1">
        <v>14</v>
      </c>
      <c r="B525" s="57">
        <f t="shared" si="42"/>
        <v>6</v>
      </c>
      <c r="C525" s="58" t="s">
        <v>697</v>
      </c>
      <c r="D525" s="59" t="s">
        <v>698</v>
      </c>
      <c r="E525" s="60">
        <v>0</v>
      </c>
      <c r="F525" s="61">
        <v>207.42699999999999</v>
      </c>
      <c r="G525" s="60">
        <v>0</v>
      </c>
      <c r="H525" s="61">
        <v>207.42699999999999</v>
      </c>
      <c r="I525" s="60">
        <v>0</v>
      </c>
      <c r="J525" s="61">
        <v>189.76400000000001</v>
      </c>
      <c r="K525" s="60">
        <v>0</v>
      </c>
      <c r="L525" s="61">
        <v>189.76400000000001</v>
      </c>
      <c r="M525" s="60">
        <v>0</v>
      </c>
      <c r="N525" s="61">
        <v>0</v>
      </c>
      <c r="O525" s="62" t="s">
        <v>374</v>
      </c>
      <c r="P525" s="74" t="s">
        <v>114</v>
      </c>
      <c r="Q525" s="75" t="s">
        <v>41</v>
      </c>
    </row>
    <row r="526" spans="1:17" ht="99.75" x14ac:dyDescent="0.25">
      <c r="A526" s="1">
        <v>14</v>
      </c>
      <c r="B526" s="57">
        <f t="shared" si="42"/>
        <v>7</v>
      </c>
      <c r="C526" s="58" t="s">
        <v>699</v>
      </c>
      <c r="D526" s="59">
        <v>2017</v>
      </c>
      <c r="E526" s="60">
        <v>0</v>
      </c>
      <c r="F526" s="61">
        <v>5112.95</v>
      </c>
      <c r="G526" s="60">
        <v>0</v>
      </c>
      <c r="H526" s="61">
        <v>5112.95</v>
      </c>
      <c r="I526" s="60">
        <v>0</v>
      </c>
      <c r="J526" s="61">
        <v>5103.6610000000001</v>
      </c>
      <c r="K526" s="60">
        <v>0</v>
      </c>
      <c r="L526" s="61">
        <v>5103.6610000000001</v>
      </c>
      <c r="M526" s="60">
        <v>0</v>
      </c>
      <c r="N526" s="61">
        <v>0</v>
      </c>
      <c r="O526" s="123" t="s">
        <v>175</v>
      </c>
      <c r="P526" s="124" t="s">
        <v>700</v>
      </c>
      <c r="Q526" s="64" t="s">
        <v>108</v>
      </c>
    </row>
    <row r="527" spans="1:17" ht="54" x14ac:dyDescent="0.25">
      <c r="A527" s="1">
        <v>14</v>
      </c>
      <c r="B527" s="57">
        <f t="shared" si="42"/>
        <v>8</v>
      </c>
      <c r="C527" s="58" t="s">
        <v>701</v>
      </c>
      <c r="D527" s="59" t="s">
        <v>35</v>
      </c>
      <c r="E527" s="60">
        <v>8347.9089999999997</v>
      </c>
      <c r="F527" s="61">
        <v>0</v>
      </c>
      <c r="G527" s="60">
        <v>8347.9089999999997</v>
      </c>
      <c r="H527" s="61"/>
      <c r="I527" s="60">
        <v>8347.9089999999997</v>
      </c>
      <c r="J527" s="61">
        <v>0</v>
      </c>
      <c r="K527" s="60">
        <v>8347.9089999999997</v>
      </c>
      <c r="L527" s="61">
        <v>0</v>
      </c>
      <c r="M527" s="60">
        <v>0</v>
      </c>
      <c r="N527" s="61">
        <v>0</v>
      </c>
      <c r="O527" s="123" t="s">
        <v>36</v>
      </c>
      <c r="P527" s="63"/>
      <c r="Q527" s="64"/>
    </row>
    <row r="528" spans="1:17" ht="90" x14ac:dyDescent="0.25">
      <c r="A528" s="1">
        <v>14</v>
      </c>
      <c r="B528" s="57">
        <f t="shared" si="42"/>
        <v>9</v>
      </c>
      <c r="C528" s="58" t="s">
        <v>702</v>
      </c>
      <c r="D528" s="59" t="s">
        <v>703</v>
      </c>
      <c r="E528" s="60">
        <v>0</v>
      </c>
      <c r="F528" s="61">
        <v>3765.2379999999998</v>
      </c>
      <c r="G528" s="60">
        <v>0</v>
      </c>
      <c r="H528" s="61">
        <v>3765.2379999999998</v>
      </c>
      <c r="I528" s="60">
        <v>0</v>
      </c>
      <c r="J528" s="61">
        <v>0</v>
      </c>
      <c r="K528" s="60">
        <v>0</v>
      </c>
      <c r="L528" s="61">
        <v>0</v>
      </c>
      <c r="M528" s="60">
        <v>0</v>
      </c>
      <c r="N528" s="61">
        <v>0</v>
      </c>
      <c r="O528" s="123" t="s">
        <v>36</v>
      </c>
      <c r="P528" s="63"/>
      <c r="Q528" s="64"/>
    </row>
    <row r="529" spans="1:17" ht="72" x14ac:dyDescent="0.25">
      <c r="A529" s="1">
        <v>14</v>
      </c>
      <c r="B529" s="57">
        <f t="shared" si="42"/>
        <v>10</v>
      </c>
      <c r="C529" s="58" t="s">
        <v>704</v>
      </c>
      <c r="D529" s="59" t="s">
        <v>29</v>
      </c>
      <c r="E529" s="60">
        <v>0</v>
      </c>
      <c r="F529" s="61">
        <v>3157.2429999999999</v>
      </c>
      <c r="G529" s="60">
        <v>0</v>
      </c>
      <c r="H529" s="61">
        <v>3157.2429999999999</v>
      </c>
      <c r="I529" s="60">
        <v>0</v>
      </c>
      <c r="J529" s="61">
        <v>242.45500000000001</v>
      </c>
      <c r="K529" s="60">
        <v>0</v>
      </c>
      <c r="L529" s="61">
        <v>242.45500000000001</v>
      </c>
      <c r="M529" s="60">
        <v>0</v>
      </c>
      <c r="N529" s="61">
        <v>0</v>
      </c>
      <c r="O529" s="123" t="s">
        <v>36</v>
      </c>
      <c r="P529" s="63"/>
      <c r="Q529" s="64"/>
    </row>
    <row r="530" spans="1:17" ht="99.75" x14ac:dyDescent="0.25">
      <c r="A530" s="1">
        <v>14</v>
      </c>
      <c r="B530" s="57">
        <f t="shared" si="42"/>
        <v>11</v>
      </c>
      <c r="C530" s="58" t="s">
        <v>705</v>
      </c>
      <c r="D530" s="59">
        <v>2017</v>
      </c>
      <c r="E530" s="60">
        <v>0</v>
      </c>
      <c r="F530" s="61">
        <v>5867.87</v>
      </c>
      <c r="G530" s="60">
        <v>0</v>
      </c>
      <c r="H530" s="61">
        <v>5867.87</v>
      </c>
      <c r="I530" s="60">
        <v>0</v>
      </c>
      <c r="J530" s="61">
        <v>5525.84</v>
      </c>
      <c r="K530" s="60">
        <v>0</v>
      </c>
      <c r="L530" s="61">
        <v>5525.84</v>
      </c>
      <c r="M530" s="60">
        <v>0</v>
      </c>
      <c r="N530" s="61">
        <v>0</v>
      </c>
      <c r="O530" s="123" t="s">
        <v>52</v>
      </c>
      <c r="P530" s="124" t="s">
        <v>706</v>
      </c>
      <c r="Q530" s="64" t="s">
        <v>108</v>
      </c>
    </row>
    <row r="531" spans="1:17" ht="90" x14ac:dyDescent="0.25">
      <c r="A531" s="1">
        <v>14</v>
      </c>
      <c r="B531" s="57">
        <f t="shared" si="42"/>
        <v>12</v>
      </c>
      <c r="C531" s="58" t="s">
        <v>707</v>
      </c>
      <c r="D531" s="59">
        <v>2017</v>
      </c>
      <c r="E531" s="60">
        <v>3607.58</v>
      </c>
      <c r="F531" s="61">
        <v>0</v>
      </c>
      <c r="G531" s="60">
        <v>3607.58</v>
      </c>
      <c r="H531" s="61">
        <v>0</v>
      </c>
      <c r="I531" s="60">
        <v>3468.6680000000001</v>
      </c>
      <c r="J531" s="61">
        <v>0</v>
      </c>
      <c r="K531" s="60">
        <v>3468.6680000000001</v>
      </c>
      <c r="L531" s="61">
        <v>0</v>
      </c>
      <c r="M531" s="60">
        <v>0</v>
      </c>
      <c r="N531" s="61">
        <v>0</v>
      </c>
      <c r="O531" s="123" t="s">
        <v>52</v>
      </c>
      <c r="P531" s="63" t="s">
        <v>708</v>
      </c>
      <c r="Q531" s="64" t="s">
        <v>108</v>
      </c>
    </row>
    <row r="532" spans="1:17" ht="90" x14ac:dyDescent="0.25">
      <c r="A532" s="1">
        <v>14</v>
      </c>
      <c r="B532" s="57">
        <f t="shared" si="42"/>
        <v>13</v>
      </c>
      <c r="C532" s="58" t="s">
        <v>709</v>
      </c>
      <c r="D532" s="59" t="s">
        <v>35</v>
      </c>
      <c r="E532" s="60">
        <v>6262.2420000000002</v>
      </c>
      <c r="F532" s="61">
        <v>0</v>
      </c>
      <c r="G532" s="60">
        <v>6262.2420000000002</v>
      </c>
      <c r="H532" s="61">
        <v>0</v>
      </c>
      <c r="I532" s="60">
        <v>6262.2420000000002</v>
      </c>
      <c r="J532" s="61">
        <v>0</v>
      </c>
      <c r="K532" s="60">
        <v>6262.2420000000002</v>
      </c>
      <c r="L532" s="61">
        <v>0</v>
      </c>
      <c r="M532" s="60">
        <v>0</v>
      </c>
      <c r="N532" s="61">
        <v>0</v>
      </c>
      <c r="O532" s="123" t="s">
        <v>36</v>
      </c>
      <c r="P532" s="63"/>
      <c r="Q532" s="64"/>
    </row>
    <row r="533" spans="1:17" ht="72" x14ac:dyDescent="0.25">
      <c r="A533" s="1">
        <v>14</v>
      </c>
      <c r="B533" s="68">
        <f t="shared" si="42"/>
        <v>14</v>
      </c>
      <c r="C533" s="69" t="s">
        <v>710</v>
      </c>
      <c r="D533" s="70" t="s">
        <v>35</v>
      </c>
      <c r="E533" s="80">
        <v>0</v>
      </c>
      <c r="F533" s="81">
        <v>13417.731</v>
      </c>
      <c r="G533" s="80">
        <v>0</v>
      </c>
      <c r="H533" s="81">
        <v>13417.731</v>
      </c>
      <c r="I533" s="80">
        <v>0</v>
      </c>
      <c r="J533" s="81">
        <v>6180.6779999999999</v>
      </c>
      <c r="K533" s="80">
        <v>0</v>
      </c>
      <c r="L533" s="81">
        <v>6180.6779999999999</v>
      </c>
      <c r="M533" s="80">
        <v>0</v>
      </c>
      <c r="N533" s="81">
        <v>0</v>
      </c>
      <c r="O533" s="123" t="s">
        <v>36</v>
      </c>
      <c r="P533" s="74"/>
      <c r="Q533" s="75"/>
    </row>
    <row r="534" spans="1:17" ht="162" x14ac:dyDescent="0.25">
      <c r="A534" s="1">
        <v>14</v>
      </c>
      <c r="B534" s="68">
        <f t="shared" si="42"/>
        <v>15</v>
      </c>
      <c r="C534" s="69" t="s">
        <v>711</v>
      </c>
      <c r="D534" s="70" t="s">
        <v>29</v>
      </c>
      <c r="E534" s="80">
        <v>1305.354</v>
      </c>
      <c r="F534" s="81">
        <v>2049.88</v>
      </c>
      <c r="G534" s="80">
        <v>1305.354</v>
      </c>
      <c r="H534" s="81">
        <v>2049.88</v>
      </c>
      <c r="I534" s="80">
        <v>1168.377</v>
      </c>
      <c r="J534" s="81">
        <v>1834.3910000000001</v>
      </c>
      <c r="K534" s="80">
        <v>1168.377</v>
      </c>
      <c r="L534" s="81">
        <v>1834.3910000000001</v>
      </c>
      <c r="M534" s="80">
        <v>0</v>
      </c>
      <c r="N534" s="81">
        <v>0</v>
      </c>
      <c r="O534" s="62" t="s">
        <v>374</v>
      </c>
      <c r="P534" s="74" t="s">
        <v>663</v>
      </c>
      <c r="Q534" s="75" t="s">
        <v>41</v>
      </c>
    </row>
    <row r="535" spans="1:17" ht="90" x14ac:dyDescent="0.25">
      <c r="A535" s="1">
        <v>14</v>
      </c>
      <c r="B535" s="68">
        <f t="shared" si="42"/>
        <v>16</v>
      </c>
      <c r="C535" s="69" t="s">
        <v>712</v>
      </c>
      <c r="D535" s="70" t="s">
        <v>29</v>
      </c>
      <c r="E535" s="80">
        <v>0</v>
      </c>
      <c r="F535" s="81">
        <v>2373.1579999999999</v>
      </c>
      <c r="G535" s="80">
        <v>0</v>
      </c>
      <c r="H535" s="81">
        <v>2373.1579999999999</v>
      </c>
      <c r="I535" s="80">
        <v>0</v>
      </c>
      <c r="J535" s="81">
        <v>2373.1579999999999</v>
      </c>
      <c r="K535" s="80">
        <v>0</v>
      </c>
      <c r="L535" s="81">
        <v>0</v>
      </c>
      <c r="M535" s="80">
        <v>0</v>
      </c>
      <c r="N535" s="81">
        <v>0</v>
      </c>
      <c r="O535" s="125" t="s">
        <v>713</v>
      </c>
      <c r="P535" s="74"/>
      <c r="Q535" s="75"/>
    </row>
    <row r="536" spans="1:17" ht="90" x14ac:dyDescent="0.25">
      <c r="A536" s="1">
        <v>14</v>
      </c>
      <c r="B536" s="68">
        <f t="shared" si="42"/>
        <v>17</v>
      </c>
      <c r="C536" s="69" t="s">
        <v>714</v>
      </c>
      <c r="D536" s="70" t="s">
        <v>29</v>
      </c>
      <c r="E536" s="80">
        <v>2103.4720000000002</v>
      </c>
      <c r="F536" s="81">
        <v>0</v>
      </c>
      <c r="G536" s="80">
        <v>2103.4720000000002</v>
      </c>
      <c r="H536" s="81">
        <v>0</v>
      </c>
      <c r="I536" s="80">
        <v>0</v>
      </c>
      <c r="J536" s="81">
        <v>0</v>
      </c>
      <c r="K536" s="80">
        <v>0</v>
      </c>
      <c r="L536" s="81">
        <v>0</v>
      </c>
      <c r="M536" s="80">
        <v>0</v>
      </c>
      <c r="N536" s="81">
        <v>0</v>
      </c>
      <c r="O536" s="123" t="s">
        <v>36</v>
      </c>
      <c r="P536" s="74"/>
      <c r="Q536" s="75"/>
    </row>
    <row r="537" spans="1:17" ht="90" x14ac:dyDescent="0.25">
      <c r="A537" s="1">
        <v>14</v>
      </c>
      <c r="B537" s="68">
        <f t="shared" si="42"/>
        <v>18</v>
      </c>
      <c r="C537" s="69" t="s">
        <v>715</v>
      </c>
      <c r="D537" s="70" t="s">
        <v>101</v>
      </c>
      <c r="E537" s="80">
        <v>0</v>
      </c>
      <c r="F537" s="81">
        <v>4141.9780000000001</v>
      </c>
      <c r="G537" s="80">
        <v>0</v>
      </c>
      <c r="H537" s="81">
        <v>4141.9780000000001</v>
      </c>
      <c r="I537" s="80">
        <v>0</v>
      </c>
      <c r="J537" s="81">
        <v>0</v>
      </c>
      <c r="K537" s="80">
        <v>0</v>
      </c>
      <c r="L537" s="81">
        <v>0</v>
      </c>
      <c r="M537" s="80">
        <v>0</v>
      </c>
      <c r="N537" s="81">
        <v>0</v>
      </c>
      <c r="O537" s="125" t="s">
        <v>102</v>
      </c>
      <c r="P537" s="74"/>
      <c r="Q537" s="75"/>
    </row>
    <row r="538" spans="1:17" ht="54" x14ac:dyDescent="0.25">
      <c r="A538" s="1">
        <v>14</v>
      </c>
      <c r="B538" s="68">
        <f t="shared" si="42"/>
        <v>19</v>
      </c>
      <c r="C538" s="69" t="s">
        <v>716</v>
      </c>
      <c r="D538" s="70" t="s">
        <v>35</v>
      </c>
      <c r="E538" s="80">
        <v>0</v>
      </c>
      <c r="F538" s="81">
        <v>3886.3809999999999</v>
      </c>
      <c r="G538" s="80">
        <v>0</v>
      </c>
      <c r="H538" s="81">
        <v>3886.3809999999999</v>
      </c>
      <c r="I538" s="80">
        <v>0</v>
      </c>
      <c r="J538" s="81">
        <v>0</v>
      </c>
      <c r="K538" s="80">
        <v>0</v>
      </c>
      <c r="L538" s="81">
        <v>0</v>
      </c>
      <c r="M538" s="80">
        <v>0</v>
      </c>
      <c r="N538" s="81">
        <v>0</v>
      </c>
      <c r="O538" s="125" t="s">
        <v>36</v>
      </c>
      <c r="P538" s="74"/>
      <c r="Q538" s="75"/>
    </row>
    <row r="539" spans="1:17" ht="72.75" thickBot="1" x14ac:dyDescent="0.3">
      <c r="A539" s="1">
        <v>14</v>
      </c>
      <c r="B539" s="68">
        <f t="shared" si="42"/>
        <v>20</v>
      </c>
      <c r="C539" s="69" t="s">
        <v>717</v>
      </c>
      <c r="D539" s="70" t="s">
        <v>35</v>
      </c>
      <c r="E539" s="80">
        <v>0</v>
      </c>
      <c r="F539" s="81">
        <v>1175.98</v>
      </c>
      <c r="G539" s="80">
        <v>0</v>
      </c>
      <c r="H539" s="81">
        <v>1175.98</v>
      </c>
      <c r="I539" s="80">
        <v>0</v>
      </c>
      <c r="J539" s="81">
        <v>0</v>
      </c>
      <c r="K539" s="80">
        <v>0</v>
      </c>
      <c r="L539" s="81">
        <v>0</v>
      </c>
      <c r="M539" s="80">
        <v>0</v>
      </c>
      <c r="N539" s="81">
        <v>0</v>
      </c>
      <c r="O539" s="125" t="s">
        <v>30</v>
      </c>
      <c r="P539" s="74"/>
      <c r="Q539" s="75"/>
    </row>
    <row r="540" spans="1:17" ht="18" x14ac:dyDescent="0.25">
      <c r="A540" s="1">
        <v>15</v>
      </c>
      <c r="B540" s="149" t="s">
        <v>718</v>
      </c>
      <c r="C540" s="150"/>
      <c r="D540" s="150"/>
      <c r="E540" s="150"/>
      <c r="F540" s="150"/>
      <c r="G540" s="150"/>
      <c r="H540" s="150"/>
      <c r="I540" s="150"/>
      <c r="J540" s="150"/>
      <c r="K540" s="150"/>
      <c r="L540" s="150"/>
      <c r="M540" s="150"/>
      <c r="N540" s="150"/>
      <c r="O540" s="150"/>
      <c r="P540" s="150"/>
      <c r="Q540" s="151"/>
    </row>
    <row r="541" spans="1:17" ht="18" x14ac:dyDescent="0.25">
      <c r="A541" s="1">
        <v>15</v>
      </c>
      <c r="B541" s="40"/>
      <c r="C541" s="119" t="s">
        <v>27</v>
      </c>
      <c r="D541" s="120"/>
      <c r="E541" s="45">
        <f t="shared" ref="E541:N541" si="43">SUM(E542,E544:E558)</f>
        <v>44810.972999999998</v>
      </c>
      <c r="F541" s="46">
        <f t="shared" si="43"/>
        <v>112027.43400000001</v>
      </c>
      <c r="G541" s="45">
        <f t="shared" si="43"/>
        <v>44810.972999999998</v>
      </c>
      <c r="H541" s="46">
        <f t="shared" si="43"/>
        <v>112027.43400000001</v>
      </c>
      <c r="I541" s="43">
        <f t="shared" si="43"/>
        <v>43334.256999999998</v>
      </c>
      <c r="J541" s="44">
        <f t="shared" si="43"/>
        <v>109947.21199999998</v>
      </c>
      <c r="K541" s="45">
        <f t="shared" si="43"/>
        <v>43334.256969999995</v>
      </c>
      <c r="L541" s="46">
        <f t="shared" si="43"/>
        <v>109947.21099000001</v>
      </c>
      <c r="M541" s="45">
        <f t="shared" si="43"/>
        <v>0</v>
      </c>
      <c r="N541" s="46">
        <f t="shared" si="43"/>
        <v>0</v>
      </c>
      <c r="O541" s="47"/>
      <c r="P541" s="48">
        <v>4</v>
      </c>
      <c r="Q541" s="49"/>
    </row>
    <row r="542" spans="1:17" ht="18" x14ac:dyDescent="0.25">
      <c r="A542" s="1">
        <v>15</v>
      </c>
      <c r="B542" s="24"/>
      <c r="C542" s="25" t="s">
        <v>24</v>
      </c>
      <c r="D542" s="26"/>
      <c r="E542" s="54">
        <v>0</v>
      </c>
      <c r="F542" s="55">
        <v>0</v>
      </c>
      <c r="G542" s="54">
        <v>0</v>
      </c>
      <c r="H542" s="55">
        <v>0</v>
      </c>
      <c r="I542" s="54"/>
      <c r="J542" s="55"/>
      <c r="K542" s="54"/>
      <c r="L542" s="55"/>
      <c r="M542" s="54"/>
      <c r="N542" s="55"/>
      <c r="O542" s="56"/>
      <c r="P542" s="30"/>
      <c r="Q542" s="31"/>
    </row>
    <row r="543" spans="1:17" ht="36" x14ac:dyDescent="0.25">
      <c r="A543" s="1">
        <v>15</v>
      </c>
      <c r="B543" s="24"/>
      <c r="C543" s="25" t="s">
        <v>25</v>
      </c>
      <c r="D543" s="26"/>
      <c r="E543" s="54">
        <f t="shared" ref="E543:N543" si="44">SUM(E544:E558)</f>
        <v>44810.972999999998</v>
      </c>
      <c r="F543" s="55">
        <f t="shared" si="44"/>
        <v>112027.43400000001</v>
      </c>
      <c r="G543" s="54">
        <f t="shared" si="44"/>
        <v>44810.972999999998</v>
      </c>
      <c r="H543" s="55">
        <f t="shared" si="44"/>
        <v>112027.43400000001</v>
      </c>
      <c r="I543" s="54">
        <f t="shared" si="44"/>
        <v>43334.256999999998</v>
      </c>
      <c r="J543" s="55">
        <f t="shared" si="44"/>
        <v>109947.21199999998</v>
      </c>
      <c r="K543" s="54">
        <f t="shared" si="44"/>
        <v>43334.256969999995</v>
      </c>
      <c r="L543" s="55">
        <f t="shared" si="44"/>
        <v>109947.21099000001</v>
      </c>
      <c r="M543" s="54">
        <f t="shared" si="44"/>
        <v>0</v>
      </c>
      <c r="N543" s="55">
        <f t="shared" si="44"/>
        <v>0</v>
      </c>
      <c r="O543" s="56"/>
      <c r="P543" s="30"/>
      <c r="Q543" s="31"/>
    </row>
    <row r="544" spans="1:17" ht="90" x14ac:dyDescent="0.25">
      <c r="A544" s="1">
        <v>15</v>
      </c>
      <c r="B544" s="57">
        <v>1</v>
      </c>
      <c r="C544" s="58" t="s">
        <v>719</v>
      </c>
      <c r="D544" s="59" t="s">
        <v>32</v>
      </c>
      <c r="E544" s="60">
        <v>0</v>
      </c>
      <c r="F544" s="61">
        <v>8397.75</v>
      </c>
      <c r="G544" s="60">
        <v>0</v>
      </c>
      <c r="H544" s="61">
        <v>8397.75</v>
      </c>
      <c r="I544" s="60">
        <v>0</v>
      </c>
      <c r="J544" s="61">
        <v>8397.75</v>
      </c>
      <c r="K544" s="60">
        <v>0</v>
      </c>
      <c r="L544" s="61">
        <v>8397.75</v>
      </c>
      <c r="M544" s="60">
        <v>0</v>
      </c>
      <c r="N544" s="61">
        <v>0</v>
      </c>
      <c r="O544" s="62" t="s">
        <v>48</v>
      </c>
      <c r="P544" s="63"/>
      <c r="Q544" s="64"/>
    </row>
    <row r="545" spans="1:17" ht="90" x14ac:dyDescent="0.25">
      <c r="A545" s="1">
        <v>15</v>
      </c>
      <c r="B545" s="57">
        <f>B544+1</f>
        <v>2</v>
      </c>
      <c r="C545" s="58" t="s">
        <v>720</v>
      </c>
      <c r="D545" s="59" t="s">
        <v>35</v>
      </c>
      <c r="E545" s="60">
        <f>51000-21000</f>
        <v>30000</v>
      </c>
      <c r="F545" s="61">
        <v>21000</v>
      </c>
      <c r="G545" s="60">
        <v>30000</v>
      </c>
      <c r="H545" s="61">
        <v>21000</v>
      </c>
      <c r="I545" s="60">
        <v>30000</v>
      </c>
      <c r="J545" s="61">
        <v>21000</v>
      </c>
      <c r="K545" s="60">
        <v>30000</v>
      </c>
      <c r="L545" s="61">
        <v>21000</v>
      </c>
      <c r="M545" s="60">
        <v>0</v>
      </c>
      <c r="N545" s="61">
        <v>0</v>
      </c>
      <c r="O545" s="62" t="s">
        <v>48</v>
      </c>
      <c r="P545" s="63"/>
      <c r="Q545" s="64"/>
    </row>
    <row r="546" spans="1:17" ht="72" x14ac:dyDescent="0.25">
      <c r="A546" s="1">
        <v>15</v>
      </c>
      <c r="B546" s="57">
        <f t="shared" ref="B546:B558" si="45">B545+1</f>
        <v>3</v>
      </c>
      <c r="C546" s="58" t="s">
        <v>721</v>
      </c>
      <c r="D546" s="59" t="s">
        <v>29</v>
      </c>
      <c r="E546" s="60">
        <f>8000-4800</f>
        <v>3200</v>
      </c>
      <c r="F546" s="61">
        <v>4800</v>
      </c>
      <c r="G546" s="60">
        <v>3200</v>
      </c>
      <c r="H546" s="61">
        <v>4800</v>
      </c>
      <c r="I546" s="60">
        <v>3200</v>
      </c>
      <c r="J546" s="61">
        <v>4800</v>
      </c>
      <c r="K546" s="60">
        <v>3200</v>
      </c>
      <c r="L546" s="61">
        <v>4800</v>
      </c>
      <c r="M546" s="60">
        <v>0</v>
      </c>
      <c r="N546" s="61">
        <v>0</v>
      </c>
      <c r="O546" s="62" t="s">
        <v>48</v>
      </c>
      <c r="P546" s="63"/>
      <c r="Q546" s="64"/>
    </row>
    <row r="547" spans="1:17" ht="54" x14ac:dyDescent="0.25">
      <c r="A547" s="1">
        <v>15</v>
      </c>
      <c r="B547" s="57">
        <f t="shared" si="45"/>
        <v>4</v>
      </c>
      <c r="C547" s="58" t="s">
        <v>722</v>
      </c>
      <c r="D547" s="59" t="s">
        <v>29</v>
      </c>
      <c r="E547" s="60">
        <f>7689.936-4189.936</f>
        <v>3500</v>
      </c>
      <c r="F547" s="61">
        <v>4189.9359999999997</v>
      </c>
      <c r="G547" s="60">
        <v>3500</v>
      </c>
      <c r="H547" s="61">
        <v>4189.9359999999997</v>
      </c>
      <c r="I547" s="60">
        <v>2023.2840000000001</v>
      </c>
      <c r="J547" s="61">
        <v>2423.4940000000001</v>
      </c>
      <c r="K547" s="60">
        <v>2023.28397</v>
      </c>
      <c r="L547" s="61">
        <v>2423.4579899999999</v>
      </c>
      <c r="M547" s="60">
        <v>0</v>
      </c>
      <c r="N547" s="61">
        <v>0</v>
      </c>
      <c r="O547" s="62" t="s">
        <v>48</v>
      </c>
      <c r="P547" s="63"/>
      <c r="Q547" s="64"/>
    </row>
    <row r="548" spans="1:17" ht="108" x14ac:dyDescent="0.25">
      <c r="A548" s="1">
        <v>15</v>
      </c>
      <c r="B548" s="57">
        <f t="shared" si="45"/>
        <v>5</v>
      </c>
      <c r="C548" s="58" t="s">
        <v>723</v>
      </c>
      <c r="D548" s="59" t="s">
        <v>38</v>
      </c>
      <c r="E548" s="60">
        <f>6016.943-5466.943</f>
        <v>550</v>
      </c>
      <c r="F548" s="61">
        <v>5466.9430000000002</v>
      </c>
      <c r="G548" s="60">
        <v>550</v>
      </c>
      <c r="H548" s="61">
        <v>5466.9430000000002</v>
      </c>
      <c r="I548" s="60">
        <v>550</v>
      </c>
      <c r="J548" s="61">
        <v>5466.9430000000002</v>
      </c>
      <c r="K548" s="60">
        <v>550</v>
      </c>
      <c r="L548" s="61">
        <v>5466.9430000000002</v>
      </c>
      <c r="M548" s="60">
        <v>0</v>
      </c>
      <c r="N548" s="61">
        <v>0</v>
      </c>
      <c r="O548" s="62" t="s">
        <v>52</v>
      </c>
      <c r="P548" s="63" t="s">
        <v>724</v>
      </c>
      <c r="Q548" s="64" t="s">
        <v>41</v>
      </c>
    </row>
    <row r="549" spans="1:17" ht="126" x14ac:dyDescent="0.25">
      <c r="A549" s="1">
        <v>15</v>
      </c>
      <c r="B549" s="57">
        <f t="shared" si="45"/>
        <v>6</v>
      </c>
      <c r="C549" s="58" t="s">
        <v>725</v>
      </c>
      <c r="D549" s="59" t="s">
        <v>51</v>
      </c>
      <c r="E549" s="60">
        <f>19874.436-19313.463</f>
        <v>560.97300000000178</v>
      </c>
      <c r="F549" s="61">
        <v>19313.463</v>
      </c>
      <c r="G549" s="60">
        <v>560.97299999999996</v>
      </c>
      <c r="H549" s="61">
        <v>19313.463</v>
      </c>
      <c r="I549" s="60">
        <v>560.97299999999996</v>
      </c>
      <c r="J549" s="61">
        <v>19313.463</v>
      </c>
      <c r="K549" s="60">
        <v>560.97299999999996</v>
      </c>
      <c r="L549" s="61">
        <v>19313.463</v>
      </c>
      <c r="M549" s="60">
        <v>0</v>
      </c>
      <c r="N549" s="61">
        <v>0</v>
      </c>
      <c r="O549" s="62" t="s">
        <v>52</v>
      </c>
      <c r="P549" s="63" t="s">
        <v>724</v>
      </c>
      <c r="Q549" s="64" t="s">
        <v>41</v>
      </c>
    </row>
    <row r="550" spans="1:17" ht="90" x14ac:dyDescent="0.25">
      <c r="A550" s="1">
        <v>15</v>
      </c>
      <c r="B550" s="68">
        <f t="shared" si="45"/>
        <v>7</v>
      </c>
      <c r="C550" s="69" t="s">
        <v>726</v>
      </c>
      <c r="D550" s="70" t="s">
        <v>105</v>
      </c>
      <c r="E550" s="80">
        <f>3430.906-2430.906</f>
        <v>1000</v>
      </c>
      <c r="F550" s="81">
        <v>2430.9059999999999</v>
      </c>
      <c r="G550" s="80">
        <v>1000</v>
      </c>
      <c r="H550" s="81">
        <v>2430.9059999999999</v>
      </c>
      <c r="I550" s="80">
        <v>1000</v>
      </c>
      <c r="J550" s="81">
        <v>2430.9059999999999</v>
      </c>
      <c r="K550" s="80">
        <v>1000</v>
      </c>
      <c r="L550" s="81">
        <v>2430.9059999999999</v>
      </c>
      <c r="M550" s="80">
        <v>0</v>
      </c>
      <c r="N550" s="81">
        <v>0</v>
      </c>
      <c r="O550" s="62" t="s">
        <v>48</v>
      </c>
      <c r="P550" s="74"/>
      <c r="Q550" s="75"/>
    </row>
    <row r="551" spans="1:17" ht="54" x14ac:dyDescent="0.25">
      <c r="A551" s="1">
        <v>15</v>
      </c>
      <c r="B551" s="68">
        <f t="shared" si="45"/>
        <v>8</v>
      </c>
      <c r="C551" s="69" t="s">
        <v>727</v>
      </c>
      <c r="D551" s="70" t="s">
        <v>105</v>
      </c>
      <c r="E551" s="80">
        <v>1000</v>
      </c>
      <c r="F551" s="81">
        <v>12441.356</v>
      </c>
      <c r="G551" s="80">
        <v>1000</v>
      </c>
      <c r="H551" s="81">
        <v>12441.356</v>
      </c>
      <c r="I551" s="80">
        <v>1000</v>
      </c>
      <c r="J551" s="81">
        <v>12441.355</v>
      </c>
      <c r="K551" s="80">
        <v>1000</v>
      </c>
      <c r="L551" s="81">
        <v>12441.356</v>
      </c>
      <c r="M551" s="80">
        <v>0</v>
      </c>
      <c r="N551" s="81">
        <v>0</v>
      </c>
      <c r="O551" s="62" t="s">
        <v>48</v>
      </c>
      <c r="P551" s="74"/>
      <c r="Q551" s="75"/>
    </row>
    <row r="552" spans="1:17" ht="108" x14ac:dyDescent="0.25">
      <c r="A552" s="1">
        <v>15</v>
      </c>
      <c r="B552" s="68">
        <f t="shared" si="45"/>
        <v>9</v>
      </c>
      <c r="C552" s="69" t="s">
        <v>728</v>
      </c>
      <c r="D552" s="70" t="s">
        <v>105</v>
      </c>
      <c r="E552" s="80">
        <v>0</v>
      </c>
      <c r="F552" s="81">
        <f>6955-424.178</f>
        <v>6530.8220000000001</v>
      </c>
      <c r="G552" s="80">
        <v>0</v>
      </c>
      <c r="H552" s="81">
        <v>6530.8220000000001</v>
      </c>
      <c r="I552" s="80">
        <v>0</v>
      </c>
      <c r="J552" s="81">
        <v>6530.8209999999999</v>
      </c>
      <c r="K552" s="80">
        <v>0</v>
      </c>
      <c r="L552" s="81">
        <v>6530.8220000000001</v>
      </c>
      <c r="M552" s="80">
        <v>0</v>
      </c>
      <c r="N552" s="81">
        <v>0</v>
      </c>
      <c r="O552" s="62" t="s">
        <v>48</v>
      </c>
      <c r="P552" s="74"/>
      <c r="Q552" s="75"/>
    </row>
    <row r="553" spans="1:17" ht="144" x14ac:dyDescent="0.25">
      <c r="A553" s="1">
        <v>15</v>
      </c>
      <c r="B553" s="68">
        <f t="shared" si="45"/>
        <v>10</v>
      </c>
      <c r="C553" s="69" t="s">
        <v>729</v>
      </c>
      <c r="D553" s="70" t="s">
        <v>105</v>
      </c>
      <c r="E553" s="80">
        <v>0</v>
      </c>
      <c r="F553" s="81">
        <v>390</v>
      </c>
      <c r="G553" s="80">
        <v>0</v>
      </c>
      <c r="H553" s="81">
        <v>390</v>
      </c>
      <c r="I553" s="80">
        <v>0</v>
      </c>
      <c r="J553" s="81">
        <v>390</v>
      </c>
      <c r="K553" s="80">
        <v>0</v>
      </c>
      <c r="L553" s="81">
        <v>390</v>
      </c>
      <c r="M553" s="80">
        <v>0</v>
      </c>
      <c r="N553" s="81">
        <v>0</v>
      </c>
      <c r="O553" s="62" t="s">
        <v>48</v>
      </c>
      <c r="P553" s="74"/>
      <c r="Q553" s="75"/>
    </row>
    <row r="554" spans="1:17" ht="72" x14ac:dyDescent="0.25">
      <c r="A554" s="1">
        <v>15</v>
      </c>
      <c r="B554" s="68">
        <f t="shared" si="45"/>
        <v>11</v>
      </c>
      <c r="C554" s="69" t="s">
        <v>730</v>
      </c>
      <c r="D554" s="70" t="s">
        <v>105</v>
      </c>
      <c r="E554" s="80">
        <v>0</v>
      </c>
      <c r="F554" s="81">
        <v>1321.933</v>
      </c>
      <c r="G554" s="80">
        <v>0</v>
      </c>
      <c r="H554" s="81">
        <v>1321.933</v>
      </c>
      <c r="I554" s="80">
        <v>0</v>
      </c>
      <c r="J554" s="81">
        <v>1321.933</v>
      </c>
      <c r="K554" s="80">
        <v>0</v>
      </c>
      <c r="L554" s="81">
        <v>1321.933</v>
      </c>
      <c r="M554" s="80">
        <v>0</v>
      </c>
      <c r="N554" s="81">
        <v>0</v>
      </c>
      <c r="O554" s="62" t="s">
        <v>48</v>
      </c>
      <c r="P554" s="74"/>
      <c r="Q554" s="75"/>
    </row>
    <row r="555" spans="1:17" ht="72" x14ac:dyDescent="0.25">
      <c r="A555" s="1">
        <v>15</v>
      </c>
      <c r="B555" s="68">
        <f t="shared" si="45"/>
        <v>12</v>
      </c>
      <c r="C555" s="69" t="s">
        <v>731</v>
      </c>
      <c r="D555" s="70" t="s">
        <v>105</v>
      </c>
      <c r="E555" s="80">
        <v>0</v>
      </c>
      <c r="F555" s="81">
        <v>6000</v>
      </c>
      <c r="G555" s="80">
        <v>0</v>
      </c>
      <c r="H555" s="81">
        <v>6000</v>
      </c>
      <c r="I555" s="80">
        <v>0</v>
      </c>
      <c r="J555" s="81">
        <v>5688.07</v>
      </c>
      <c r="K555" s="80">
        <v>0</v>
      </c>
      <c r="L555" s="81">
        <v>5688.1</v>
      </c>
      <c r="M555" s="80">
        <v>0</v>
      </c>
      <c r="N555" s="81">
        <v>0</v>
      </c>
      <c r="O555" s="62" t="s">
        <v>48</v>
      </c>
      <c r="P555" s="74"/>
      <c r="Q555" s="75"/>
    </row>
    <row r="556" spans="1:17" ht="90" x14ac:dyDescent="0.25">
      <c r="A556" s="1">
        <v>15</v>
      </c>
      <c r="B556" s="68">
        <f t="shared" si="45"/>
        <v>13</v>
      </c>
      <c r="C556" s="69" t="s">
        <v>732</v>
      </c>
      <c r="D556" s="70" t="s">
        <v>29</v>
      </c>
      <c r="E556" s="80">
        <v>0</v>
      </c>
      <c r="F556" s="81">
        <f>1033.067+424.178</f>
        <v>1457.2449999999999</v>
      </c>
      <c r="G556" s="80">
        <v>0</v>
      </c>
      <c r="H556" s="81">
        <v>1457.2449999999999</v>
      </c>
      <c r="I556" s="80">
        <v>0</v>
      </c>
      <c r="J556" s="81">
        <v>1455.3969999999999</v>
      </c>
      <c r="K556" s="80">
        <v>0</v>
      </c>
      <c r="L556" s="81">
        <v>1455.4</v>
      </c>
      <c r="M556" s="80">
        <v>0</v>
      </c>
      <c r="N556" s="81">
        <v>0</v>
      </c>
      <c r="O556" s="62" t="s">
        <v>48</v>
      </c>
      <c r="P556" s="74"/>
      <c r="Q556" s="75"/>
    </row>
    <row r="557" spans="1:17" ht="90" x14ac:dyDescent="0.25">
      <c r="A557" s="1">
        <v>15</v>
      </c>
      <c r="B557" s="68">
        <f t="shared" si="45"/>
        <v>14</v>
      </c>
      <c r="C557" s="69" t="s">
        <v>733</v>
      </c>
      <c r="D557" s="70" t="s">
        <v>105</v>
      </c>
      <c r="E557" s="80">
        <v>1800</v>
      </c>
      <c r="F557" s="81">
        <v>7987.08</v>
      </c>
      <c r="G557" s="80">
        <v>1800</v>
      </c>
      <c r="H557" s="81">
        <v>7987.08</v>
      </c>
      <c r="I557" s="80">
        <v>1800</v>
      </c>
      <c r="J557" s="81">
        <v>7987.08</v>
      </c>
      <c r="K557" s="80">
        <v>1800</v>
      </c>
      <c r="L557" s="81">
        <v>7987.08</v>
      </c>
      <c r="M557" s="80">
        <v>0</v>
      </c>
      <c r="N557" s="81">
        <v>0</v>
      </c>
      <c r="O557" s="62" t="s">
        <v>52</v>
      </c>
      <c r="P557" s="63" t="s">
        <v>724</v>
      </c>
      <c r="Q557" s="64" t="s">
        <v>41</v>
      </c>
    </row>
    <row r="558" spans="1:17" ht="108.75" thickBot="1" x14ac:dyDescent="0.3">
      <c r="A558" s="1">
        <v>15</v>
      </c>
      <c r="B558" s="68">
        <f t="shared" si="45"/>
        <v>15</v>
      </c>
      <c r="C558" s="69" t="s">
        <v>734</v>
      </c>
      <c r="D558" s="70" t="s">
        <v>105</v>
      </c>
      <c r="E558" s="80">
        <v>3200</v>
      </c>
      <c r="F558" s="81">
        <v>10300</v>
      </c>
      <c r="G558" s="80">
        <v>3200</v>
      </c>
      <c r="H558" s="81">
        <v>10300</v>
      </c>
      <c r="I558" s="80">
        <v>3200</v>
      </c>
      <c r="J558" s="81">
        <v>10300</v>
      </c>
      <c r="K558" s="80">
        <v>3200</v>
      </c>
      <c r="L558" s="81">
        <v>10300</v>
      </c>
      <c r="M558" s="80">
        <v>0</v>
      </c>
      <c r="N558" s="81">
        <v>0</v>
      </c>
      <c r="O558" s="73" t="s">
        <v>52</v>
      </c>
      <c r="P558" s="74" t="s">
        <v>724</v>
      </c>
      <c r="Q558" s="75" t="s">
        <v>41</v>
      </c>
    </row>
    <row r="559" spans="1:17" ht="18" x14ac:dyDescent="0.25">
      <c r="A559" s="1">
        <v>16</v>
      </c>
      <c r="B559" s="149" t="s">
        <v>735</v>
      </c>
      <c r="C559" s="150"/>
      <c r="D559" s="150"/>
      <c r="E559" s="150"/>
      <c r="F559" s="150"/>
      <c r="G559" s="150"/>
      <c r="H559" s="150"/>
      <c r="I559" s="150"/>
      <c r="J559" s="150"/>
      <c r="K559" s="150"/>
      <c r="L559" s="150"/>
      <c r="M559" s="150"/>
      <c r="N559" s="150"/>
      <c r="O559" s="150"/>
      <c r="P559" s="150"/>
      <c r="Q559" s="151"/>
    </row>
    <row r="560" spans="1:17" ht="18" x14ac:dyDescent="0.25">
      <c r="A560" s="1">
        <v>16</v>
      </c>
      <c r="B560" s="78"/>
      <c r="C560" s="41" t="s">
        <v>27</v>
      </c>
      <c r="D560" s="42"/>
      <c r="E560" s="43">
        <f t="shared" ref="E560:N560" si="46">SUM(E561,E563:E581)</f>
        <v>26825.523999999998</v>
      </c>
      <c r="F560" s="44">
        <f t="shared" si="46"/>
        <v>67063.809000000008</v>
      </c>
      <c r="G560" s="43">
        <f t="shared" si="46"/>
        <v>26825.523999999998</v>
      </c>
      <c r="H560" s="44">
        <f t="shared" si="46"/>
        <v>67063.809000000008</v>
      </c>
      <c r="I560" s="43">
        <f t="shared" si="46"/>
        <v>26050.448</v>
      </c>
      <c r="J560" s="44">
        <f t="shared" si="46"/>
        <v>64624.709000000003</v>
      </c>
      <c r="K560" s="43">
        <f t="shared" si="46"/>
        <v>20236.243999999999</v>
      </c>
      <c r="L560" s="44">
        <f t="shared" si="46"/>
        <v>56711.918999999994</v>
      </c>
      <c r="M560" s="43">
        <f t="shared" si="46"/>
        <v>0</v>
      </c>
      <c r="N560" s="44">
        <f t="shared" si="46"/>
        <v>0</v>
      </c>
      <c r="O560" s="47"/>
      <c r="P560" s="48">
        <v>5</v>
      </c>
      <c r="Q560" s="49"/>
    </row>
    <row r="561" spans="1:17" ht="18" x14ac:dyDescent="0.25">
      <c r="A561" s="1">
        <v>16</v>
      </c>
      <c r="B561" s="79"/>
      <c r="C561" s="50" t="s">
        <v>24</v>
      </c>
      <c r="D561" s="51"/>
      <c r="E561" s="52">
        <v>0</v>
      </c>
      <c r="F561" s="53">
        <v>0</v>
      </c>
      <c r="G561" s="52">
        <v>0</v>
      </c>
      <c r="H561" s="53">
        <v>0</v>
      </c>
      <c r="I561" s="52"/>
      <c r="J561" s="53"/>
      <c r="K561" s="52"/>
      <c r="L561" s="53"/>
      <c r="M561" s="52"/>
      <c r="N561" s="53"/>
      <c r="O561" s="56"/>
      <c r="P561" s="30"/>
      <c r="Q561" s="31"/>
    </row>
    <row r="562" spans="1:17" ht="36" x14ac:dyDescent="0.25">
      <c r="A562" s="1">
        <v>16</v>
      </c>
      <c r="B562" s="79"/>
      <c r="C562" s="50" t="s">
        <v>25</v>
      </c>
      <c r="D562" s="51"/>
      <c r="E562" s="52">
        <f t="shared" ref="E562:N562" si="47">SUM(E563:E581)</f>
        <v>26825.523999999998</v>
      </c>
      <c r="F562" s="53">
        <f t="shared" si="47"/>
        <v>67063.809000000008</v>
      </c>
      <c r="G562" s="52">
        <f t="shared" si="47"/>
        <v>26825.523999999998</v>
      </c>
      <c r="H562" s="53">
        <f t="shared" si="47"/>
        <v>67063.809000000008</v>
      </c>
      <c r="I562" s="52">
        <f t="shared" si="47"/>
        <v>26050.448</v>
      </c>
      <c r="J562" s="53">
        <f t="shared" si="47"/>
        <v>64624.709000000003</v>
      </c>
      <c r="K562" s="52">
        <f t="shared" si="47"/>
        <v>20236.243999999999</v>
      </c>
      <c r="L562" s="53">
        <f t="shared" si="47"/>
        <v>56711.918999999994</v>
      </c>
      <c r="M562" s="52">
        <f t="shared" si="47"/>
        <v>0</v>
      </c>
      <c r="N562" s="53">
        <f t="shared" si="47"/>
        <v>0</v>
      </c>
      <c r="O562" s="56"/>
      <c r="P562" s="30"/>
      <c r="Q562" s="31"/>
    </row>
    <row r="563" spans="1:17" ht="90" x14ac:dyDescent="0.25">
      <c r="A563" s="1">
        <v>16</v>
      </c>
      <c r="B563" s="57">
        <v>1</v>
      </c>
      <c r="C563" s="58" t="s">
        <v>736</v>
      </c>
      <c r="D563" s="59" t="s">
        <v>35</v>
      </c>
      <c r="E563" s="60">
        <f>23723.57-2277.592</f>
        <v>21445.977999999999</v>
      </c>
      <c r="F563" s="61">
        <f>22277.592+1596.364</f>
        <v>23873.956000000002</v>
      </c>
      <c r="G563" s="60">
        <v>21445.977999999999</v>
      </c>
      <c r="H563" s="61">
        <v>23873.955999999998</v>
      </c>
      <c r="I563" s="60">
        <v>21445.977999999999</v>
      </c>
      <c r="J563" s="61">
        <v>23873.955999999998</v>
      </c>
      <c r="K563" s="60">
        <v>15631.773999999999</v>
      </c>
      <c r="L563" s="61">
        <v>17190.682000000001</v>
      </c>
      <c r="M563" s="60">
        <v>0</v>
      </c>
      <c r="N563" s="61">
        <v>0</v>
      </c>
      <c r="O563" s="62" t="s">
        <v>36</v>
      </c>
      <c r="P563" s="63"/>
      <c r="Q563" s="64"/>
    </row>
    <row r="564" spans="1:17" ht="54" x14ac:dyDescent="0.25">
      <c r="A564" s="1">
        <v>16</v>
      </c>
      <c r="B564" s="57">
        <f>B563+1</f>
        <v>2</v>
      </c>
      <c r="C564" s="58" t="s">
        <v>737</v>
      </c>
      <c r="D564" s="59" t="s">
        <v>35</v>
      </c>
      <c r="E564" s="60">
        <v>0</v>
      </c>
      <c r="F564" s="61">
        <v>1000</v>
      </c>
      <c r="G564" s="60">
        <v>0</v>
      </c>
      <c r="H564" s="61">
        <v>1000</v>
      </c>
      <c r="I564" s="60">
        <v>0</v>
      </c>
      <c r="J564" s="61">
        <v>1000</v>
      </c>
      <c r="K564" s="60">
        <v>0</v>
      </c>
      <c r="L564" s="61">
        <v>1000</v>
      </c>
      <c r="M564" s="60">
        <v>0</v>
      </c>
      <c r="N564" s="61">
        <v>0</v>
      </c>
      <c r="O564" s="62" t="s">
        <v>175</v>
      </c>
      <c r="P564" s="63"/>
      <c r="Q564" s="64"/>
    </row>
    <row r="565" spans="1:17" ht="72" x14ac:dyDescent="0.25">
      <c r="A565" s="1">
        <v>16</v>
      </c>
      <c r="B565" s="57">
        <f t="shared" ref="B565:B581" si="48">B564+1</f>
        <v>3</v>
      </c>
      <c r="C565" s="58" t="s">
        <v>738</v>
      </c>
      <c r="D565" s="59" t="s">
        <v>51</v>
      </c>
      <c r="E565" s="60">
        <v>0</v>
      </c>
      <c r="F565" s="61">
        <v>3000</v>
      </c>
      <c r="G565" s="60">
        <v>0</v>
      </c>
      <c r="H565" s="61">
        <v>3000</v>
      </c>
      <c r="I565" s="60">
        <v>0</v>
      </c>
      <c r="J565" s="61">
        <v>3000</v>
      </c>
      <c r="K565" s="60">
        <v>0</v>
      </c>
      <c r="L565" s="61">
        <v>3000</v>
      </c>
      <c r="M565" s="60">
        <v>0</v>
      </c>
      <c r="N565" s="61">
        <v>0</v>
      </c>
      <c r="O565" s="62" t="s">
        <v>52</v>
      </c>
      <c r="P565" s="63" t="s">
        <v>739</v>
      </c>
      <c r="Q565" s="64" t="s">
        <v>740</v>
      </c>
    </row>
    <row r="566" spans="1:17" ht="54" x14ac:dyDescent="0.25">
      <c r="A566" s="1">
        <v>16</v>
      </c>
      <c r="B566" s="57">
        <f t="shared" si="48"/>
        <v>4</v>
      </c>
      <c r="C566" s="58" t="s">
        <v>741</v>
      </c>
      <c r="D566" s="59" t="s">
        <v>43</v>
      </c>
      <c r="E566" s="60">
        <v>0</v>
      </c>
      <c r="F566" s="61">
        <f>3847.718+1852.871</f>
        <v>5700.5889999999999</v>
      </c>
      <c r="G566" s="60">
        <v>0</v>
      </c>
      <c r="H566" s="61">
        <v>5700.5889999999999</v>
      </c>
      <c r="I566" s="60">
        <v>0</v>
      </c>
      <c r="J566" s="61">
        <v>5691.8090000000002</v>
      </c>
      <c r="K566" s="60">
        <v>0</v>
      </c>
      <c r="L566" s="61">
        <v>4462.2929999999997</v>
      </c>
      <c r="M566" s="60">
        <v>0</v>
      </c>
      <c r="N566" s="61">
        <v>0</v>
      </c>
      <c r="O566" s="62" t="s">
        <v>36</v>
      </c>
      <c r="P566" s="63"/>
      <c r="Q566" s="64"/>
    </row>
    <row r="567" spans="1:17" ht="72" x14ac:dyDescent="0.25">
      <c r="A567" s="1">
        <v>16</v>
      </c>
      <c r="B567" s="57">
        <f t="shared" si="48"/>
        <v>5</v>
      </c>
      <c r="C567" s="58" t="s">
        <v>742</v>
      </c>
      <c r="D567" s="59" t="s">
        <v>101</v>
      </c>
      <c r="E567" s="60">
        <v>0</v>
      </c>
      <c r="F567" s="61">
        <v>5000</v>
      </c>
      <c r="G567" s="60">
        <v>0</v>
      </c>
      <c r="H567" s="61">
        <v>5000</v>
      </c>
      <c r="I567" s="60">
        <v>0</v>
      </c>
      <c r="J567" s="61">
        <v>5000</v>
      </c>
      <c r="K567" s="60">
        <v>0</v>
      </c>
      <c r="L567" s="61">
        <v>5000</v>
      </c>
      <c r="M567" s="60">
        <v>0</v>
      </c>
      <c r="N567" s="61">
        <v>0</v>
      </c>
      <c r="O567" s="62" t="s">
        <v>102</v>
      </c>
      <c r="P567" s="63"/>
      <c r="Q567" s="64"/>
    </row>
    <row r="568" spans="1:17" ht="72" x14ac:dyDescent="0.25">
      <c r="A568" s="1">
        <v>16</v>
      </c>
      <c r="B568" s="57">
        <f t="shared" si="48"/>
        <v>6</v>
      </c>
      <c r="C568" s="58" t="s">
        <v>743</v>
      </c>
      <c r="D568" s="59" t="s">
        <v>29</v>
      </c>
      <c r="E568" s="60">
        <v>0</v>
      </c>
      <c r="F568" s="61">
        <v>4400</v>
      </c>
      <c r="G568" s="60">
        <v>0</v>
      </c>
      <c r="H568" s="61">
        <v>4400</v>
      </c>
      <c r="I568" s="60">
        <v>0</v>
      </c>
      <c r="J568" s="61">
        <v>3618</v>
      </c>
      <c r="K568" s="60">
        <v>0</v>
      </c>
      <c r="L568" s="61">
        <v>3618</v>
      </c>
      <c r="M568" s="60">
        <v>0</v>
      </c>
      <c r="N568" s="61">
        <v>0</v>
      </c>
      <c r="O568" s="62" t="s">
        <v>363</v>
      </c>
      <c r="P568" s="63"/>
      <c r="Q568" s="64"/>
    </row>
    <row r="569" spans="1:17" ht="54" x14ac:dyDescent="0.25">
      <c r="A569" s="1">
        <v>16</v>
      </c>
      <c r="B569" s="57">
        <f t="shared" si="48"/>
        <v>7</v>
      </c>
      <c r="C569" s="58" t="s">
        <v>744</v>
      </c>
      <c r="D569" s="59" t="s">
        <v>29</v>
      </c>
      <c r="E569" s="60">
        <v>0</v>
      </c>
      <c r="F569" s="61">
        <v>2000</v>
      </c>
      <c r="G569" s="60">
        <v>0</v>
      </c>
      <c r="H569" s="61">
        <v>2000</v>
      </c>
      <c r="I569" s="60">
        <v>0</v>
      </c>
      <c r="J569" s="61">
        <v>2000</v>
      </c>
      <c r="K569" s="60">
        <v>0</v>
      </c>
      <c r="L569" s="61">
        <v>2000</v>
      </c>
      <c r="M569" s="60">
        <v>0</v>
      </c>
      <c r="N569" s="61">
        <v>0</v>
      </c>
      <c r="O569" s="62" t="s">
        <v>363</v>
      </c>
      <c r="P569" s="63"/>
      <c r="Q569" s="64"/>
    </row>
    <row r="570" spans="1:17" ht="108" x14ac:dyDescent="0.25">
      <c r="A570" s="1">
        <v>16</v>
      </c>
      <c r="B570" s="57">
        <f t="shared" si="48"/>
        <v>8</v>
      </c>
      <c r="C570" s="58" t="s">
        <v>745</v>
      </c>
      <c r="D570" s="59" t="s">
        <v>29</v>
      </c>
      <c r="E570" s="60">
        <v>0</v>
      </c>
      <c r="F570" s="61">
        <v>1346.34</v>
      </c>
      <c r="G570" s="60">
        <v>0</v>
      </c>
      <c r="H570" s="61">
        <v>1346.34</v>
      </c>
      <c r="I570" s="60">
        <v>0</v>
      </c>
      <c r="J570" s="61">
        <v>1346.34</v>
      </c>
      <c r="K570" s="60">
        <v>0</v>
      </c>
      <c r="L570" s="61">
        <v>1346.34</v>
      </c>
      <c r="M570" s="60">
        <v>0</v>
      </c>
      <c r="N570" s="61">
        <v>0</v>
      </c>
      <c r="O570" s="62" t="s">
        <v>248</v>
      </c>
      <c r="P570" s="63"/>
      <c r="Q570" s="64"/>
    </row>
    <row r="571" spans="1:17" ht="90" x14ac:dyDescent="0.25">
      <c r="A571" s="1">
        <v>16</v>
      </c>
      <c r="B571" s="57">
        <f t="shared" si="48"/>
        <v>9</v>
      </c>
      <c r="C571" s="58" t="s">
        <v>746</v>
      </c>
      <c r="D571" s="59" t="s">
        <v>105</v>
      </c>
      <c r="E571" s="60">
        <v>5379.5460000000003</v>
      </c>
      <c r="F571" s="61">
        <v>0</v>
      </c>
      <c r="G571" s="60">
        <v>5379.5460000000003</v>
      </c>
      <c r="H571" s="61">
        <v>0</v>
      </c>
      <c r="I571" s="60">
        <v>4604.47</v>
      </c>
      <c r="J571" s="61">
        <v>0</v>
      </c>
      <c r="K571" s="60">
        <v>4604.47</v>
      </c>
      <c r="L571" s="61">
        <v>0</v>
      </c>
      <c r="M571" s="60">
        <v>0</v>
      </c>
      <c r="N571" s="61">
        <v>0</v>
      </c>
      <c r="O571" s="62" t="s">
        <v>747</v>
      </c>
      <c r="P571" s="63" t="s">
        <v>748</v>
      </c>
      <c r="Q571" s="64" t="s">
        <v>41</v>
      </c>
    </row>
    <row r="572" spans="1:17" ht="90" x14ac:dyDescent="0.25">
      <c r="A572" s="1">
        <v>16</v>
      </c>
      <c r="B572" s="57">
        <f t="shared" si="48"/>
        <v>10</v>
      </c>
      <c r="C572" s="58" t="s">
        <v>749</v>
      </c>
      <c r="D572" s="59" t="s">
        <v>29</v>
      </c>
      <c r="E572" s="60">
        <v>0</v>
      </c>
      <c r="F572" s="61">
        <f>3000+1299</f>
        <v>4299</v>
      </c>
      <c r="G572" s="60">
        <v>0</v>
      </c>
      <c r="H572" s="61">
        <v>4299</v>
      </c>
      <c r="I572" s="60">
        <v>0</v>
      </c>
      <c r="J572" s="61">
        <v>4250.732</v>
      </c>
      <c r="K572" s="60">
        <v>0</v>
      </c>
      <c r="L572" s="61">
        <v>4250.732</v>
      </c>
      <c r="M572" s="60">
        <v>0</v>
      </c>
      <c r="N572" s="61">
        <v>0</v>
      </c>
      <c r="O572" s="62" t="s">
        <v>36</v>
      </c>
      <c r="P572" s="63"/>
      <c r="Q572" s="64"/>
    </row>
    <row r="573" spans="1:17" ht="72" x14ac:dyDescent="0.25">
      <c r="A573" s="1">
        <v>16</v>
      </c>
      <c r="B573" s="57">
        <f t="shared" si="48"/>
        <v>11</v>
      </c>
      <c r="C573" s="58" t="s">
        <v>750</v>
      </c>
      <c r="D573" s="59" t="s">
        <v>29</v>
      </c>
      <c r="E573" s="60">
        <v>0</v>
      </c>
      <c r="F573" s="61">
        <v>868.03499999999997</v>
      </c>
      <c r="G573" s="60">
        <v>0</v>
      </c>
      <c r="H573" s="61">
        <v>868.03499999999997</v>
      </c>
      <c r="I573" s="60">
        <v>0</v>
      </c>
      <c r="J573" s="61">
        <v>868.03499999999997</v>
      </c>
      <c r="K573" s="60">
        <v>0</v>
      </c>
      <c r="L573" s="61">
        <v>868.03499999999997</v>
      </c>
      <c r="M573" s="60">
        <v>0</v>
      </c>
      <c r="N573" s="61">
        <v>0</v>
      </c>
      <c r="O573" s="62" t="s">
        <v>64</v>
      </c>
      <c r="P573" s="63" t="s">
        <v>751</v>
      </c>
      <c r="Q573" s="64" t="s">
        <v>41</v>
      </c>
    </row>
    <row r="574" spans="1:17" ht="90" x14ac:dyDescent="0.25">
      <c r="A574" s="1">
        <v>16</v>
      </c>
      <c r="B574" s="57">
        <f t="shared" si="48"/>
        <v>12</v>
      </c>
      <c r="C574" s="58" t="s">
        <v>752</v>
      </c>
      <c r="D574" s="59" t="s">
        <v>29</v>
      </c>
      <c r="E574" s="60">
        <v>0</v>
      </c>
      <c r="F574" s="61">
        <v>3000</v>
      </c>
      <c r="G574" s="60">
        <v>0</v>
      </c>
      <c r="H574" s="61">
        <v>3000</v>
      </c>
      <c r="I574" s="60">
        <v>0</v>
      </c>
      <c r="J574" s="61">
        <v>1954.6379999999999</v>
      </c>
      <c r="K574" s="60">
        <v>0</v>
      </c>
      <c r="L574" s="61">
        <v>1954.6379999999999</v>
      </c>
      <c r="M574" s="60">
        <v>0</v>
      </c>
      <c r="N574" s="61">
        <v>0</v>
      </c>
      <c r="O574" s="62" t="s">
        <v>209</v>
      </c>
      <c r="P574" s="63"/>
      <c r="Q574" s="64"/>
    </row>
    <row r="575" spans="1:17" ht="72" x14ac:dyDescent="0.25">
      <c r="A575" s="1">
        <v>16</v>
      </c>
      <c r="B575" s="57">
        <f t="shared" si="48"/>
        <v>13</v>
      </c>
      <c r="C575" s="58" t="s">
        <v>753</v>
      </c>
      <c r="D575" s="59" t="s">
        <v>754</v>
      </c>
      <c r="E575" s="60">
        <v>0</v>
      </c>
      <c r="F575" s="61">
        <v>2600</v>
      </c>
      <c r="G575" s="60">
        <v>0</v>
      </c>
      <c r="H575" s="61">
        <v>2600</v>
      </c>
      <c r="I575" s="60">
        <v>0</v>
      </c>
      <c r="J575" s="61">
        <v>2600</v>
      </c>
      <c r="K575" s="60">
        <v>0</v>
      </c>
      <c r="L575" s="61">
        <v>2600</v>
      </c>
      <c r="M575" s="60">
        <v>0</v>
      </c>
      <c r="N575" s="61">
        <v>0</v>
      </c>
      <c r="O575" s="62" t="s">
        <v>36</v>
      </c>
      <c r="P575" s="63"/>
      <c r="Q575" s="64"/>
    </row>
    <row r="576" spans="1:17" ht="54" x14ac:dyDescent="0.25">
      <c r="A576" s="1">
        <v>16</v>
      </c>
      <c r="B576" s="57">
        <f t="shared" si="48"/>
        <v>14</v>
      </c>
      <c r="C576" s="58" t="s">
        <v>755</v>
      </c>
      <c r="D576" s="59" t="s">
        <v>105</v>
      </c>
      <c r="E576" s="60">
        <v>0</v>
      </c>
      <c r="F576" s="61">
        <f>3000-25.973</f>
        <v>2974.027</v>
      </c>
      <c r="G576" s="60">
        <v>0</v>
      </c>
      <c r="H576" s="61">
        <v>2974.027</v>
      </c>
      <c r="I576" s="60">
        <v>0</v>
      </c>
      <c r="J576" s="61">
        <v>2974.027</v>
      </c>
      <c r="K576" s="60">
        <v>0</v>
      </c>
      <c r="L576" s="61">
        <v>2974.027</v>
      </c>
      <c r="M576" s="60">
        <v>0</v>
      </c>
      <c r="N576" s="61">
        <v>0</v>
      </c>
      <c r="O576" s="62" t="s">
        <v>52</v>
      </c>
      <c r="P576" s="63" t="s">
        <v>756</v>
      </c>
      <c r="Q576" s="64" t="s">
        <v>41</v>
      </c>
    </row>
    <row r="577" spans="1:17" ht="108" x14ac:dyDescent="0.25">
      <c r="A577" s="1">
        <v>16</v>
      </c>
      <c r="B577" s="57">
        <f t="shared" si="48"/>
        <v>15</v>
      </c>
      <c r="C577" s="58" t="s">
        <v>757</v>
      </c>
      <c r="D577" s="59" t="s">
        <v>105</v>
      </c>
      <c r="E577" s="60">
        <v>0</v>
      </c>
      <c r="F577" s="61">
        <v>1146.2080000000001</v>
      </c>
      <c r="G577" s="60">
        <v>0</v>
      </c>
      <c r="H577" s="61">
        <v>1146.2080000000001</v>
      </c>
      <c r="I577" s="60">
        <v>0</v>
      </c>
      <c r="J577" s="61">
        <v>1146.2080000000001</v>
      </c>
      <c r="K577" s="60">
        <v>0</v>
      </c>
      <c r="L577" s="61">
        <v>1146.2080000000001</v>
      </c>
      <c r="M577" s="60">
        <v>0</v>
      </c>
      <c r="N577" s="61">
        <v>0</v>
      </c>
      <c r="O577" s="62" t="s">
        <v>747</v>
      </c>
      <c r="P577" s="63" t="s">
        <v>577</v>
      </c>
      <c r="Q577" s="64" t="s">
        <v>41</v>
      </c>
    </row>
    <row r="578" spans="1:17" ht="108" x14ac:dyDescent="0.25">
      <c r="A578" s="1">
        <v>16</v>
      </c>
      <c r="B578" s="57">
        <f t="shared" si="48"/>
        <v>16</v>
      </c>
      <c r="C578" s="58" t="s">
        <v>758</v>
      </c>
      <c r="D578" s="59" t="s">
        <v>29</v>
      </c>
      <c r="E578" s="60">
        <v>0</v>
      </c>
      <c r="F578" s="61">
        <v>1771.8240000000001</v>
      </c>
      <c r="G578" s="60">
        <v>0</v>
      </c>
      <c r="H578" s="61">
        <v>1771.8240000000001</v>
      </c>
      <c r="I578" s="60">
        <v>0</v>
      </c>
      <c r="J578" s="61">
        <v>1771.8240000000001</v>
      </c>
      <c r="K578" s="60">
        <v>0</v>
      </c>
      <c r="L578" s="61">
        <v>1771.8240000000001</v>
      </c>
      <c r="M578" s="60">
        <v>0</v>
      </c>
      <c r="N578" s="61">
        <v>0</v>
      </c>
      <c r="O578" s="62" t="s">
        <v>248</v>
      </c>
      <c r="P578" s="63"/>
      <c r="Q578" s="64"/>
    </row>
    <row r="579" spans="1:17" ht="90" x14ac:dyDescent="0.25">
      <c r="A579" s="1">
        <v>16</v>
      </c>
      <c r="B579" s="57">
        <f t="shared" si="48"/>
        <v>17</v>
      </c>
      <c r="C579" s="58" t="s">
        <v>759</v>
      </c>
      <c r="D579" s="59" t="s">
        <v>29</v>
      </c>
      <c r="E579" s="60">
        <v>0</v>
      </c>
      <c r="F579" s="61">
        <f>1550.41-235.444</f>
        <v>1314.9660000000001</v>
      </c>
      <c r="G579" s="60">
        <v>0</v>
      </c>
      <c r="H579" s="61">
        <v>1314.9659999999999</v>
      </c>
      <c r="I579" s="60">
        <v>0</v>
      </c>
      <c r="J579" s="61">
        <v>1209.9639999999999</v>
      </c>
      <c r="K579" s="60">
        <v>0</v>
      </c>
      <c r="L579" s="61">
        <v>1209.9639999999999</v>
      </c>
      <c r="M579" s="60">
        <v>0</v>
      </c>
      <c r="N579" s="61">
        <v>0</v>
      </c>
      <c r="O579" s="62" t="s">
        <v>36</v>
      </c>
      <c r="P579" s="63"/>
      <c r="Q579" s="64"/>
    </row>
    <row r="580" spans="1:17" ht="54" x14ac:dyDescent="0.25">
      <c r="A580" s="1">
        <v>16</v>
      </c>
      <c r="B580" s="57">
        <f t="shared" si="48"/>
        <v>18</v>
      </c>
      <c r="C580" s="58" t="s">
        <v>760</v>
      </c>
      <c r="D580" s="59" t="s">
        <v>101</v>
      </c>
      <c r="E580" s="60">
        <v>0</v>
      </c>
      <c r="F580" s="61">
        <f>3000-2550.312</f>
        <v>449.6880000000001</v>
      </c>
      <c r="G580" s="60">
        <v>0</v>
      </c>
      <c r="H580" s="61">
        <v>449.68799999999999</v>
      </c>
      <c r="I580" s="60">
        <v>0</v>
      </c>
      <c r="J580" s="61">
        <v>0</v>
      </c>
      <c r="K580" s="60">
        <v>0</v>
      </c>
      <c r="L580" s="61">
        <v>0</v>
      </c>
      <c r="M580" s="60">
        <v>0</v>
      </c>
      <c r="N580" s="61">
        <v>0</v>
      </c>
      <c r="O580" s="62" t="s">
        <v>102</v>
      </c>
      <c r="P580" s="63"/>
      <c r="Q580" s="64"/>
    </row>
    <row r="581" spans="1:17" ht="90.75" thickBot="1" x14ac:dyDescent="0.3">
      <c r="A581" s="1">
        <v>16</v>
      </c>
      <c r="B581" s="68">
        <f t="shared" si="48"/>
        <v>19</v>
      </c>
      <c r="C581" s="69" t="s">
        <v>761</v>
      </c>
      <c r="D581" s="70" t="s">
        <v>29</v>
      </c>
      <c r="E581" s="80">
        <v>0</v>
      </c>
      <c r="F581" s="81">
        <f>1659.176+660</f>
        <v>2319.1759999999999</v>
      </c>
      <c r="G581" s="80">
        <v>0</v>
      </c>
      <c r="H581" s="81">
        <v>2319.1759999999999</v>
      </c>
      <c r="I581" s="80">
        <v>0</v>
      </c>
      <c r="J581" s="81">
        <v>2319.1759999999999</v>
      </c>
      <c r="K581" s="80">
        <v>0</v>
      </c>
      <c r="L581" s="81">
        <v>2319.1759999999999</v>
      </c>
      <c r="M581" s="80">
        <v>0</v>
      </c>
      <c r="N581" s="81">
        <v>0</v>
      </c>
      <c r="O581" s="73" t="s">
        <v>36</v>
      </c>
      <c r="P581" s="74"/>
      <c r="Q581" s="75"/>
    </row>
    <row r="582" spans="1:17" ht="18" x14ac:dyDescent="0.25">
      <c r="A582" s="1">
        <v>17</v>
      </c>
      <c r="B582" s="149" t="s">
        <v>762</v>
      </c>
      <c r="C582" s="150"/>
      <c r="D582" s="150"/>
      <c r="E582" s="150"/>
      <c r="F582" s="150"/>
      <c r="G582" s="150"/>
      <c r="H582" s="150"/>
      <c r="I582" s="150"/>
      <c r="J582" s="150"/>
      <c r="K582" s="150"/>
      <c r="L582" s="150"/>
      <c r="M582" s="150"/>
      <c r="N582" s="150"/>
      <c r="O582" s="150"/>
      <c r="P582" s="150"/>
      <c r="Q582" s="151"/>
    </row>
    <row r="583" spans="1:17" ht="18" x14ac:dyDescent="0.25">
      <c r="A583" s="1">
        <v>17</v>
      </c>
      <c r="B583" s="78"/>
      <c r="C583" s="41" t="s">
        <v>27</v>
      </c>
      <c r="D583" s="42"/>
      <c r="E583" s="43">
        <f t="shared" ref="E583:N583" si="49">SUM(E584,E586:E599)</f>
        <v>36029.882000000005</v>
      </c>
      <c r="F583" s="44">
        <f t="shared" si="49"/>
        <v>90074.706000000006</v>
      </c>
      <c r="G583" s="43">
        <f t="shared" si="49"/>
        <v>36029.882000000005</v>
      </c>
      <c r="H583" s="44">
        <f t="shared" si="49"/>
        <v>90074.706000000006</v>
      </c>
      <c r="I583" s="43">
        <f t="shared" si="49"/>
        <v>36029.882000000005</v>
      </c>
      <c r="J583" s="44">
        <f t="shared" si="49"/>
        <v>88380.702999999994</v>
      </c>
      <c r="K583" s="43">
        <f t="shared" si="49"/>
        <v>36029.882000000005</v>
      </c>
      <c r="L583" s="44">
        <f t="shared" si="49"/>
        <v>88380.702999999994</v>
      </c>
      <c r="M583" s="45">
        <f t="shared" si="49"/>
        <v>0</v>
      </c>
      <c r="N583" s="46">
        <f t="shared" si="49"/>
        <v>0</v>
      </c>
      <c r="O583" s="47"/>
      <c r="P583" s="48">
        <f>7+1</f>
        <v>8</v>
      </c>
      <c r="Q583" s="49"/>
    </row>
    <row r="584" spans="1:17" ht="18" x14ac:dyDescent="0.25">
      <c r="A584" s="1">
        <v>17</v>
      </c>
      <c r="B584" s="79"/>
      <c r="C584" s="50" t="s">
        <v>24</v>
      </c>
      <c r="D584" s="51"/>
      <c r="E584" s="52">
        <v>0</v>
      </c>
      <c r="F584" s="53">
        <v>0</v>
      </c>
      <c r="G584" s="52">
        <v>0</v>
      </c>
      <c r="H584" s="53">
        <v>0</v>
      </c>
      <c r="I584" s="52"/>
      <c r="J584" s="53"/>
      <c r="K584" s="52"/>
      <c r="L584" s="53"/>
      <c r="M584" s="54"/>
      <c r="N584" s="55"/>
      <c r="O584" s="56"/>
      <c r="P584" s="30"/>
      <c r="Q584" s="31"/>
    </row>
    <row r="585" spans="1:17" ht="36" x14ac:dyDescent="0.25">
      <c r="A585" s="1">
        <v>17</v>
      </c>
      <c r="B585" s="79"/>
      <c r="C585" s="50" t="s">
        <v>25</v>
      </c>
      <c r="D585" s="51"/>
      <c r="E585" s="52">
        <f t="shared" ref="E585:N585" si="50">SUM(E586:E599)</f>
        <v>36029.882000000005</v>
      </c>
      <c r="F585" s="53">
        <f t="shared" si="50"/>
        <v>90074.706000000006</v>
      </c>
      <c r="G585" s="52">
        <f t="shared" si="50"/>
        <v>36029.882000000005</v>
      </c>
      <c r="H585" s="53">
        <f t="shared" si="50"/>
        <v>90074.706000000006</v>
      </c>
      <c r="I585" s="52">
        <f t="shared" si="50"/>
        <v>36029.882000000005</v>
      </c>
      <c r="J585" s="53">
        <f t="shared" si="50"/>
        <v>88380.702999999994</v>
      </c>
      <c r="K585" s="52">
        <f t="shared" si="50"/>
        <v>36029.882000000005</v>
      </c>
      <c r="L585" s="53">
        <f t="shared" si="50"/>
        <v>88380.702999999994</v>
      </c>
      <c r="M585" s="54">
        <f t="shared" si="50"/>
        <v>0</v>
      </c>
      <c r="N585" s="55">
        <f t="shared" si="50"/>
        <v>0</v>
      </c>
      <c r="O585" s="56"/>
      <c r="P585" s="30"/>
      <c r="Q585" s="31"/>
    </row>
    <row r="586" spans="1:17" ht="90" x14ac:dyDescent="0.25">
      <c r="A586" s="1">
        <v>17</v>
      </c>
      <c r="B586" s="57">
        <v>1</v>
      </c>
      <c r="C586" s="58" t="s">
        <v>763</v>
      </c>
      <c r="D586" s="59" t="s">
        <v>764</v>
      </c>
      <c r="E586" s="60">
        <f>13457.286-3500.455</f>
        <v>9956.8310000000001</v>
      </c>
      <c r="F586" s="61">
        <v>3500.4549999999999</v>
      </c>
      <c r="G586" s="60">
        <v>9956.8310000000001</v>
      </c>
      <c r="H586" s="61">
        <v>3500.4549999999999</v>
      </c>
      <c r="I586" s="60">
        <v>9956.8310000000001</v>
      </c>
      <c r="J586" s="61">
        <v>3500.4549999999999</v>
      </c>
      <c r="K586" s="60">
        <v>9956.8310000000001</v>
      </c>
      <c r="L586" s="61">
        <v>3500.4549999999999</v>
      </c>
      <c r="M586" s="60">
        <v>0</v>
      </c>
      <c r="N586" s="61">
        <v>0</v>
      </c>
      <c r="O586" s="62" t="s">
        <v>610</v>
      </c>
      <c r="P586" s="63" t="s">
        <v>765</v>
      </c>
      <c r="Q586" s="64" t="s">
        <v>766</v>
      </c>
    </row>
    <row r="587" spans="1:17" ht="72" x14ac:dyDescent="0.25">
      <c r="A587" s="1">
        <v>17</v>
      </c>
      <c r="B587" s="57">
        <f>B586+1</f>
        <v>2</v>
      </c>
      <c r="C587" s="58" t="s">
        <v>767</v>
      </c>
      <c r="D587" s="59" t="s">
        <v>405</v>
      </c>
      <c r="E587" s="60">
        <v>21401.592000000001</v>
      </c>
      <c r="F587" s="61">
        <v>0</v>
      </c>
      <c r="G587" s="60">
        <v>21401.592000000001</v>
      </c>
      <c r="H587" s="61">
        <v>0</v>
      </c>
      <c r="I587" s="60">
        <v>21401.592000000001</v>
      </c>
      <c r="J587" s="61">
        <v>0</v>
      </c>
      <c r="K587" s="60">
        <v>21401.592000000001</v>
      </c>
      <c r="L587" s="61">
        <v>0</v>
      </c>
      <c r="M587" s="60">
        <v>0</v>
      </c>
      <c r="N587" s="61">
        <v>0</v>
      </c>
      <c r="O587" s="62" t="s">
        <v>52</v>
      </c>
      <c r="P587" s="63" t="s">
        <v>768</v>
      </c>
      <c r="Q587" s="64" t="s">
        <v>769</v>
      </c>
    </row>
    <row r="588" spans="1:17" ht="60" x14ac:dyDescent="0.25">
      <c r="A588" s="1">
        <v>17</v>
      </c>
      <c r="B588" s="57">
        <f t="shared" ref="B588:B599" si="51">B587+1</f>
        <v>3</v>
      </c>
      <c r="C588" s="58" t="s">
        <v>770</v>
      </c>
      <c r="D588" s="59" t="s">
        <v>51</v>
      </c>
      <c r="E588" s="60">
        <v>4671.4589999999998</v>
      </c>
      <c r="F588" s="61">
        <v>0</v>
      </c>
      <c r="G588" s="60">
        <v>4671.4589999999998</v>
      </c>
      <c r="H588" s="61">
        <v>0</v>
      </c>
      <c r="I588" s="60">
        <v>4671.4589999999998</v>
      </c>
      <c r="J588" s="61">
        <v>0</v>
      </c>
      <c r="K588" s="60">
        <v>4671.4589999999998</v>
      </c>
      <c r="L588" s="61">
        <v>0</v>
      </c>
      <c r="M588" s="60">
        <v>0</v>
      </c>
      <c r="N588" s="61">
        <v>0</v>
      </c>
      <c r="O588" s="62" t="s">
        <v>52</v>
      </c>
      <c r="P588" s="63" t="s">
        <v>771</v>
      </c>
      <c r="Q588" s="64" t="s">
        <v>772</v>
      </c>
    </row>
    <row r="589" spans="1:17" ht="144" x14ac:dyDescent="0.25">
      <c r="A589" s="1">
        <v>17</v>
      </c>
      <c r="B589" s="57">
        <f t="shared" si="51"/>
        <v>4</v>
      </c>
      <c r="C589" s="58" t="s">
        <v>773</v>
      </c>
      <c r="D589" s="59" t="s">
        <v>35</v>
      </c>
      <c r="E589" s="60">
        <v>0</v>
      </c>
      <c r="F589" s="61">
        <v>3770.2840000000001</v>
      </c>
      <c r="G589" s="60">
        <v>0</v>
      </c>
      <c r="H589" s="61">
        <v>3770.2840000000001</v>
      </c>
      <c r="I589" s="60">
        <v>0</v>
      </c>
      <c r="J589" s="61">
        <v>3660.924</v>
      </c>
      <c r="K589" s="60">
        <v>0</v>
      </c>
      <c r="L589" s="61">
        <v>3660.924</v>
      </c>
      <c r="M589" s="60">
        <v>0</v>
      </c>
      <c r="N589" s="61">
        <v>0</v>
      </c>
      <c r="O589" s="62" t="s">
        <v>36</v>
      </c>
      <c r="P589" s="63"/>
      <c r="Q589" s="64"/>
    </row>
    <row r="590" spans="1:17" ht="54" x14ac:dyDescent="0.25">
      <c r="A590" s="1">
        <v>17</v>
      </c>
      <c r="B590" s="57">
        <f t="shared" si="51"/>
        <v>5</v>
      </c>
      <c r="C590" s="58" t="s">
        <v>774</v>
      </c>
      <c r="D590" s="59" t="s">
        <v>96</v>
      </c>
      <c r="E590" s="60">
        <v>0</v>
      </c>
      <c r="F590" s="61">
        <v>10000</v>
      </c>
      <c r="G590" s="60">
        <v>0</v>
      </c>
      <c r="H590" s="61">
        <v>10000</v>
      </c>
      <c r="I590" s="60">
        <v>0</v>
      </c>
      <c r="J590" s="61">
        <v>10000</v>
      </c>
      <c r="K590" s="60">
        <v>0</v>
      </c>
      <c r="L590" s="61">
        <v>10000</v>
      </c>
      <c r="M590" s="60">
        <v>0</v>
      </c>
      <c r="N590" s="61">
        <v>0</v>
      </c>
      <c r="O590" s="62" t="s">
        <v>36</v>
      </c>
      <c r="P590" s="63"/>
      <c r="Q590" s="64"/>
    </row>
    <row r="591" spans="1:17" ht="144" x14ac:dyDescent="0.25">
      <c r="A591" s="1">
        <v>17</v>
      </c>
      <c r="B591" s="57">
        <f t="shared" si="51"/>
        <v>6</v>
      </c>
      <c r="C591" s="58" t="s">
        <v>775</v>
      </c>
      <c r="D591" s="59" t="s">
        <v>35</v>
      </c>
      <c r="E591" s="60">
        <v>0</v>
      </c>
      <c r="F591" s="61">
        <v>19973.218000000001</v>
      </c>
      <c r="G591" s="60">
        <v>0</v>
      </c>
      <c r="H591" s="61">
        <v>19973.218000000001</v>
      </c>
      <c r="I591" s="60">
        <v>0</v>
      </c>
      <c r="J591" s="61">
        <v>19973.218000000001</v>
      </c>
      <c r="K591" s="60">
        <v>0</v>
      </c>
      <c r="L591" s="61">
        <v>19973.218000000001</v>
      </c>
      <c r="M591" s="60">
        <v>0</v>
      </c>
      <c r="N591" s="61">
        <v>0</v>
      </c>
      <c r="O591" s="62" t="s">
        <v>48</v>
      </c>
      <c r="P591" s="63"/>
      <c r="Q591" s="64"/>
    </row>
    <row r="592" spans="1:17" ht="90" x14ac:dyDescent="0.25">
      <c r="A592" s="1">
        <v>17</v>
      </c>
      <c r="B592" s="57">
        <f t="shared" si="51"/>
        <v>7</v>
      </c>
      <c r="C592" s="58" t="s">
        <v>776</v>
      </c>
      <c r="D592" s="59" t="s">
        <v>29</v>
      </c>
      <c r="E592" s="60">
        <v>0</v>
      </c>
      <c r="F592" s="61">
        <v>3600</v>
      </c>
      <c r="G592" s="60">
        <v>0</v>
      </c>
      <c r="H592" s="61">
        <v>3600</v>
      </c>
      <c r="I592" s="60">
        <v>0</v>
      </c>
      <c r="J592" s="61">
        <v>2880</v>
      </c>
      <c r="K592" s="60">
        <v>0</v>
      </c>
      <c r="L592" s="61">
        <v>2880</v>
      </c>
      <c r="M592" s="60">
        <v>0</v>
      </c>
      <c r="N592" s="61">
        <v>0</v>
      </c>
      <c r="O592" s="62" t="s">
        <v>36</v>
      </c>
      <c r="P592" s="63" t="s">
        <v>164</v>
      </c>
      <c r="Q592" s="64" t="s">
        <v>235</v>
      </c>
    </row>
    <row r="593" spans="1:17" ht="72" x14ac:dyDescent="0.25">
      <c r="A593" s="1">
        <v>17</v>
      </c>
      <c r="B593" s="57">
        <f t="shared" si="51"/>
        <v>8</v>
      </c>
      <c r="C593" s="58" t="s">
        <v>777</v>
      </c>
      <c r="D593" s="59" t="s">
        <v>35</v>
      </c>
      <c r="E593" s="60">
        <v>0</v>
      </c>
      <c r="F593" s="61">
        <v>7733.0450000000001</v>
      </c>
      <c r="G593" s="60">
        <v>0</v>
      </c>
      <c r="H593" s="61">
        <v>7733.0450000000001</v>
      </c>
      <c r="I593" s="60">
        <v>0</v>
      </c>
      <c r="J593" s="61">
        <v>7600.6450000000004</v>
      </c>
      <c r="K593" s="60">
        <v>0</v>
      </c>
      <c r="L593" s="61">
        <v>7600.6450000000004</v>
      </c>
      <c r="M593" s="60">
        <v>0</v>
      </c>
      <c r="N593" s="61">
        <v>0</v>
      </c>
      <c r="O593" s="62" t="s">
        <v>36</v>
      </c>
      <c r="P593" s="63"/>
      <c r="Q593" s="64"/>
    </row>
    <row r="594" spans="1:17" ht="72" x14ac:dyDescent="0.25">
      <c r="A594" s="1">
        <v>17</v>
      </c>
      <c r="B594" s="57">
        <f t="shared" si="51"/>
        <v>9</v>
      </c>
      <c r="C594" s="58" t="s">
        <v>778</v>
      </c>
      <c r="D594" s="59" t="s">
        <v>698</v>
      </c>
      <c r="E594" s="60">
        <v>0</v>
      </c>
      <c r="F594" s="61">
        <v>2653.6480000000001</v>
      </c>
      <c r="G594" s="60">
        <v>0</v>
      </c>
      <c r="H594" s="61">
        <v>2653.6480000000001</v>
      </c>
      <c r="I594" s="60">
        <v>0</v>
      </c>
      <c r="J594" s="61">
        <v>2653.6480000000001</v>
      </c>
      <c r="K594" s="60">
        <v>0</v>
      </c>
      <c r="L594" s="61">
        <v>2653.6480000000001</v>
      </c>
      <c r="M594" s="60">
        <v>0</v>
      </c>
      <c r="N594" s="61">
        <v>0</v>
      </c>
      <c r="O594" s="62" t="s">
        <v>377</v>
      </c>
      <c r="P594" s="63" t="s">
        <v>779</v>
      </c>
      <c r="Q594" s="64" t="s">
        <v>780</v>
      </c>
    </row>
    <row r="595" spans="1:17" ht="90" x14ac:dyDescent="0.25">
      <c r="A595" s="1">
        <v>17</v>
      </c>
      <c r="B595" s="57">
        <f t="shared" si="51"/>
        <v>10</v>
      </c>
      <c r="C595" s="58" t="s">
        <v>781</v>
      </c>
      <c r="D595" s="59" t="s">
        <v>35</v>
      </c>
      <c r="E595" s="60">
        <v>0</v>
      </c>
      <c r="F595" s="61">
        <v>2250</v>
      </c>
      <c r="G595" s="60">
        <v>0</v>
      </c>
      <c r="H595" s="61">
        <v>2250</v>
      </c>
      <c r="I595" s="60">
        <v>0</v>
      </c>
      <c r="J595" s="61">
        <v>1517.7570000000001</v>
      </c>
      <c r="K595" s="60">
        <v>0</v>
      </c>
      <c r="L595" s="61">
        <v>1517.7570000000001</v>
      </c>
      <c r="M595" s="60">
        <v>0</v>
      </c>
      <c r="N595" s="61">
        <v>0</v>
      </c>
      <c r="O595" s="62" t="s">
        <v>48</v>
      </c>
      <c r="P595" s="63"/>
      <c r="Q595" s="64"/>
    </row>
    <row r="596" spans="1:17" ht="90" x14ac:dyDescent="0.25">
      <c r="A596" s="1">
        <v>17</v>
      </c>
      <c r="B596" s="57">
        <f t="shared" si="51"/>
        <v>11</v>
      </c>
      <c r="C596" s="58" t="s">
        <v>782</v>
      </c>
      <c r="D596" s="59" t="s">
        <v>38</v>
      </c>
      <c r="E596" s="60">
        <v>0</v>
      </c>
      <c r="F596" s="61">
        <v>550</v>
      </c>
      <c r="G596" s="60">
        <v>0</v>
      </c>
      <c r="H596" s="61">
        <v>550</v>
      </c>
      <c r="I596" s="60">
        <v>0</v>
      </c>
      <c r="J596" s="61">
        <v>550</v>
      </c>
      <c r="K596" s="60">
        <v>0</v>
      </c>
      <c r="L596" s="61">
        <v>550</v>
      </c>
      <c r="M596" s="60">
        <v>0</v>
      </c>
      <c r="N596" s="61">
        <v>0</v>
      </c>
      <c r="O596" s="62" t="s">
        <v>52</v>
      </c>
      <c r="P596" s="63" t="s">
        <v>783</v>
      </c>
      <c r="Q596" s="64" t="s">
        <v>784</v>
      </c>
    </row>
    <row r="597" spans="1:17" ht="72" x14ac:dyDescent="0.25">
      <c r="A597" s="1">
        <v>17</v>
      </c>
      <c r="B597" s="57">
        <f t="shared" si="51"/>
        <v>12</v>
      </c>
      <c r="C597" s="58" t="s">
        <v>785</v>
      </c>
      <c r="D597" s="59" t="s">
        <v>51</v>
      </c>
      <c r="E597" s="60">
        <v>0</v>
      </c>
      <c r="F597" s="61">
        <v>6044.0559999999996</v>
      </c>
      <c r="G597" s="60">
        <v>0</v>
      </c>
      <c r="H597" s="61">
        <v>6044.0559999999996</v>
      </c>
      <c r="I597" s="60">
        <v>0</v>
      </c>
      <c r="J597" s="61">
        <v>6044.0559999999996</v>
      </c>
      <c r="K597" s="60">
        <v>0</v>
      </c>
      <c r="L597" s="61">
        <v>6044.0559999999996</v>
      </c>
      <c r="M597" s="60">
        <v>0</v>
      </c>
      <c r="N597" s="61">
        <v>0</v>
      </c>
      <c r="O597" s="62" t="s">
        <v>52</v>
      </c>
      <c r="P597" s="63" t="s">
        <v>786</v>
      </c>
      <c r="Q597" s="64" t="s">
        <v>787</v>
      </c>
    </row>
    <row r="598" spans="1:17" ht="72" x14ac:dyDescent="0.25">
      <c r="A598" s="1">
        <v>17</v>
      </c>
      <c r="B598" s="57">
        <f t="shared" si="51"/>
        <v>13</v>
      </c>
      <c r="C598" s="58" t="s">
        <v>788</v>
      </c>
      <c r="D598" s="59" t="s">
        <v>405</v>
      </c>
      <c r="E598" s="60">
        <v>0</v>
      </c>
      <c r="F598" s="61">
        <v>12000</v>
      </c>
      <c r="G598" s="60">
        <v>0</v>
      </c>
      <c r="H598" s="61">
        <v>12000</v>
      </c>
      <c r="I598" s="60">
        <v>0</v>
      </c>
      <c r="J598" s="61">
        <v>12000</v>
      </c>
      <c r="K598" s="60">
        <v>0</v>
      </c>
      <c r="L598" s="61">
        <v>12000</v>
      </c>
      <c r="M598" s="60">
        <v>0</v>
      </c>
      <c r="N598" s="61">
        <v>0</v>
      </c>
      <c r="O598" s="62" t="s">
        <v>52</v>
      </c>
      <c r="P598" s="63" t="s">
        <v>789</v>
      </c>
      <c r="Q598" s="64" t="s">
        <v>790</v>
      </c>
    </row>
    <row r="599" spans="1:17" ht="54.75" thickBot="1" x14ac:dyDescent="0.3">
      <c r="A599" s="1">
        <v>17</v>
      </c>
      <c r="B599" s="68">
        <f t="shared" si="51"/>
        <v>14</v>
      </c>
      <c r="C599" s="69" t="s">
        <v>791</v>
      </c>
      <c r="D599" s="70" t="s">
        <v>35</v>
      </c>
      <c r="E599" s="80">
        <v>0</v>
      </c>
      <c r="F599" s="81">
        <v>18000</v>
      </c>
      <c r="G599" s="80">
        <v>0</v>
      </c>
      <c r="H599" s="81">
        <v>18000</v>
      </c>
      <c r="I599" s="80">
        <v>0</v>
      </c>
      <c r="J599" s="81">
        <v>18000</v>
      </c>
      <c r="K599" s="80">
        <v>0</v>
      </c>
      <c r="L599" s="81">
        <v>18000</v>
      </c>
      <c r="M599" s="80">
        <v>0</v>
      </c>
      <c r="N599" s="81">
        <v>0</v>
      </c>
      <c r="O599" s="73" t="s">
        <v>36</v>
      </c>
      <c r="P599" s="74"/>
      <c r="Q599" s="75"/>
    </row>
    <row r="600" spans="1:17" ht="18" x14ac:dyDescent="0.25">
      <c r="A600" s="1">
        <v>18</v>
      </c>
      <c r="B600" s="149" t="s">
        <v>792</v>
      </c>
      <c r="C600" s="150"/>
      <c r="D600" s="150"/>
      <c r="E600" s="150"/>
      <c r="F600" s="150"/>
      <c r="G600" s="150"/>
      <c r="H600" s="150"/>
      <c r="I600" s="150"/>
      <c r="J600" s="150"/>
      <c r="K600" s="150"/>
      <c r="L600" s="150"/>
      <c r="M600" s="150"/>
      <c r="N600" s="150"/>
      <c r="O600" s="150"/>
      <c r="P600" s="150"/>
      <c r="Q600" s="151"/>
    </row>
    <row r="601" spans="1:17" ht="18" x14ac:dyDescent="0.25">
      <c r="A601" s="1">
        <v>18</v>
      </c>
      <c r="B601" s="78"/>
      <c r="C601" s="41" t="s">
        <v>27</v>
      </c>
      <c r="D601" s="42"/>
      <c r="E601" s="43">
        <f>SUM(E602,E604:E615,E621:E627,E631:E654,E657:E663,E666:E670)</f>
        <v>34311.353000000017</v>
      </c>
      <c r="F601" s="44">
        <f t="shared" ref="F601:N601" si="52">SUM(F602,F604:F615,F621:F627,F631:F654,F657:F663,F666:F670)</f>
        <v>85778.381999999998</v>
      </c>
      <c r="G601" s="43">
        <f t="shared" si="52"/>
        <v>34311.353000000017</v>
      </c>
      <c r="H601" s="44">
        <f t="shared" si="52"/>
        <v>85778.381999999998</v>
      </c>
      <c r="I601" s="43">
        <f t="shared" si="52"/>
        <v>27754.601000000013</v>
      </c>
      <c r="J601" s="44">
        <f t="shared" si="52"/>
        <v>66417.31</v>
      </c>
      <c r="K601" s="43">
        <f t="shared" si="52"/>
        <v>27754.601650000008</v>
      </c>
      <c r="L601" s="44">
        <f t="shared" si="52"/>
        <v>66417.310070000007</v>
      </c>
      <c r="M601" s="43">
        <f t="shared" si="52"/>
        <v>0</v>
      </c>
      <c r="N601" s="44">
        <f t="shared" si="52"/>
        <v>0</v>
      </c>
      <c r="O601" s="47"/>
      <c r="P601" s="48">
        <v>36</v>
      </c>
      <c r="Q601" s="49"/>
    </row>
    <row r="602" spans="1:17" ht="18" x14ac:dyDescent="0.25">
      <c r="A602" s="1">
        <v>18</v>
      </c>
      <c r="B602" s="79"/>
      <c r="C602" s="50" t="s">
        <v>24</v>
      </c>
      <c r="D602" s="51"/>
      <c r="E602" s="52">
        <v>0</v>
      </c>
      <c r="F602" s="53">
        <v>0</v>
      </c>
      <c r="G602" s="52">
        <v>0</v>
      </c>
      <c r="H602" s="53">
        <f>2450-2450</f>
        <v>0</v>
      </c>
      <c r="I602" s="52"/>
      <c r="J602" s="53"/>
      <c r="K602" s="52"/>
      <c r="L602" s="53"/>
      <c r="M602" s="52"/>
      <c r="N602" s="53"/>
      <c r="O602" s="56"/>
      <c r="P602" s="30"/>
      <c r="Q602" s="31"/>
    </row>
    <row r="603" spans="1:17" ht="36" x14ac:dyDescent="0.25">
      <c r="A603" s="1">
        <v>18</v>
      </c>
      <c r="B603" s="79"/>
      <c r="C603" s="50" t="s">
        <v>25</v>
      </c>
      <c r="D603" s="51"/>
      <c r="E603" s="52">
        <f>SUM(E604:E615,E621:E627,E631:E654,E657:E663,E666:E670)</f>
        <v>34311.353000000017</v>
      </c>
      <c r="F603" s="53">
        <f t="shared" ref="F603:N603" si="53">SUM(F604:F615,F621:F627,F631:F654,F657:F663,F666:F670)</f>
        <v>85778.381999999998</v>
      </c>
      <c r="G603" s="52">
        <f t="shared" si="53"/>
        <v>34311.353000000017</v>
      </c>
      <c r="H603" s="53">
        <f t="shared" si="53"/>
        <v>85778.381999999998</v>
      </c>
      <c r="I603" s="52">
        <f t="shared" si="53"/>
        <v>27754.601000000013</v>
      </c>
      <c r="J603" s="53">
        <f t="shared" si="53"/>
        <v>66417.31</v>
      </c>
      <c r="K603" s="52">
        <f t="shared" si="53"/>
        <v>27754.601650000008</v>
      </c>
      <c r="L603" s="53">
        <f t="shared" si="53"/>
        <v>66417.310070000007</v>
      </c>
      <c r="M603" s="52">
        <f t="shared" si="53"/>
        <v>0</v>
      </c>
      <c r="N603" s="53">
        <f t="shared" si="53"/>
        <v>0</v>
      </c>
      <c r="O603" s="56"/>
      <c r="P603" s="30"/>
      <c r="Q603" s="31"/>
    </row>
    <row r="604" spans="1:17" ht="54" x14ac:dyDescent="0.25">
      <c r="A604" s="1">
        <v>18</v>
      </c>
      <c r="B604" s="57">
        <v>1</v>
      </c>
      <c r="C604" s="58" t="s">
        <v>793</v>
      </c>
      <c r="D604" s="59" t="s">
        <v>38</v>
      </c>
      <c r="E604" s="60">
        <v>700</v>
      </c>
      <c r="F604" s="61">
        <v>0</v>
      </c>
      <c r="G604" s="60">
        <v>700</v>
      </c>
      <c r="H604" s="61">
        <v>0</v>
      </c>
      <c r="I604" s="60">
        <v>700</v>
      </c>
      <c r="J604" s="61">
        <v>0</v>
      </c>
      <c r="K604" s="60">
        <v>700</v>
      </c>
      <c r="L604" s="61">
        <v>0</v>
      </c>
      <c r="M604" s="60">
        <v>0</v>
      </c>
      <c r="N604" s="61">
        <v>0</v>
      </c>
      <c r="O604" s="62" t="s">
        <v>52</v>
      </c>
      <c r="P604" s="63" t="s">
        <v>794</v>
      </c>
      <c r="Q604" s="64" t="s">
        <v>41</v>
      </c>
    </row>
    <row r="605" spans="1:17" ht="36" x14ac:dyDescent="0.25">
      <c r="A605" s="1">
        <v>18</v>
      </c>
      <c r="B605" s="57">
        <f>B604+1</f>
        <v>2</v>
      </c>
      <c r="C605" s="58" t="s">
        <v>795</v>
      </c>
      <c r="D605" s="59" t="s">
        <v>29</v>
      </c>
      <c r="E605" s="60">
        <v>4000</v>
      </c>
      <c r="F605" s="61">
        <v>0</v>
      </c>
      <c r="G605" s="60">
        <v>4000</v>
      </c>
      <c r="H605" s="61">
        <v>0</v>
      </c>
      <c r="I605" s="60">
        <v>3995.1370000000002</v>
      </c>
      <c r="J605" s="61">
        <v>0</v>
      </c>
      <c r="K605" s="60">
        <v>3995.1374000000001</v>
      </c>
      <c r="L605" s="61">
        <v>0</v>
      </c>
      <c r="M605" s="60">
        <v>0</v>
      </c>
      <c r="N605" s="61">
        <v>0</v>
      </c>
      <c r="O605" s="62" t="s">
        <v>48</v>
      </c>
      <c r="P605" s="63"/>
      <c r="Q605" s="64"/>
    </row>
    <row r="606" spans="1:17" ht="90" x14ac:dyDescent="0.25">
      <c r="A606" s="1">
        <v>18</v>
      </c>
      <c r="B606" s="57">
        <f t="shared" ref="B606:B663" si="54">B605+1</f>
        <v>3</v>
      </c>
      <c r="C606" s="58" t="s">
        <v>796</v>
      </c>
      <c r="D606" s="59">
        <v>2017</v>
      </c>
      <c r="E606" s="60">
        <f>5084.569-1308.347</f>
        <v>3776.2220000000007</v>
      </c>
      <c r="F606" s="61">
        <v>0</v>
      </c>
      <c r="G606" s="60">
        <v>3776.2220000000002</v>
      </c>
      <c r="H606" s="61">
        <v>0</v>
      </c>
      <c r="I606" s="60">
        <v>3772.5830000000001</v>
      </c>
      <c r="J606" s="61">
        <v>0</v>
      </c>
      <c r="K606" s="60">
        <v>3772.5834</v>
      </c>
      <c r="L606" s="61">
        <v>0</v>
      </c>
      <c r="M606" s="60">
        <v>0</v>
      </c>
      <c r="N606" s="61">
        <v>0</v>
      </c>
      <c r="O606" s="62" t="s">
        <v>52</v>
      </c>
      <c r="P606" s="63" t="s">
        <v>797</v>
      </c>
      <c r="Q606" s="64" t="s">
        <v>41</v>
      </c>
    </row>
    <row r="607" spans="1:17" ht="90" x14ac:dyDescent="0.25">
      <c r="A607" s="1">
        <v>18</v>
      </c>
      <c r="B607" s="57">
        <f t="shared" si="54"/>
        <v>4</v>
      </c>
      <c r="C607" s="58" t="s">
        <v>798</v>
      </c>
      <c r="D607" s="59">
        <v>2017</v>
      </c>
      <c r="E607" s="60">
        <v>1372</v>
      </c>
      <c r="F607" s="61">
        <v>0</v>
      </c>
      <c r="G607" s="60">
        <v>1372</v>
      </c>
      <c r="H607" s="61">
        <v>0</v>
      </c>
      <c r="I607" s="60">
        <v>1371.7090000000001</v>
      </c>
      <c r="J607" s="61">
        <v>0</v>
      </c>
      <c r="K607" s="60">
        <v>1371.7090000000001</v>
      </c>
      <c r="L607" s="61">
        <v>0</v>
      </c>
      <c r="M607" s="60">
        <v>0</v>
      </c>
      <c r="N607" s="61">
        <v>0</v>
      </c>
      <c r="O607" s="62" t="s">
        <v>52</v>
      </c>
      <c r="P607" s="63" t="s">
        <v>799</v>
      </c>
      <c r="Q607" s="64" t="s">
        <v>41</v>
      </c>
    </row>
    <row r="608" spans="1:17" ht="72" x14ac:dyDescent="0.25">
      <c r="A608" s="1">
        <v>18</v>
      </c>
      <c r="B608" s="57">
        <f t="shared" si="54"/>
        <v>5</v>
      </c>
      <c r="C608" s="58" t="s">
        <v>800</v>
      </c>
      <c r="D608" s="59">
        <v>2017</v>
      </c>
      <c r="E608" s="60">
        <f>1893.477-1893.477</f>
        <v>0</v>
      </c>
      <c r="F608" s="61">
        <f>0+1893.477</f>
        <v>1893.4770000000001</v>
      </c>
      <c r="G608" s="60">
        <v>0</v>
      </c>
      <c r="H608" s="61">
        <v>1893.4770000000001</v>
      </c>
      <c r="I608" s="60">
        <v>0</v>
      </c>
      <c r="J608" s="61">
        <v>0</v>
      </c>
      <c r="K608" s="60">
        <v>0</v>
      </c>
      <c r="L608" s="61">
        <v>0</v>
      </c>
      <c r="M608" s="60">
        <v>0</v>
      </c>
      <c r="N608" s="61">
        <v>0</v>
      </c>
      <c r="O608" s="62" t="s">
        <v>36</v>
      </c>
      <c r="P608" s="63"/>
      <c r="Q608" s="64"/>
    </row>
    <row r="609" spans="1:17" ht="126" x14ac:dyDescent="0.25">
      <c r="A609" s="1">
        <v>18</v>
      </c>
      <c r="B609" s="57">
        <f t="shared" si="54"/>
        <v>6</v>
      </c>
      <c r="C609" s="58" t="s">
        <v>801</v>
      </c>
      <c r="D609" s="59" t="s">
        <v>105</v>
      </c>
      <c r="E609" s="60">
        <v>0</v>
      </c>
      <c r="F609" s="61">
        <f>8215.561-854.82</f>
        <v>7360.741</v>
      </c>
      <c r="G609" s="60">
        <v>0</v>
      </c>
      <c r="H609" s="61">
        <v>7360.741</v>
      </c>
      <c r="I609" s="60">
        <v>0</v>
      </c>
      <c r="J609" s="61">
        <v>6136.4189999999999</v>
      </c>
      <c r="K609" s="60">
        <v>0</v>
      </c>
      <c r="L609" s="61">
        <v>6136.4189999999999</v>
      </c>
      <c r="M609" s="60">
        <v>0</v>
      </c>
      <c r="N609" s="61">
        <v>0</v>
      </c>
      <c r="O609" s="62" t="s">
        <v>36</v>
      </c>
      <c r="P609" s="63"/>
      <c r="Q609" s="64"/>
    </row>
    <row r="610" spans="1:17" ht="72" x14ac:dyDescent="0.25">
      <c r="A610" s="1">
        <v>18</v>
      </c>
      <c r="B610" s="57">
        <f t="shared" si="54"/>
        <v>7</v>
      </c>
      <c r="C610" s="58" t="s">
        <v>802</v>
      </c>
      <c r="D610" s="59">
        <v>2017</v>
      </c>
      <c r="E610" s="60">
        <v>0</v>
      </c>
      <c r="F610" s="61">
        <f>788.792-238.132</f>
        <v>550.66000000000008</v>
      </c>
      <c r="G610" s="60">
        <v>0</v>
      </c>
      <c r="H610" s="61">
        <v>550.66</v>
      </c>
      <c r="I610" s="60">
        <v>0</v>
      </c>
      <c r="J610" s="61">
        <v>548.25</v>
      </c>
      <c r="K610" s="60">
        <v>0</v>
      </c>
      <c r="L610" s="61">
        <v>548.24996999999996</v>
      </c>
      <c r="M610" s="60">
        <v>0</v>
      </c>
      <c r="N610" s="61">
        <v>0</v>
      </c>
      <c r="O610" s="62" t="s">
        <v>52</v>
      </c>
      <c r="P610" s="63" t="s">
        <v>803</v>
      </c>
      <c r="Q610" s="64" t="s">
        <v>527</v>
      </c>
    </row>
    <row r="611" spans="1:17" ht="72" x14ac:dyDescent="0.25">
      <c r="A611" s="1">
        <v>18</v>
      </c>
      <c r="B611" s="57">
        <f t="shared" si="54"/>
        <v>8</v>
      </c>
      <c r="C611" s="58" t="s">
        <v>804</v>
      </c>
      <c r="D611" s="59" t="s">
        <v>805</v>
      </c>
      <c r="E611" s="60">
        <f>27985-18374.045</f>
        <v>9610.9550000000017</v>
      </c>
      <c r="F611" s="61">
        <v>18374.044999999998</v>
      </c>
      <c r="G611" s="60">
        <v>9610.9549999999999</v>
      </c>
      <c r="H611" s="61">
        <v>18374.044999999998</v>
      </c>
      <c r="I611" s="60">
        <v>8855.8490000000002</v>
      </c>
      <c r="J611" s="61">
        <v>11239.346</v>
      </c>
      <c r="K611" s="60">
        <v>8855.8493999999992</v>
      </c>
      <c r="L611" s="61">
        <v>11239.345499999999</v>
      </c>
      <c r="M611" s="60">
        <v>0</v>
      </c>
      <c r="N611" s="61">
        <v>0</v>
      </c>
      <c r="O611" s="62" t="s">
        <v>48</v>
      </c>
      <c r="P611" s="63"/>
      <c r="Q611" s="64"/>
    </row>
    <row r="612" spans="1:17" ht="90" x14ac:dyDescent="0.25">
      <c r="A612" s="1">
        <v>18</v>
      </c>
      <c r="B612" s="57">
        <f t="shared" si="54"/>
        <v>9</v>
      </c>
      <c r="C612" s="58" t="s">
        <v>806</v>
      </c>
      <c r="D612" s="59" t="s">
        <v>29</v>
      </c>
      <c r="E612" s="60">
        <v>0</v>
      </c>
      <c r="F612" s="61">
        <v>5000</v>
      </c>
      <c r="G612" s="60">
        <v>0</v>
      </c>
      <c r="H612" s="61">
        <v>5000</v>
      </c>
      <c r="I612" s="60">
        <v>0</v>
      </c>
      <c r="J612" s="61">
        <v>4823.3810000000003</v>
      </c>
      <c r="K612" s="60">
        <v>0</v>
      </c>
      <c r="L612" s="61">
        <v>4823.3810000000003</v>
      </c>
      <c r="M612" s="60">
        <v>0</v>
      </c>
      <c r="N612" s="61">
        <v>0</v>
      </c>
      <c r="O612" s="62" t="s">
        <v>116</v>
      </c>
      <c r="P612" s="63"/>
      <c r="Q612" s="64"/>
    </row>
    <row r="613" spans="1:17" ht="60" x14ac:dyDescent="0.25">
      <c r="A613" s="1">
        <v>18</v>
      </c>
      <c r="B613" s="57">
        <f t="shared" si="54"/>
        <v>10</v>
      </c>
      <c r="C613" s="58" t="s">
        <v>807</v>
      </c>
      <c r="D613" s="59">
        <v>2017</v>
      </c>
      <c r="E613" s="60">
        <v>0</v>
      </c>
      <c r="F613" s="61">
        <v>550</v>
      </c>
      <c r="G613" s="60">
        <v>0</v>
      </c>
      <c r="H613" s="61">
        <v>550</v>
      </c>
      <c r="I613" s="60">
        <v>0</v>
      </c>
      <c r="J613" s="61">
        <v>550</v>
      </c>
      <c r="K613" s="60">
        <v>0</v>
      </c>
      <c r="L613" s="61">
        <v>550</v>
      </c>
      <c r="M613" s="60">
        <v>0</v>
      </c>
      <c r="N613" s="61">
        <v>0</v>
      </c>
      <c r="O613" s="62" t="s">
        <v>106</v>
      </c>
      <c r="P613" s="63" t="s">
        <v>808</v>
      </c>
      <c r="Q613" s="64" t="s">
        <v>809</v>
      </c>
    </row>
    <row r="614" spans="1:17" ht="36" x14ac:dyDescent="0.25">
      <c r="A614" s="1">
        <v>18</v>
      </c>
      <c r="B614" s="57">
        <f t="shared" si="54"/>
        <v>11</v>
      </c>
      <c r="C614" s="58" t="s">
        <v>810</v>
      </c>
      <c r="D614" s="59">
        <v>2017</v>
      </c>
      <c r="E614" s="60">
        <v>0</v>
      </c>
      <c r="F614" s="61">
        <v>2962.672</v>
      </c>
      <c r="G614" s="60">
        <v>0</v>
      </c>
      <c r="H614" s="61">
        <v>2962.672</v>
      </c>
      <c r="I614" s="60">
        <v>0</v>
      </c>
      <c r="J614" s="61">
        <v>2765.9369999999999</v>
      </c>
      <c r="K614" s="60">
        <v>0</v>
      </c>
      <c r="L614" s="61">
        <v>2765.9369999999999</v>
      </c>
      <c r="M614" s="60">
        <v>0</v>
      </c>
      <c r="N614" s="61">
        <v>0</v>
      </c>
      <c r="O614" s="62" t="s">
        <v>52</v>
      </c>
      <c r="P614" s="63" t="s">
        <v>257</v>
      </c>
      <c r="Q614" s="64" t="s">
        <v>41</v>
      </c>
    </row>
    <row r="615" spans="1:17" ht="69" x14ac:dyDescent="0.25">
      <c r="A615" s="1">
        <v>18</v>
      </c>
      <c r="B615" s="57">
        <f t="shared" si="54"/>
        <v>12</v>
      </c>
      <c r="C615" s="107" t="s">
        <v>811</v>
      </c>
      <c r="D615" s="108">
        <v>2017</v>
      </c>
      <c r="E615" s="109">
        <f>SUM(E616:E620)</f>
        <v>0</v>
      </c>
      <c r="F615" s="110">
        <f t="shared" ref="F615:N615" si="55">SUM(F616:F620)</f>
        <v>2698</v>
      </c>
      <c r="G615" s="109">
        <f t="shared" si="55"/>
        <v>0</v>
      </c>
      <c r="H615" s="110">
        <f t="shared" si="55"/>
        <v>2698</v>
      </c>
      <c r="I615" s="109">
        <f t="shared" si="55"/>
        <v>0</v>
      </c>
      <c r="J615" s="110">
        <f t="shared" si="55"/>
        <v>2580.3429999999998</v>
      </c>
      <c r="K615" s="109">
        <f t="shared" si="55"/>
        <v>0</v>
      </c>
      <c r="L615" s="110">
        <f t="shared" si="55"/>
        <v>2580.3429999999998</v>
      </c>
      <c r="M615" s="109">
        <f t="shared" si="55"/>
        <v>0</v>
      </c>
      <c r="N615" s="110">
        <f t="shared" si="55"/>
        <v>0</v>
      </c>
      <c r="O615" s="111" t="s">
        <v>52</v>
      </c>
      <c r="P615" s="112"/>
      <c r="Q615" s="113" t="s">
        <v>812</v>
      </c>
    </row>
    <row r="616" spans="1:17" ht="93.75" x14ac:dyDescent="0.25">
      <c r="A616" s="1">
        <v>18</v>
      </c>
      <c r="B616" s="114"/>
      <c r="C616" s="115" t="s">
        <v>813</v>
      </c>
      <c r="D616" s="116">
        <v>2017</v>
      </c>
      <c r="E616" s="117">
        <v>0</v>
      </c>
      <c r="F616" s="118">
        <v>612</v>
      </c>
      <c r="G616" s="117">
        <v>0</v>
      </c>
      <c r="H616" s="118">
        <v>612</v>
      </c>
      <c r="I616" s="117">
        <v>0</v>
      </c>
      <c r="J616" s="118">
        <v>601.524</v>
      </c>
      <c r="K616" s="117">
        <v>0</v>
      </c>
      <c r="L616" s="118">
        <v>601.524</v>
      </c>
      <c r="M616" s="117">
        <v>0</v>
      </c>
      <c r="N616" s="118">
        <v>0</v>
      </c>
      <c r="O616" s="62" t="s">
        <v>52</v>
      </c>
      <c r="P616" s="126" t="s">
        <v>280</v>
      </c>
      <c r="Q616" s="127" t="s">
        <v>41</v>
      </c>
    </row>
    <row r="617" spans="1:17" ht="93.75" x14ac:dyDescent="0.25">
      <c r="A617" s="1">
        <v>18</v>
      </c>
      <c r="B617" s="114"/>
      <c r="C617" s="115" t="s">
        <v>814</v>
      </c>
      <c r="D617" s="116">
        <v>2017</v>
      </c>
      <c r="E617" s="117">
        <v>0</v>
      </c>
      <c r="F617" s="118">
        <v>446</v>
      </c>
      <c r="G617" s="117">
        <v>0</v>
      </c>
      <c r="H617" s="118">
        <v>446</v>
      </c>
      <c r="I617" s="117">
        <v>0</v>
      </c>
      <c r="J617" s="118">
        <v>426.88200000000001</v>
      </c>
      <c r="K617" s="117">
        <v>0</v>
      </c>
      <c r="L617" s="118">
        <v>426.88200000000001</v>
      </c>
      <c r="M617" s="117">
        <v>0</v>
      </c>
      <c r="N617" s="118">
        <v>0</v>
      </c>
      <c r="O617" s="62" t="s">
        <v>52</v>
      </c>
      <c r="P617" s="126" t="s">
        <v>196</v>
      </c>
      <c r="Q617" s="127" t="s">
        <v>41</v>
      </c>
    </row>
    <row r="618" spans="1:17" ht="75" x14ac:dyDescent="0.25">
      <c r="A618" s="1">
        <v>18</v>
      </c>
      <c r="B618" s="114"/>
      <c r="C618" s="115" t="s">
        <v>815</v>
      </c>
      <c r="D618" s="116">
        <v>2017</v>
      </c>
      <c r="E618" s="117">
        <v>0</v>
      </c>
      <c r="F618" s="118">
        <v>575</v>
      </c>
      <c r="G618" s="117">
        <v>0</v>
      </c>
      <c r="H618" s="118">
        <v>575</v>
      </c>
      <c r="I618" s="117">
        <v>0</v>
      </c>
      <c r="J618" s="118">
        <v>519.00099999999998</v>
      </c>
      <c r="K618" s="117">
        <v>0</v>
      </c>
      <c r="L618" s="118">
        <v>519</v>
      </c>
      <c r="M618" s="117">
        <v>0</v>
      </c>
      <c r="N618" s="118">
        <v>0</v>
      </c>
      <c r="O618" s="62" t="s">
        <v>52</v>
      </c>
      <c r="P618" s="126" t="s">
        <v>118</v>
      </c>
      <c r="Q618" s="127" t="s">
        <v>41</v>
      </c>
    </row>
    <row r="619" spans="1:17" ht="75" x14ac:dyDescent="0.25">
      <c r="A619" s="1">
        <v>18</v>
      </c>
      <c r="B619" s="114"/>
      <c r="C619" s="115" t="s">
        <v>816</v>
      </c>
      <c r="D619" s="116">
        <v>2017</v>
      </c>
      <c r="E619" s="117">
        <v>0</v>
      </c>
      <c r="F619" s="118">
        <v>267</v>
      </c>
      <c r="G619" s="117">
        <v>0</v>
      </c>
      <c r="H619" s="118">
        <v>267</v>
      </c>
      <c r="I619" s="117">
        <v>0</v>
      </c>
      <c r="J619" s="118">
        <v>246.36099999999999</v>
      </c>
      <c r="K619" s="117">
        <v>0</v>
      </c>
      <c r="L619" s="118">
        <v>246.36199999999999</v>
      </c>
      <c r="M619" s="117">
        <v>0</v>
      </c>
      <c r="N619" s="118">
        <v>0</v>
      </c>
      <c r="O619" s="62" t="s">
        <v>52</v>
      </c>
      <c r="P619" s="126" t="s">
        <v>196</v>
      </c>
      <c r="Q619" s="127" t="s">
        <v>41</v>
      </c>
    </row>
    <row r="620" spans="1:17" ht="112.5" x14ac:dyDescent="0.25">
      <c r="A620" s="1">
        <v>18</v>
      </c>
      <c r="B620" s="114"/>
      <c r="C620" s="115" t="s">
        <v>817</v>
      </c>
      <c r="D620" s="116">
        <v>2017</v>
      </c>
      <c r="E620" s="117">
        <v>0</v>
      </c>
      <c r="F620" s="118">
        <v>798</v>
      </c>
      <c r="G620" s="117">
        <v>0</v>
      </c>
      <c r="H620" s="118">
        <v>798</v>
      </c>
      <c r="I620" s="117">
        <v>0</v>
      </c>
      <c r="J620" s="118">
        <v>786.57500000000005</v>
      </c>
      <c r="K620" s="117">
        <v>0</v>
      </c>
      <c r="L620" s="118">
        <v>786.57500000000005</v>
      </c>
      <c r="M620" s="117">
        <v>0</v>
      </c>
      <c r="N620" s="118">
        <v>0</v>
      </c>
      <c r="O620" s="62" t="s">
        <v>52</v>
      </c>
      <c r="P620" s="126" t="s">
        <v>196</v>
      </c>
      <c r="Q620" s="127" t="s">
        <v>41</v>
      </c>
    </row>
    <row r="621" spans="1:17" ht="90" x14ac:dyDescent="0.25">
      <c r="A621" s="1">
        <v>18</v>
      </c>
      <c r="B621" s="57">
        <v>13</v>
      </c>
      <c r="C621" s="58" t="s">
        <v>818</v>
      </c>
      <c r="D621" s="59">
        <v>2017</v>
      </c>
      <c r="E621" s="60">
        <v>0</v>
      </c>
      <c r="F621" s="61">
        <v>4000</v>
      </c>
      <c r="G621" s="60">
        <v>0</v>
      </c>
      <c r="H621" s="61">
        <v>4000</v>
      </c>
      <c r="I621" s="60">
        <v>0</v>
      </c>
      <c r="J621" s="61">
        <v>3213.5639999999999</v>
      </c>
      <c r="K621" s="60">
        <v>0</v>
      </c>
      <c r="L621" s="61">
        <v>3213.5639999999999</v>
      </c>
      <c r="M621" s="60">
        <v>0</v>
      </c>
      <c r="N621" s="61">
        <v>0</v>
      </c>
      <c r="O621" s="62" t="s">
        <v>36</v>
      </c>
      <c r="P621" s="63"/>
      <c r="Q621" s="64"/>
    </row>
    <row r="622" spans="1:17" ht="90" x14ac:dyDescent="0.25">
      <c r="A622" s="1">
        <v>18</v>
      </c>
      <c r="B622" s="57">
        <f t="shared" si="54"/>
        <v>14</v>
      </c>
      <c r="C622" s="58" t="s">
        <v>819</v>
      </c>
      <c r="D622" s="59">
        <v>2017</v>
      </c>
      <c r="E622" s="60">
        <v>0</v>
      </c>
      <c r="F622" s="61">
        <v>4000</v>
      </c>
      <c r="G622" s="60">
        <v>0</v>
      </c>
      <c r="H622" s="61">
        <v>4000</v>
      </c>
      <c r="I622" s="60">
        <v>0</v>
      </c>
      <c r="J622" s="61">
        <v>4000</v>
      </c>
      <c r="K622" s="60">
        <v>0</v>
      </c>
      <c r="L622" s="61">
        <v>4000</v>
      </c>
      <c r="M622" s="60">
        <v>0</v>
      </c>
      <c r="N622" s="61">
        <v>0</v>
      </c>
      <c r="O622" s="62" t="s">
        <v>36</v>
      </c>
      <c r="P622" s="63"/>
      <c r="Q622" s="64"/>
    </row>
    <row r="623" spans="1:17" ht="90" x14ac:dyDescent="0.25">
      <c r="A623" s="1">
        <v>18</v>
      </c>
      <c r="B623" s="57">
        <f t="shared" si="54"/>
        <v>15</v>
      </c>
      <c r="C623" s="58" t="s">
        <v>820</v>
      </c>
      <c r="D623" s="59">
        <v>2017</v>
      </c>
      <c r="E623" s="60">
        <v>0</v>
      </c>
      <c r="F623" s="61">
        <v>1043</v>
      </c>
      <c r="G623" s="60">
        <v>0</v>
      </c>
      <c r="H623" s="61">
        <v>1043</v>
      </c>
      <c r="I623" s="60">
        <v>0</v>
      </c>
      <c r="J623" s="61">
        <v>1043</v>
      </c>
      <c r="K623" s="60">
        <v>0</v>
      </c>
      <c r="L623" s="61">
        <v>1043</v>
      </c>
      <c r="M623" s="60">
        <v>0</v>
      </c>
      <c r="N623" s="61">
        <v>0</v>
      </c>
      <c r="O623" s="62" t="s">
        <v>52</v>
      </c>
      <c r="P623" s="63" t="s">
        <v>821</v>
      </c>
      <c r="Q623" s="64" t="s">
        <v>41</v>
      </c>
    </row>
    <row r="624" spans="1:17" ht="90" x14ac:dyDescent="0.25">
      <c r="A624" s="1">
        <v>18</v>
      </c>
      <c r="B624" s="57">
        <f t="shared" si="54"/>
        <v>16</v>
      </c>
      <c r="C624" s="58" t="s">
        <v>822</v>
      </c>
      <c r="D624" s="59" t="s">
        <v>38</v>
      </c>
      <c r="E624" s="60">
        <v>0</v>
      </c>
      <c r="F624" s="61">
        <v>385</v>
      </c>
      <c r="G624" s="60">
        <v>0</v>
      </c>
      <c r="H624" s="61">
        <v>385</v>
      </c>
      <c r="I624" s="60">
        <v>0</v>
      </c>
      <c r="J624" s="61">
        <v>376.58600000000001</v>
      </c>
      <c r="K624" s="60">
        <v>0</v>
      </c>
      <c r="L624" s="61">
        <v>376.58659999999998</v>
      </c>
      <c r="M624" s="60">
        <v>0</v>
      </c>
      <c r="N624" s="61">
        <v>0</v>
      </c>
      <c r="O624" s="62" t="s">
        <v>52</v>
      </c>
      <c r="P624" s="63" t="s">
        <v>244</v>
      </c>
      <c r="Q624" s="64" t="s">
        <v>41</v>
      </c>
    </row>
    <row r="625" spans="1:17" ht="72" x14ac:dyDescent="0.25">
      <c r="A625" s="1">
        <v>18</v>
      </c>
      <c r="B625" s="57">
        <f t="shared" si="54"/>
        <v>17</v>
      </c>
      <c r="C625" s="58" t="s">
        <v>823</v>
      </c>
      <c r="D625" s="59">
        <v>2017</v>
      </c>
      <c r="E625" s="60">
        <v>0</v>
      </c>
      <c r="F625" s="61">
        <v>1065.7239999999999</v>
      </c>
      <c r="G625" s="60">
        <v>0</v>
      </c>
      <c r="H625" s="61">
        <v>1065.7239999999999</v>
      </c>
      <c r="I625" s="60">
        <v>0</v>
      </c>
      <c r="J625" s="61">
        <v>1050.856</v>
      </c>
      <c r="K625" s="60">
        <v>0</v>
      </c>
      <c r="L625" s="61">
        <v>1050.856</v>
      </c>
      <c r="M625" s="60">
        <v>0</v>
      </c>
      <c r="N625" s="61">
        <v>0</v>
      </c>
      <c r="O625" s="62" t="s">
        <v>52</v>
      </c>
      <c r="P625" s="63" t="s">
        <v>824</v>
      </c>
      <c r="Q625" s="64" t="s">
        <v>41</v>
      </c>
    </row>
    <row r="626" spans="1:17" ht="198" x14ac:dyDescent="0.25">
      <c r="A626" s="1">
        <v>18</v>
      </c>
      <c r="B626" s="57">
        <f t="shared" si="54"/>
        <v>18</v>
      </c>
      <c r="C626" s="58" t="s">
        <v>825</v>
      </c>
      <c r="D626" s="59">
        <v>2017</v>
      </c>
      <c r="E626" s="60">
        <v>0</v>
      </c>
      <c r="F626" s="61">
        <v>513</v>
      </c>
      <c r="G626" s="60">
        <v>0</v>
      </c>
      <c r="H626" s="61">
        <v>513</v>
      </c>
      <c r="I626" s="60">
        <v>0</v>
      </c>
      <c r="J626" s="61">
        <v>512.91</v>
      </c>
      <c r="K626" s="60">
        <v>0</v>
      </c>
      <c r="L626" s="61">
        <v>512.91</v>
      </c>
      <c r="M626" s="60">
        <v>0</v>
      </c>
      <c r="N626" s="61">
        <v>0</v>
      </c>
      <c r="O626" s="62" t="s">
        <v>52</v>
      </c>
      <c r="P626" s="63" t="s">
        <v>826</v>
      </c>
      <c r="Q626" s="64" t="s">
        <v>108</v>
      </c>
    </row>
    <row r="627" spans="1:17" ht="86.25" x14ac:dyDescent="0.25">
      <c r="A627" s="1">
        <v>18</v>
      </c>
      <c r="B627" s="57">
        <f t="shared" si="54"/>
        <v>19</v>
      </c>
      <c r="C627" s="107" t="s">
        <v>827</v>
      </c>
      <c r="D627" s="108">
        <v>2017</v>
      </c>
      <c r="E627" s="109">
        <f>SUM(E628:E630)</f>
        <v>0</v>
      </c>
      <c r="F627" s="110">
        <f t="shared" ref="F627:N627" si="56">SUM(F628:F630)</f>
        <v>1574.7670000000001</v>
      </c>
      <c r="G627" s="109">
        <f t="shared" si="56"/>
        <v>0</v>
      </c>
      <c r="H627" s="110">
        <f t="shared" si="56"/>
        <v>1574.7670000000001</v>
      </c>
      <c r="I627" s="109">
        <f t="shared" si="56"/>
        <v>0</v>
      </c>
      <c r="J627" s="110">
        <f t="shared" si="56"/>
        <v>1454.011</v>
      </c>
      <c r="K627" s="109">
        <f t="shared" si="56"/>
        <v>0</v>
      </c>
      <c r="L627" s="110">
        <f t="shared" si="56"/>
        <v>1454.011</v>
      </c>
      <c r="M627" s="109">
        <f t="shared" si="56"/>
        <v>0</v>
      </c>
      <c r="N627" s="110">
        <f t="shared" si="56"/>
        <v>0</v>
      </c>
      <c r="O627" s="111" t="s">
        <v>52</v>
      </c>
      <c r="P627" s="112"/>
      <c r="Q627" s="113" t="s">
        <v>812</v>
      </c>
    </row>
    <row r="628" spans="1:17" ht="75" x14ac:dyDescent="0.25">
      <c r="A628" s="1">
        <v>18</v>
      </c>
      <c r="B628" s="114"/>
      <c r="C628" s="115" t="s">
        <v>828</v>
      </c>
      <c r="D628" s="116">
        <v>2017</v>
      </c>
      <c r="E628" s="117">
        <v>0</v>
      </c>
      <c r="F628" s="118">
        <v>667.39400000000001</v>
      </c>
      <c r="G628" s="117">
        <v>0</v>
      </c>
      <c r="H628" s="118">
        <v>667.39400000000001</v>
      </c>
      <c r="I628" s="117">
        <v>0</v>
      </c>
      <c r="J628" s="118">
        <v>655.9</v>
      </c>
      <c r="K628" s="117">
        <v>0</v>
      </c>
      <c r="L628" s="118">
        <v>655.9</v>
      </c>
      <c r="M628" s="117">
        <v>0</v>
      </c>
      <c r="N628" s="118">
        <v>0</v>
      </c>
      <c r="O628" s="62" t="s">
        <v>52</v>
      </c>
      <c r="P628" s="126" t="s">
        <v>273</v>
      </c>
      <c r="Q628" s="127" t="s">
        <v>41</v>
      </c>
    </row>
    <row r="629" spans="1:17" ht="93.75" x14ac:dyDescent="0.25">
      <c r="A629" s="1">
        <v>18</v>
      </c>
      <c r="B629" s="114"/>
      <c r="C629" s="115" t="s">
        <v>829</v>
      </c>
      <c r="D629" s="116">
        <v>2017</v>
      </c>
      <c r="E629" s="117">
        <v>0</v>
      </c>
      <c r="F629" s="118">
        <v>690.72299999999996</v>
      </c>
      <c r="G629" s="117">
        <v>0</v>
      </c>
      <c r="H629" s="118">
        <v>690.72299999999996</v>
      </c>
      <c r="I629" s="117">
        <v>0</v>
      </c>
      <c r="J629" s="118">
        <v>589.60199999999998</v>
      </c>
      <c r="K629" s="117">
        <v>0</v>
      </c>
      <c r="L629" s="118">
        <v>589.60199999999998</v>
      </c>
      <c r="M629" s="117">
        <v>0</v>
      </c>
      <c r="N629" s="118">
        <v>0</v>
      </c>
      <c r="O629" s="62" t="s">
        <v>52</v>
      </c>
      <c r="P629" s="63" t="s">
        <v>830</v>
      </c>
      <c r="Q629" s="64" t="s">
        <v>831</v>
      </c>
    </row>
    <row r="630" spans="1:17" ht="93.75" x14ac:dyDescent="0.25">
      <c r="A630" s="1">
        <v>18</v>
      </c>
      <c r="B630" s="114"/>
      <c r="C630" s="115" t="s">
        <v>832</v>
      </c>
      <c r="D630" s="116">
        <v>2017</v>
      </c>
      <c r="E630" s="117">
        <v>0</v>
      </c>
      <c r="F630" s="118">
        <v>216.65</v>
      </c>
      <c r="G630" s="117">
        <v>0</v>
      </c>
      <c r="H630" s="118">
        <v>216.65</v>
      </c>
      <c r="I630" s="117">
        <v>0</v>
      </c>
      <c r="J630" s="118">
        <v>208.50899999999999</v>
      </c>
      <c r="K630" s="117">
        <v>0</v>
      </c>
      <c r="L630" s="118">
        <v>208.50899999999999</v>
      </c>
      <c r="M630" s="117">
        <v>0</v>
      </c>
      <c r="N630" s="118">
        <v>0</v>
      </c>
      <c r="O630" s="62" t="s">
        <v>106</v>
      </c>
      <c r="P630" s="63" t="s">
        <v>833</v>
      </c>
      <c r="Q630" s="64" t="s">
        <v>834</v>
      </c>
    </row>
    <row r="631" spans="1:17" ht="108" x14ac:dyDescent="0.25">
      <c r="A631" s="1">
        <v>18</v>
      </c>
      <c r="B631" s="57">
        <v>20</v>
      </c>
      <c r="C631" s="58" t="s">
        <v>835</v>
      </c>
      <c r="D631" s="59">
        <v>2017</v>
      </c>
      <c r="E631" s="60">
        <v>0</v>
      </c>
      <c r="F631" s="61">
        <f>2500-268.599</f>
        <v>2231.4009999999998</v>
      </c>
      <c r="G631" s="60">
        <v>0</v>
      </c>
      <c r="H631" s="61">
        <v>2231.4009999999998</v>
      </c>
      <c r="I631" s="60">
        <v>0</v>
      </c>
      <c r="J631" s="61">
        <v>1984.269</v>
      </c>
      <c r="K631" s="60">
        <v>0</v>
      </c>
      <c r="L631" s="61">
        <v>1984.269</v>
      </c>
      <c r="M631" s="60">
        <v>0</v>
      </c>
      <c r="N631" s="61">
        <v>0</v>
      </c>
      <c r="O631" s="62" t="s">
        <v>52</v>
      </c>
      <c r="P631" s="63" t="s">
        <v>836</v>
      </c>
      <c r="Q631" s="64" t="s">
        <v>41</v>
      </c>
    </row>
    <row r="632" spans="1:17" ht="72" x14ac:dyDescent="0.25">
      <c r="A632" s="1">
        <v>18</v>
      </c>
      <c r="B632" s="57">
        <f t="shared" si="54"/>
        <v>21</v>
      </c>
      <c r="C632" s="58" t="s">
        <v>837</v>
      </c>
      <c r="D632" s="59">
        <v>2017</v>
      </c>
      <c r="E632" s="60">
        <v>0</v>
      </c>
      <c r="F632" s="61">
        <v>752.745</v>
      </c>
      <c r="G632" s="60">
        <v>0</v>
      </c>
      <c r="H632" s="61">
        <v>752.745</v>
      </c>
      <c r="I632" s="60">
        <v>0</v>
      </c>
      <c r="J632" s="61">
        <v>715.899</v>
      </c>
      <c r="K632" s="60">
        <v>0</v>
      </c>
      <c r="L632" s="61">
        <v>715.899</v>
      </c>
      <c r="M632" s="60">
        <v>0</v>
      </c>
      <c r="N632" s="61">
        <v>0</v>
      </c>
      <c r="O632" s="62" t="s">
        <v>52</v>
      </c>
      <c r="P632" s="63" t="s">
        <v>838</v>
      </c>
      <c r="Q632" s="64" t="s">
        <v>41</v>
      </c>
    </row>
    <row r="633" spans="1:17" ht="54" x14ac:dyDescent="0.25">
      <c r="A633" s="1">
        <v>18</v>
      </c>
      <c r="B633" s="57">
        <f t="shared" si="54"/>
        <v>22</v>
      </c>
      <c r="C633" s="58" t="s">
        <v>839</v>
      </c>
      <c r="D633" s="59" t="s">
        <v>105</v>
      </c>
      <c r="E633" s="60">
        <v>0</v>
      </c>
      <c r="F633" s="61">
        <v>1186</v>
      </c>
      <c r="G633" s="60">
        <v>0</v>
      </c>
      <c r="H633" s="61">
        <v>1186</v>
      </c>
      <c r="I633" s="60">
        <v>0</v>
      </c>
      <c r="J633" s="61">
        <v>1174.1220000000001</v>
      </c>
      <c r="K633" s="60">
        <v>0</v>
      </c>
      <c r="L633" s="61">
        <v>1174.1220000000001</v>
      </c>
      <c r="M633" s="60">
        <v>0</v>
      </c>
      <c r="N633" s="61">
        <v>0</v>
      </c>
      <c r="O633" s="62" t="s">
        <v>52</v>
      </c>
      <c r="P633" s="63" t="s">
        <v>840</v>
      </c>
      <c r="Q633" s="64" t="s">
        <v>41</v>
      </c>
    </row>
    <row r="634" spans="1:17" ht="54" x14ac:dyDescent="0.25">
      <c r="A634" s="1">
        <v>18</v>
      </c>
      <c r="B634" s="57">
        <f t="shared" si="54"/>
        <v>23</v>
      </c>
      <c r="C634" s="58" t="s">
        <v>841</v>
      </c>
      <c r="D634" s="59" t="s">
        <v>105</v>
      </c>
      <c r="E634" s="60">
        <v>0</v>
      </c>
      <c r="F634" s="61">
        <v>800</v>
      </c>
      <c r="G634" s="60">
        <v>0</v>
      </c>
      <c r="H634" s="61">
        <v>800</v>
      </c>
      <c r="I634" s="60">
        <v>0</v>
      </c>
      <c r="J634" s="61">
        <v>800</v>
      </c>
      <c r="K634" s="60">
        <v>0</v>
      </c>
      <c r="L634" s="61">
        <v>800</v>
      </c>
      <c r="M634" s="60">
        <v>0</v>
      </c>
      <c r="N634" s="61">
        <v>0</v>
      </c>
      <c r="O634" s="62" t="s">
        <v>52</v>
      </c>
      <c r="P634" s="63" t="s">
        <v>491</v>
      </c>
      <c r="Q634" s="64" t="s">
        <v>41</v>
      </c>
    </row>
    <row r="635" spans="1:17" ht="54" x14ac:dyDescent="0.25">
      <c r="A635" s="1">
        <v>18</v>
      </c>
      <c r="B635" s="57">
        <f t="shared" si="54"/>
        <v>24</v>
      </c>
      <c r="C635" s="58" t="s">
        <v>842</v>
      </c>
      <c r="D635" s="59" t="s">
        <v>105</v>
      </c>
      <c r="E635" s="60">
        <v>1160</v>
      </c>
      <c r="F635" s="61">
        <v>0</v>
      </c>
      <c r="G635" s="60">
        <v>1160</v>
      </c>
      <c r="H635" s="61">
        <v>0</v>
      </c>
      <c r="I635" s="60">
        <v>1160</v>
      </c>
      <c r="J635" s="61">
        <v>0</v>
      </c>
      <c r="K635" s="60">
        <v>1160</v>
      </c>
      <c r="L635" s="61">
        <v>0</v>
      </c>
      <c r="M635" s="60">
        <v>0</v>
      </c>
      <c r="N635" s="61">
        <v>0</v>
      </c>
      <c r="O635" s="62" t="s">
        <v>52</v>
      </c>
      <c r="P635" s="63" t="s">
        <v>843</v>
      </c>
      <c r="Q635" s="64" t="s">
        <v>41</v>
      </c>
    </row>
    <row r="636" spans="1:17" ht="72" x14ac:dyDescent="0.25">
      <c r="A636" s="1">
        <v>18</v>
      </c>
      <c r="B636" s="57">
        <f t="shared" si="54"/>
        <v>25</v>
      </c>
      <c r="C636" s="58" t="s">
        <v>844</v>
      </c>
      <c r="D636" s="59" t="s">
        <v>105</v>
      </c>
      <c r="E636" s="60">
        <v>0</v>
      </c>
      <c r="F636" s="61">
        <v>231</v>
      </c>
      <c r="G636" s="60">
        <v>0</v>
      </c>
      <c r="H636" s="61">
        <v>231</v>
      </c>
      <c r="I636" s="60">
        <v>0</v>
      </c>
      <c r="J636" s="61">
        <v>231</v>
      </c>
      <c r="K636" s="60">
        <v>0</v>
      </c>
      <c r="L636" s="61">
        <v>231</v>
      </c>
      <c r="M636" s="60">
        <v>0</v>
      </c>
      <c r="N636" s="61">
        <v>0</v>
      </c>
      <c r="O636" s="62" t="s">
        <v>106</v>
      </c>
      <c r="P636" s="63" t="s">
        <v>845</v>
      </c>
      <c r="Q636" s="64" t="s">
        <v>41</v>
      </c>
    </row>
    <row r="637" spans="1:17" ht="90" x14ac:dyDescent="0.25">
      <c r="A637" s="1">
        <v>18</v>
      </c>
      <c r="B637" s="57">
        <f t="shared" si="54"/>
        <v>26</v>
      </c>
      <c r="C637" s="58" t="s">
        <v>846</v>
      </c>
      <c r="D637" s="59" t="s">
        <v>105</v>
      </c>
      <c r="E637" s="60">
        <v>0</v>
      </c>
      <c r="F637" s="61">
        <v>5000</v>
      </c>
      <c r="G637" s="60">
        <v>0</v>
      </c>
      <c r="H637" s="61">
        <v>5000</v>
      </c>
      <c r="I637" s="60">
        <v>0</v>
      </c>
      <c r="J637" s="61">
        <v>4948.6670000000004</v>
      </c>
      <c r="K637" s="60">
        <v>0</v>
      </c>
      <c r="L637" s="61">
        <v>4948.6670000000004</v>
      </c>
      <c r="M637" s="60">
        <v>0</v>
      </c>
      <c r="N637" s="61">
        <v>0</v>
      </c>
      <c r="O637" s="62" t="s">
        <v>36</v>
      </c>
      <c r="P637" s="63"/>
      <c r="Q637" s="64"/>
    </row>
    <row r="638" spans="1:17" ht="72" x14ac:dyDescent="0.25">
      <c r="A638" s="1">
        <v>18</v>
      </c>
      <c r="B638" s="57">
        <f t="shared" si="54"/>
        <v>27</v>
      </c>
      <c r="C638" s="58" t="s">
        <v>847</v>
      </c>
      <c r="D638" s="59" t="s">
        <v>105</v>
      </c>
      <c r="E638" s="60">
        <v>954.84100000000001</v>
      </c>
      <c r="F638" s="61">
        <v>0</v>
      </c>
      <c r="G638" s="60">
        <v>954.84100000000001</v>
      </c>
      <c r="H638" s="61">
        <v>0</v>
      </c>
      <c r="I638" s="60">
        <v>954.84100000000001</v>
      </c>
      <c r="J638" s="61">
        <v>0</v>
      </c>
      <c r="K638" s="60">
        <v>954.84100000000001</v>
      </c>
      <c r="L638" s="61">
        <v>0</v>
      </c>
      <c r="M638" s="60">
        <v>0</v>
      </c>
      <c r="N638" s="61">
        <v>0</v>
      </c>
      <c r="O638" s="62" t="s">
        <v>52</v>
      </c>
      <c r="P638" s="63" t="s">
        <v>658</v>
      </c>
      <c r="Q638" s="64" t="s">
        <v>41</v>
      </c>
    </row>
    <row r="639" spans="1:17" ht="72" x14ac:dyDescent="0.25">
      <c r="A639" s="1">
        <v>18</v>
      </c>
      <c r="B639" s="57">
        <f t="shared" si="54"/>
        <v>28</v>
      </c>
      <c r="C639" s="58" t="s">
        <v>848</v>
      </c>
      <c r="D639" s="59" t="s">
        <v>105</v>
      </c>
      <c r="E639" s="60">
        <v>0</v>
      </c>
      <c r="F639" s="61">
        <v>2978.1060000000002</v>
      </c>
      <c r="G639" s="60">
        <v>0</v>
      </c>
      <c r="H639" s="61">
        <v>2978.1060000000002</v>
      </c>
      <c r="I639" s="60">
        <v>0</v>
      </c>
      <c r="J639" s="61">
        <v>2978.1060000000002</v>
      </c>
      <c r="K639" s="60">
        <v>0</v>
      </c>
      <c r="L639" s="61">
        <v>2978.1060000000002</v>
      </c>
      <c r="M639" s="60">
        <v>0</v>
      </c>
      <c r="N639" s="61">
        <v>0</v>
      </c>
      <c r="O639" s="62" t="s">
        <v>52</v>
      </c>
      <c r="P639" s="63" t="s">
        <v>849</v>
      </c>
      <c r="Q639" s="64" t="s">
        <v>41</v>
      </c>
    </row>
    <row r="640" spans="1:17" ht="72" x14ac:dyDescent="0.25">
      <c r="A640" s="1">
        <v>18</v>
      </c>
      <c r="B640" s="57">
        <f t="shared" si="54"/>
        <v>29</v>
      </c>
      <c r="C640" s="58" t="s">
        <v>850</v>
      </c>
      <c r="D640" s="59" t="s">
        <v>105</v>
      </c>
      <c r="E640" s="60">
        <v>0</v>
      </c>
      <c r="F640" s="61">
        <v>5000</v>
      </c>
      <c r="G640" s="60">
        <v>0</v>
      </c>
      <c r="H640" s="61">
        <v>5000</v>
      </c>
      <c r="I640" s="60">
        <v>0</v>
      </c>
      <c r="J640" s="61">
        <v>4199.3919999999998</v>
      </c>
      <c r="K640" s="60">
        <v>0</v>
      </c>
      <c r="L640" s="61">
        <v>4199.3919999999998</v>
      </c>
      <c r="M640" s="60">
        <v>0</v>
      </c>
      <c r="N640" s="61">
        <v>0</v>
      </c>
      <c r="O640" s="62" t="s">
        <v>36</v>
      </c>
      <c r="P640" s="63"/>
      <c r="Q640" s="64"/>
    </row>
    <row r="641" spans="1:17" ht="108" x14ac:dyDescent="0.25">
      <c r="A641" s="1">
        <v>18</v>
      </c>
      <c r="B641" s="57">
        <f t="shared" si="54"/>
        <v>30</v>
      </c>
      <c r="C641" s="58" t="s">
        <v>851</v>
      </c>
      <c r="D641" s="59" t="s">
        <v>29</v>
      </c>
      <c r="E641" s="60">
        <v>0</v>
      </c>
      <c r="F641" s="61">
        <v>2160.1</v>
      </c>
      <c r="G641" s="60">
        <v>0</v>
      </c>
      <c r="H641" s="61">
        <v>2160.1</v>
      </c>
      <c r="I641" s="60">
        <v>0</v>
      </c>
      <c r="J641" s="61">
        <v>2160.1</v>
      </c>
      <c r="K641" s="60">
        <v>0</v>
      </c>
      <c r="L641" s="61">
        <v>2160.1</v>
      </c>
      <c r="M641" s="60">
        <v>0</v>
      </c>
      <c r="N641" s="61">
        <v>0</v>
      </c>
      <c r="O641" s="62" t="s">
        <v>36</v>
      </c>
      <c r="P641" s="63"/>
      <c r="Q641" s="64"/>
    </row>
    <row r="642" spans="1:17" ht="108" x14ac:dyDescent="0.25">
      <c r="A642" s="1">
        <v>18</v>
      </c>
      <c r="B642" s="57">
        <f t="shared" si="54"/>
        <v>31</v>
      </c>
      <c r="C642" s="58" t="s">
        <v>852</v>
      </c>
      <c r="D642" s="59" t="s">
        <v>105</v>
      </c>
      <c r="E642" s="60">
        <v>0</v>
      </c>
      <c r="F642" s="61">
        <v>4346.2259999999997</v>
      </c>
      <c r="G642" s="60">
        <v>0</v>
      </c>
      <c r="H642" s="61">
        <v>4346.2259999999997</v>
      </c>
      <c r="I642" s="60">
        <v>0</v>
      </c>
      <c r="J642" s="61">
        <v>3385.0880000000002</v>
      </c>
      <c r="K642" s="60">
        <v>0</v>
      </c>
      <c r="L642" s="61">
        <v>3385.0880000000002</v>
      </c>
      <c r="M642" s="60">
        <v>0</v>
      </c>
      <c r="N642" s="61">
        <v>0</v>
      </c>
      <c r="O642" s="62" t="s">
        <v>36</v>
      </c>
      <c r="P642" s="63"/>
      <c r="Q642" s="64"/>
    </row>
    <row r="643" spans="1:17" ht="72" x14ac:dyDescent="0.25">
      <c r="A643" s="1">
        <v>18</v>
      </c>
      <c r="B643" s="57">
        <f t="shared" si="54"/>
        <v>32</v>
      </c>
      <c r="C643" s="58" t="s">
        <v>853</v>
      </c>
      <c r="D643" s="59" t="s">
        <v>105</v>
      </c>
      <c r="E643" s="60">
        <v>1215</v>
      </c>
      <c r="F643" s="61">
        <v>0</v>
      </c>
      <c r="G643" s="60">
        <v>1215</v>
      </c>
      <c r="H643" s="61">
        <v>0</v>
      </c>
      <c r="I643" s="60">
        <v>1215</v>
      </c>
      <c r="J643" s="61">
        <v>0</v>
      </c>
      <c r="K643" s="60">
        <v>1215</v>
      </c>
      <c r="L643" s="61">
        <v>0</v>
      </c>
      <c r="M643" s="60">
        <v>0</v>
      </c>
      <c r="N643" s="61">
        <v>0</v>
      </c>
      <c r="O643" s="62" t="s">
        <v>52</v>
      </c>
      <c r="P643" s="63" t="s">
        <v>854</v>
      </c>
      <c r="Q643" s="64" t="s">
        <v>108</v>
      </c>
    </row>
    <row r="644" spans="1:17" ht="90" x14ac:dyDescent="0.25">
      <c r="A644" s="1">
        <v>18</v>
      </c>
      <c r="B644" s="57">
        <f t="shared" si="54"/>
        <v>33</v>
      </c>
      <c r="C644" s="58" t="s">
        <v>855</v>
      </c>
      <c r="D644" s="59" t="s">
        <v>105</v>
      </c>
      <c r="E644" s="60">
        <f>1755.26-277.698</f>
        <v>1477.5619999999999</v>
      </c>
      <c r="F644" s="61">
        <v>277.69799999999998</v>
      </c>
      <c r="G644" s="60">
        <v>1477.5619999999999</v>
      </c>
      <c r="H644" s="61">
        <v>277.69799999999998</v>
      </c>
      <c r="I644" s="60">
        <v>1475.0360000000001</v>
      </c>
      <c r="J644" s="61">
        <v>277.22300000000001</v>
      </c>
      <c r="K644" s="60">
        <v>1475.0358699999999</v>
      </c>
      <c r="L644" s="61">
        <v>277.22300000000001</v>
      </c>
      <c r="M644" s="60">
        <v>0</v>
      </c>
      <c r="N644" s="61">
        <v>0</v>
      </c>
      <c r="O644" s="62" t="s">
        <v>52</v>
      </c>
      <c r="P644" s="63" t="s">
        <v>206</v>
      </c>
      <c r="Q644" s="64" t="s">
        <v>41</v>
      </c>
    </row>
    <row r="645" spans="1:17" ht="162" x14ac:dyDescent="0.25">
      <c r="A645" s="1">
        <v>18</v>
      </c>
      <c r="B645" s="57">
        <f t="shared" si="54"/>
        <v>34</v>
      </c>
      <c r="C645" s="58" t="s">
        <v>856</v>
      </c>
      <c r="D645" s="59" t="s">
        <v>29</v>
      </c>
      <c r="E645" s="60">
        <v>2150</v>
      </c>
      <c r="F645" s="61">
        <v>0</v>
      </c>
      <c r="G645" s="60">
        <v>2150</v>
      </c>
      <c r="H645" s="61">
        <v>0</v>
      </c>
      <c r="I645" s="60">
        <v>0</v>
      </c>
      <c r="J645" s="61">
        <v>0</v>
      </c>
      <c r="K645" s="60">
        <v>0</v>
      </c>
      <c r="L645" s="61">
        <v>0</v>
      </c>
      <c r="M645" s="60">
        <v>0</v>
      </c>
      <c r="N645" s="61">
        <v>0</v>
      </c>
      <c r="O645" s="62" t="s">
        <v>36</v>
      </c>
      <c r="P645" s="63"/>
      <c r="Q645" s="64"/>
    </row>
    <row r="646" spans="1:17" ht="54" x14ac:dyDescent="0.25">
      <c r="A646" s="1">
        <v>18</v>
      </c>
      <c r="B646" s="57">
        <f t="shared" si="54"/>
        <v>35</v>
      </c>
      <c r="C646" s="58" t="s">
        <v>857</v>
      </c>
      <c r="D646" s="59" t="s">
        <v>105</v>
      </c>
      <c r="E646" s="60">
        <f>789.52-140.44</f>
        <v>649.07999999999993</v>
      </c>
      <c r="F646" s="61">
        <v>0</v>
      </c>
      <c r="G646" s="60">
        <v>649.08000000000004</v>
      </c>
      <c r="H646" s="61">
        <v>0</v>
      </c>
      <c r="I646" s="60">
        <v>649.08000000000004</v>
      </c>
      <c r="J646" s="61">
        <v>0</v>
      </c>
      <c r="K646" s="60">
        <v>649.08000000000004</v>
      </c>
      <c r="L646" s="61">
        <v>0</v>
      </c>
      <c r="M646" s="60">
        <v>0</v>
      </c>
      <c r="N646" s="61">
        <v>0</v>
      </c>
      <c r="O646" s="62" t="s">
        <v>106</v>
      </c>
      <c r="P646" s="63" t="s">
        <v>858</v>
      </c>
      <c r="Q646" s="64" t="s">
        <v>859</v>
      </c>
    </row>
    <row r="647" spans="1:17" ht="72" x14ac:dyDescent="0.25">
      <c r="A647" s="1">
        <v>18</v>
      </c>
      <c r="B647" s="57">
        <f t="shared" si="54"/>
        <v>36</v>
      </c>
      <c r="C647" s="58" t="s">
        <v>860</v>
      </c>
      <c r="D647" s="59" t="s">
        <v>38</v>
      </c>
      <c r="E647" s="60">
        <v>582.39400000000001</v>
      </c>
      <c r="F647" s="61">
        <v>0</v>
      </c>
      <c r="G647" s="60">
        <v>582.39400000000001</v>
      </c>
      <c r="H647" s="61">
        <v>0</v>
      </c>
      <c r="I647" s="60">
        <v>399.36500000000001</v>
      </c>
      <c r="J647" s="61">
        <v>0</v>
      </c>
      <c r="K647" s="60">
        <v>399.36515000000003</v>
      </c>
      <c r="L647" s="61">
        <v>0</v>
      </c>
      <c r="M647" s="60">
        <v>0</v>
      </c>
      <c r="N647" s="61">
        <v>0</v>
      </c>
      <c r="O647" s="62" t="s">
        <v>52</v>
      </c>
      <c r="P647" s="63" t="s">
        <v>491</v>
      </c>
      <c r="Q647" s="64" t="s">
        <v>41</v>
      </c>
    </row>
    <row r="648" spans="1:17" ht="72" x14ac:dyDescent="0.25">
      <c r="A648" s="1">
        <v>18</v>
      </c>
      <c r="B648" s="57">
        <f t="shared" si="54"/>
        <v>37</v>
      </c>
      <c r="C648" s="58" t="s">
        <v>861</v>
      </c>
      <c r="D648" s="59" t="s">
        <v>105</v>
      </c>
      <c r="E648" s="60">
        <v>0</v>
      </c>
      <c r="F648" s="61">
        <v>2224.8539999999998</v>
      </c>
      <c r="G648" s="60">
        <v>0</v>
      </c>
      <c r="H648" s="61">
        <v>2224.8539999999998</v>
      </c>
      <c r="I648" s="60">
        <v>0</v>
      </c>
      <c r="J648" s="61">
        <v>974.72699999999998</v>
      </c>
      <c r="K648" s="60">
        <v>0</v>
      </c>
      <c r="L648" s="61">
        <v>974.72699999999998</v>
      </c>
      <c r="M648" s="60">
        <v>0</v>
      </c>
      <c r="N648" s="61">
        <v>0</v>
      </c>
      <c r="O648" s="62" t="s">
        <v>36</v>
      </c>
      <c r="P648" s="63"/>
      <c r="Q648" s="64"/>
    </row>
    <row r="649" spans="1:17" ht="90" x14ac:dyDescent="0.25">
      <c r="A649" s="1">
        <v>18</v>
      </c>
      <c r="B649" s="57">
        <f t="shared" si="54"/>
        <v>38</v>
      </c>
      <c r="C649" s="58" t="s">
        <v>862</v>
      </c>
      <c r="D649" s="59" t="s">
        <v>105</v>
      </c>
      <c r="E649" s="60">
        <f>0+1893.477</f>
        <v>1893.4770000000001</v>
      </c>
      <c r="F649" s="61">
        <f>5000-1893.477</f>
        <v>3106.5230000000001</v>
      </c>
      <c r="G649" s="60">
        <v>1893.4770000000001</v>
      </c>
      <c r="H649" s="61">
        <v>3106.5230000000001</v>
      </c>
      <c r="I649" s="60">
        <v>0</v>
      </c>
      <c r="J649" s="61">
        <v>0</v>
      </c>
      <c r="K649" s="60">
        <v>0</v>
      </c>
      <c r="L649" s="61">
        <v>0</v>
      </c>
      <c r="M649" s="60">
        <v>0</v>
      </c>
      <c r="N649" s="61">
        <v>0</v>
      </c>
      <c r="O649" s="62" t="s">
        <v>36</v>
      </c>
      <c r="P649" s="63"/>
      <c r="Q649" s="64"/>
    </row>
    <row r="650" spans="1:17" ht="72" x14ac:dyDescent="0.25">
      <c r="A650" s="1">
        <v>18</v>
      </c>
      <c r="B650" s="57">
        <f t="shared" si="54"/>
        <v>39</v>
      </c>
      <c r="C650" s="58" t="s">
        <v>863</v>
      </c>
      <c r="D650" s="59" t="s">
        <v>105</v>
      </c>
      <c r="E650" s="60">
        <v>0</v>
      </c>
      <c r="F650" s="61">
        <v>1588.152</v>
      </c>
      <c r="G650" s="60">
        <v>0</v>
      </c>
      <c r="H650" s="61">
        <v>1588.152</v>
      </c>
      <c r="I650" s="60">
        <v>0</v>
      </c>
      <c r="J650" s="61">
        <v>1575.6980000000001</v>
      </c>
      <c r="K650" s="60">
        <v>0</v>
      </c>
      <c r="L650" s="61">
        <v>1575.6980000000001</v>
      </c>
      <c r="M650" s="60">
        <v>0</v>
      </c>
      <c r="N650" s="61">
        <v>0</v>
      </c>
      <c r="O650" s="62" t="s">
        <v>52</v>
      </c>
      <c r="P650" s="63" t="s">
        <v>390</v>
      </c>
      <c r="Q650" s="64" t="s">
        <v>41</v>
      </c>
    </row>
    <row r="651" spans="1:17" ht="72" x14ac:dyDescent="0.25">
      <c r="A651" s="1">
        <v>18</v>
      </c>
      <c r="B651" s="57">
        <f t="shared" si="54"/>
        <v>40</v>
      </c>
      <c r="C651" s="58" t="s">
        <v>864</v>
      </c>
      <c r="D651" s="59" t="s">
        <v>105</v>
      </c>
      <c r="E651" s="60">
        <v>254</v>
      </c>
      <c r="F651" s="61">
        <v>0</v>
      </c>
      <c r="G651" s="60">
        <v>254</v>
      </c>
      <c r="H651" s="61">
        <v>0</v>
      </c>
      <c r="I651" s="60">
        <v>254</v>
      </c>
      <c r="J651" s="61">
        <v>0</v>
      </c>
      <c r="K651" s="60">
        <v>254</v>
      </c>
      <c r="L651" s="61">
        <v>0</v>
      </c>
      <c r="M651" s="60">
        <v>0</v>
      </c>
      <c r="N651" s="61">
        <v>0</v>
      </c>
      <c r="O651" s="62" t="s">
        <v>52</v>
      </c>
      <c r="P651" s="63" t="s">
        <v>477</v>
      </c>
      <c r="Q651" s="64" t="s">
        <v>41</v>
      </c>
    </row>
    <row r="652" spans="1:17" ht="72" x14ac:dyDescent="0.25">
      <c r="A652" s="1">
        <v>18</v>
      </c>
      <c r="B652" s="57">
        <f t="shared" si="54"/>
        <v>41</v>
      </c>
      <c r="C652" s="58" t="s">
        <v>865</v>
      </c>
      <c r="D652" s="59" t="s">
        <v>105</v>
      </c>
      <c r="E652" s="60">
        <v>190.64500000000001</v>
      </c>
      <c r="F652" s="61">
        <v>0</v>
      </c>
      <c r="G652" s="60">
        <v>190.64500000000001</v>
      </c>
      <c r="H652" s="61">
        <v>0</v>
      </c>
      <c r="I652" s="60">
        <v>190.64500000000001</v>
      </c>
      <c r="J652" s="61">
        <v>0</v>
      </c>
      <c r="K652" s="60">
        <v>190.64500000000001</v>
      </c>
      <c r="L652" s="61">
        <v>0</v>
      </c>
      <c r="M652" s="60">
        <v>0</v>
      </c>
      <c r="N652" s="61">
        <v>0</v>
      </c>
      <c r="O652" s="62" t="s">
        <v>106</v>
      </c>
      <c r="P652" s="106" t="s">
        <v>866</v>
      </c>
      <c r="Q652" s="64" t="s">
        <v>867</v>
      </c>
    </row>
    <row r="653" spans="1:17" ht="72" x14ac:dyDescent="0.25">
      <c r="A653" s="1">
        <v>18</v>
      </c>
      <c r="B653" s="57">
        <f t="shared" si="54"/>
        <v>42</v>
      </c>
      <c r="C653" s="58" t="s">
        <v>868</v>
      </c>
      <c r="D653" s="59" t="s">
        <v>105</v>
      </c>
      <c r="E653" s="60">
        <v>260.48700000000002</v>
      </c>
      <c r="F653" s="61">
        <v>0</v>
      </c>
      <c r="G653" s="60">
        <v>260.48700000000002</v>
      </c>
      <c r="H653" s="61">
        <v>0</v>
      </c>
      <c r="I653" s="60">
        <v>260.48700000000002</v>
      </c>
      <c r="J653" s="61">
        <v>0</v>
      </c>
      <c r="K653" s="60">
        <v>260.48700000000002</v>
      </c>
      <c r="L653" s="61">
        <v>0</v>
      </c>
      <c r="M653" s="60">
        <v>0</v>
      </c>
      <c r="N653" s="61">
        <v>0</v>
      </c>
      <c r="O653" s="62" t="s">
        <v>52</v>
      </c>
      <c r="P653" s="63" t="s">
        <v>869</v>
      </c>
      <c r="Q653" s="64" t="s">
        <v>527</v>
      </c>
    </row>
    <row r="654" spans="1:17" ht="69" x14ac:dyDescent="0.25">
      <c r="A654" s="1">
        <v>18</v>
      </c>
      <c r="B654" s="57">
        <f t="shared" si="54"/>
        <v>43</v>
      </c>
      <c r="C654" s="107" t="s">
        <v>870</v>
      </c>
      <c r="D654" s="108">
        <v>2017</v>
      </c>
      <c r="E654" s="109">
        <f>SUM(E655:E656)</f>
        <v>703.46699999999998</v>
      </c>
      <c r="F654" s="110">
        <f t="shared" ref="F654:N654" si="57">SUM(F655:F656)</f>
        <v>0</v>
      </c>
      <c r="G654" s="109">
        <f t="shared" si="57"/>
        <v>703.46699999999998</v>
      </c>
      <c r="H654" s="110">
        <f t="shared" si="57"/>
        <v>0</v>
      </c>
      <c r="I654" s="109">
        <f t="shared" si="57"/>
        <v>703.46699999999998</v>
      </c>
      <c r="J654" s="110">
        <f t="shared" si="57"/>
        <v>0</v>
      </c>
      <c r="K654" s="109">
        <f t="shared" si="57"/>
        <v>703.46699999999998</v>
      </c>
      <c r="L654" s="110">
        <f t="shared" si="57"/>
        <v>0</v>
      </c>
      <c r="M654" s="109">
        <f t="shared" si="57"/>
        <v>0</v>
      </c>
      <c r="N654" s="110">
        <f t="shared" si="57"/>
        <v>0</v>
      </c>
      <c r="O654" s="111" t="s">
        <v>52</v>
      </c>
      <c r="P654" s="112"/>
      <c r="Q654" s="113" t="s">
        <v>812</v>
      </c>
    </row>
    <row r="655" spans="1:17" ht="75" x14ac:dyDescent="0.25">
      <c r="A655" s="1">
        <v>18</v>
      </c>
      <c r="B655" s="114"/>
      <c r="C655" s="115" t="s">
        <v>871</v>
      </c>
      <c r="D655" s="116" t="s">
        <v>105</v>
      </c>
      <c r="E655" s="117">
        <v>101.88</v>
      </c>
      <c r="F655" s="118">
        <v>0</v>
      </c>
      <c r="G655" s="117">
        <v>101.88</v>
      </c>
      <c r="H655" s="118">
        <v>0</v>
      </c>
      <c r="I655" s="117">
        <v>101.88</v>
      </c>
      <c r="J655" s="118">
        <v>0</v>
      </c>
      <c r="K655" s="117">
        <v>101.88</v>
      </c>
      <c r="L655" s="118">
        <v>0</v>
      </c>
      <c r="M655" s="117">
        <v>0</v>
      </c>
      <c r="N655" s="118">
        <v>0</v>
      </c>
      <c r="O655" s="62" t="s">
        <v>52</v>
      </c>
      <c r="P655" s="126" t="s">
        <v>180</v>
      </c>
      <c r="Q655" s="127" t="s">
        <v>41</v>
      </c>
    </row>
    <row r="656" spans="1:17" ht="93.75" x14ac:dyDescent="0.25">
      <c r="A656" s="1">
        <v>18</v>
      </c>
      <c r="B656" s="114"/>
      <c r="C656" s="115" t="s">
        <v>872</v>
      </c>
      <c r="D656" s="116" t="s">
        <v>105</v>
      </c>
      <c r="E656" s="117">
        <v>601.58699999999999</v>
      </c>
      <c r="F656" s="118">
        <v>0</v>
      </c>
      <c r="G656" s="117">
        <v>601.58699999999999</v>
      </c>
      <c r="H656" s="118">
        <v>0</v>
      </c>
      <c r="I656" s="117">
        <v>601.58699999999999</v>
      </c>
      <c r="J656" s="118">
        <v>0</v>
      </c>
      <c r="K656" s="117">
        <v>601.58699999999999</v>
      </c>
      <c r="L656" s="118">
        <v>0</v>
      </c>
      <c r="M656" s="117">
        <v>0</v>
      </c>
      <c r="N656" s="118">
        <v>0</v>
      </c>
      <c r="O656" s="62" t="s">
        <v>52</v>
      </c>
      <c r="P656" s="126" t="s">
        <v>838</v>
      </c>
      <c r="Q656" s="127" t="s">
        <v>41</v>
      </c>
    </row>
    <row r="657" spans="1:17" ht="108" x14ac:dyDescent="0.25">
      <c r="A657" s="1">
        <v>18</v>
      </c>
      <c r="B657" s="57">
        <v>44</v>
      </c>
      <c r="C657" s="58" t="s">
        <v>873</v>
      </c>
      <c r="D657" s="59" t="s">
        <v>105</v>
      </c>
      <c r="E657" s="60">
        <v>0</v>
      </c>
      <c r="F657" s="61">
        <v>449.81700000000001</v>
      </c>
      <c r="G657" s="60">
        <v>0</v>
      </c>
      <c r="H657" s="61">
        <v>449.81700000000001</v>
      </c>
      <c r="I657" s="60">
        <v>0</v>
      </c>
      <c r="J657" s="61">
        <v>449.81700000000001</v>
      </c>
      <c r="K657" s="60">
        <v>0</v>
      </c>
      <c r="L657" s="61">
        <v>449.81700000000001</v>
      </c>
      <c r="M657" s="60">
        <v>0</v>
      </c>
      <c r="N657" s="61">
        <v>0</v>
      </c>
      <c r="O657" s="62" t="s">
        <v>106</v>
      </c>
      <c r="P657" s="63" t="s">
        <v>874</v>
      </c>
      <c r="Q657" s="64" t="s">
        <v>527</v>
      </c>
    </row>
    <row r="658" spans="1:17" ht="90" x14ac:dyDescent="0.25">
      <c r="A658" s="1">
        <v>18</v>
      </c>
      <c r="B658" s="57">
        <f t="shared" si="54"/>
        <v>45</v>
      </c>
      <c r="C658" s="58" t="s">
        <v>875</v>
      </c>
      <c r="D658" s="59" t="s">
        <v>105</v>
      </c>
      <c r="E658" s="60">
        <v>394.02499999999998</v>
      </c>
      <c r="F658" s="61">
        <v>0</v>
      </c>
      <c r="G658" s="60">
        <v>394.02499999999998</v>
      </c>
      <c r="H658" s="61">
        <v>0</v>
      </c>
      <c r="I658" s="60">
        <v>371.46699999999998</v>
      </c>
      <c r="J658" s="61">
        <v>0</v>
      </c>
      <c r="K658" s="60">
        <v>371.46699999999998</v>
      </c>
      <c r="L658" s="61">
        <v>0</v>
      </c>
      <c r="M658" s="60">
        <v>0</v>
      </c>
      <c r="N658" s="61">
        <v>0</v>
      </c>
      <c r="O658" s="62" t="s">
        <v>52</v>
      </c>
      <c r="P658" s="63" t="s">
        <v>876</v>
      </c>
      <c r="Q658" s="64" t="s">
        <v>41</v>
      </c>
    </row>
    <row r="659" spans="1:17" ht="90" x14ac:dyDescent="0.25">
      <c r="A659" s="1">
        <v>18</v>
      </c>
      <c r="B659" s="57">
        <f t="shared" si="54"/>
        <v>46</v>
      </c>
      <c r="C659" s="58" t="s">
        <v>877</v>
      </c>
      <c r="D659" s="59" t="s">
        <v>105</v>
      </c>
      <c r="E659" s="60">
        <v>248.31</v>
      </c>
      <c r="F659" s="61">
        <v>0</v>
      </c>
      <c r="G659" s="60">
        <v>248.31</v>
      </c>
      <c r="H659" s="61">
        <v>0</v>
      </c>
      <c r="I659" s="60">
        <v>248.31</v>
      </c>
      <c r="J659" s="61">
        <v>0</v>
      </c>
      <c r="K659" s="60">
        <v>248.31</v>
      </c>
      <c r="L659" s="61">
        <v>0</v>
      </c>
      <c r="M659" s="60">
        <v>0</v>
      </c>
      <c r="N659" s="61">
        <v>0</v>
      </c>
      <c r="O659" s="62" t="s">
        <v>106</v>
      </c>
      <c r="P659" s="63" t="s">
        <v>878</v>
      </c>
      <c r="Q659" s="64" t="s">
        <v>41</v>
      </c>
    </row>
    <row r="660" spans="1:17" ht="72" x14ac:dyDescent="0.25">
      <c r="A660" s="1">
        <v>18</v>
      </c>
      <c r="B660" s="57">
        <f t="shared" si="54"/>
        <v>47</v>
      </c>
      <c r="C660" s="58" t="s">
        <v>879</v>
      </c>
      <c r="D660" s="59" t="s">
        <v>105</v>
      </c>
      <c r="E660" s="60">
        <v>95.33</v>
      </c>
      <c r="F660" s="61">
        <v>0</v>
      </c>
      <c r="G660" s="60">
        <v>95.33</v>
      </c>
      <c r="H660" s="61">
        <v>0</v>
      </c>
      <c r="I660" s="60">
        <v>95.33</v>
      </c>
      <c r="J660" s="61">
        <v>0</v>
      </c>
      <c r="K660" s="60">
        <v>95.33</v>
      </c>
      <c r="L660" s="61">
        <v>0</v>
      </c>
      <c r="M660" s="60">
        <v>0</v>
      </c>
      <c r="N660" s="61">
        <v>0</v>
      </c>
      <c r="O660" s="62" t="s">
        <v>52</v>
      </c>
      <c r="P660" s="63" t="s">
        <v>658</v>
      </c>
      <c r="Q660" s="64" t="s">
        <v>41</v>
      </c>
    </row>
    <row r="661" spans="1:17" ht="90" x14ac:dyDescent="0.25">
      <c r="A661" s="1">
        <v>18</v>
      </c>
      <c r="B661" s="57">
        <f t="shared" si="54"/>
        <v>48</v>
      </c>
      <c r="C661" s="58" t="s">
        <v>880</v>
      </c>
      <c r="D661" s="59" t="s">
        <v>105</v>
      </c>
      <c r="E661" s="60">
        <v>182.50700000000001</v>
      </c>
      <c r="F661" s="61">
        <v>0</v>
      </c>
      <c r="G661" s="60">
        <v>182.50700000000001</v>
      </c>
      <c r="H661" s="61">
        <v>0</v>
      </c>
      <c r="I661" s="60">
        <v>173.16200000000001</v>
      </c>
      <c r="J661" s="61">
        <v>0</v>
      </c>
      <c r="K661" s="60">
        <v>173.16200000000001</v>
      </c>
      <c r="L661" s="61">
        <v>0</v>
      </c>
      <c r="M661" s="60">
        <v>0</v>
      </c>
      <c r="N661" s="61">
        <v>0</v>
      </c>
      <c r="O661" s="62" t="s">
        <v>52</v>
      </c>
      <c r="P661" s="63" t="s">
        <v>881</v>
      </c>
      <c r="Q661" s="64" t="s">
        <v>882</v>
      </c>
    </row>
    <row r="662" spans="1:17" ht="54" x14ac:dyDescent="0.25">
      <c r="A662" s="1">
        <v>18</v>
      </c>
      <c r="B662" s="57">
        <f t="shared" si="54"/>
        <v>49</v>
      </c>
      <c r="C662" s="58" t="s">
        <v>883</v>
      </c>
      <c r="D662" s="59" t="s">
        <v>105</v>
      </c>
      <c r="E662" s="60">
        <v>659.00699999999995</v>
      </c>
      <c r="F662" s="61">
        <v>0</v>
      </c>
      <c r="G662" s="60">
        <v>659.00699999999995</v>
      </c>
      <c r="H662" s="61">
        <v>0</v>
      </c>
      <c r="I662" s="60">
        <v>642.83000000000004</v>
      </c>
      <c r="J662" s="61">
        <v>0</v>
      </c>
      <c r="K662" s="60">
        <v>642.83000000000004</v>
      </c>
      <c r="L662" s="61">
        <v>0</v>
      </c>
      <c r="M662" s="60">
        <v>0</v>
      </c>
      <c r="N662" s="61">
        <v>0</v>
      </c>
      <c r="O662" s="62" t="s">
        <v>52</v>
      </c>
      <c r="P662" s="63" t="s">
        <v>884</v>
      </c>
      <c r="Q662" s="64" t="s">
        <v>41</v>
      </c>
    </row>
    <row r="663" spans="1:17" ht="86.25" x14ac:dyDescent="0.25">
      <c r="A663" s="1">
        <v>18</v>
      </c>
      <c r="B663" s="57">
        <f t="shared" si="54"/>
        <v>50</v>
      </c>
      <c r="C663" s="107" t="s">
        <v>885</v>
      </c>
      <c r="D663" s="108">
        <v>2017</v>
      </c>
      <c r="E663" s="109">
        <f>SUM(E664:E665)</f>
        <v>333.25700000000001</v>
      </c>
      <c r="F663" s="110">
        <f t="shared" ref="F663:N663" si="58">SUM(F664:F665)</f>
        <v>0</v>
      </c>
      <c r="G663" s="109">
        <f t="shared" si="58"/>
        <v>333.25700000000001</v>
      </c>
      <c r="H663" s="110">
        <f t="shared" si="58"/>
        <v>0</v>
      </c>
      <c r="I663" s="109">
        <f t="shared" si="58"/>
        <v>266.303</v>
      </c>
      <c r="J663" s="110">
        <f t="shared" si="58"/>
        <v>0</v>
      </c>
      <c r="K663" s="109">
        <f t="shared" si="58"/>
        <v>266.30242999999996</v>
      </c>
      <c r="L663" s="110">
        <f t="shared" si="58"/>
        <v>0</v>
      </c>
      <c r="M663" s="109">
        <f t="shared" si="58"/>
        <v>0</v>
      </c>
      <c r="N663" s="110">
        <f t="shared" si="58"/>
        <v>0</v>
      </c>
      <c r="O663" s="111" t="s">
        <v>52</v>
      </c>
      <c r="P663" s="112"/>
      <c r="Q663" s="113" t="s">
        <v>812</v>
      </c>
    </row>
    <row r="664" spans="1:17" ht="75" x14ac:dyDescent="0.25">
      <c r="A664" s="1">
        <v>18</v>
      </c>
      <c r="B664" s="114"/>
      <c r="C664" s="115" t="s">
        <v>886</v>
      </c>
      <c r="D664" s="116" t="s">
        <v>38</v>
      </c>
      <c r="E664" s="117">
        <v>198.39400000000001</v>
      </c>
      <c r="F664" s="118">
        <v>0</v>
      </c>
      <c r="G664" s="117">
        <v>198.39400000000001</v>
      </c>
      <c r="H664" s="118">
        <v>0</v>
      </c>
      <c r="I664" s="117">
        <v>133.755</v>
      </c>
      <c r="J664" s="118">
        <v>0</v>
      </c>
      <c r="K664" s="117">
        <v>133.75399999999999</v>
      </c>
      <c r="L664" s="118">
        <v>0</v>
      </c>
      <c r="M664" s="117">
        <v>0</v>
      </c>
      <c r="N664" s="118">
        <v>0</v>
      </c>
      <c r="O664" s="62" t="s">
        <v>52</v>
      </c>
      <c r="P664" s="126" t="s">
        <v>887</v>
      </c>
      <c r="Q664" s="127" t="s">
        <v>888</v>
      </c>
    </row>
    <row r="665" spans="1:17" ht="112.5" x14ac:dyDescent="0.25">
      <c r="A665" s="1">
        <v>18</v>
      </c>
      <c r="B665" s="128"/>
      <c r="C665" s="129" t="s">
        <v>889</v>
      </c>
      <c r="D665" s="130" t="s">
        <v>105</v>
      </c>
      <c r="E665" s="131">
        <v>134.863</v>
      </c>
      <c r="F665" s="132">
        <v>0</v>
      </c>
      <c r="G665" s="131">
        <v>134.863</v>
      </c>
      <c r="H665" s="132">
        <v>0</v>
      </c>
      <c r="I665" s="131">
        <v>132.548</v>
      </c>
      <c r="J665" s="132">
        <v>0</v>
      </c>
      <c r="K665" s="131">
        <v>132.54843</v>
      </c>
      <c r="L665" s="132">
        <v>0</v>
      </c>
      <c r="M665" s="131">
        <v>0</v>
      </c>
      <c r="N665" s="132">
        <v>0</v>
      </c>
      <c r="O665" s="62" t="s">
        <v>52</v>
      </c>
      <c r="P665" s="133" t="s">
        <v>890</v>
      </c>
      <c r="Q665" s="134" t="s">
        <v>891</v>
      </c>
    </row>
    <row r="666" spans="1:17" ht="72" x14ac:dyDescent="0.25">
      <c r="A666" s="1">
        <v>18</v>
      </c>
      <c r="B666" s="57">
        <f>B663+1</f>
        <v>51</v>
      </c>
      <c r="C666" s="58" t="s">
        <v>892</v>
      </c>
      <c r="D666" s="59" t="s">
        <v>105</v>
      </c>
      <c r="E666" s="60">
        <v>1308.347</v>
      </c>
      <c r="F666" s="61">
        <v>0</v>
      </c>
      <c r="G666" s="60">
        <v>1308.347</v>
      </c>
      <c r="H666" s="61">
        <v>0</v>
      </c>
      <c r="I666" s="60">
        <v>0</v>
      </c>
      <c r="J666" s="61">
        <v>0</v>
      </c>
      <c r="K666" s="60">
        <v>0</v>
      </c>
      <c r="L666" s="61">
        <v>0</v>
      </c>
      <c r="M666" s="60">
        <v>0</v>
      </c>
      <c r="N666" s="61">
        <v>0</v>
      </c>
      <c r="O666" s="62" t="s">
        <v>36</v>
      </c>
      <c r="P666" s="63"/>
      <c r="Q666" s="64"/>
    </row>
    <row r="667" spans="1:17" ht="108" x14ac:dyDescent="0.25">
      <c r="A667" s="1">
        <v>18</v>
      </c>
      <c r="B667" s="57">
        <f>B666+1</f>
        <v>52</v>
      </c>
      <c r="C667" s="58" t="s">
        <v>893</v>
      </c>
      <c r="D667" s="59" t="s">
        <v>105</v>
      </c>
      <c r="E667" s="60">
        <v>0</v>
      </c>
      <c r="F667" s="61">
        <v>268.59899999999999</v>
      </c>
      <c r="G667" s="60">
        <v>0</v>
      </c>
      <c r="H667" s="61">
        <v>268.59899999999999</v>
      </c>
      <c r="I667" s="60">
        <v>0</v>
      </c>
      <c r="J667" s="61">
        <v>268.59899999999999</v>
      </c>
      <c r="K667" s="60">
        <v>0</v>
      </c>
      <c r="L667" s="61">
        <v>268.59899999999999</v>
      </c>
      <c r="M667" s="60">
        <v>0</v>
      </c>
      <c r="N667" s="61">
        <v>0</v>
      </c>
      <c r="O667" s="62" t="s">
        <v>36</v>
      </c>
      <c r="P667" s="63"/>
      <c r="Q667" s="64"/>
    </row>
    <row r="668" spans="1:17" ht="72" x14ac:dyDescent="0.25">
      <c r="A668" s="1">
        <v>18</v>
      </c>
      <c r="B668" s="57">
        <f>B667+1</f>
        <v>53</v>
      </c>
      <c r="C668" s="58" t="s">
        <v>894</v>
      </c>
      <c r="D668" s="59" t="s">
        <v>105</v>
      </c>
      <c r="E668" s="60">
        <v>0</v>
      </c>
      <c r="F668" s="61">
        <v>534</v>
      </c>
      <c r="G668" s="60">
        <v>0</v>
      </c>
      <c r="H668" s="61">
        <v>534</v>
      </c>
      <c r="I668" s="60">
        <v>0</v>
      </c>
      <c r="J668" s="61">
        <v>0</v>
      </c>
      <c r="K668" s="60">
        <v>0</v>
      </c>
      <c r="L668" s="61">
        <v>0</v>
      </c>
      <c r="M668" s="60">
        <v>0</v>
      </c>
      <c r="N668" s="61">
        <v>0</v>
      </c>
      <c r="O668" s="62" t="s">
        <v>36</v>
      </c>
      <c r="P668" s="63"/>
      <c r="Q668" s="64"/>
    </row>
    <row r="669" spans="1:17" ht="54" x14ac:dyDescent="0.25">
      <c r="A669" s="1">
        <v>18</v>
      </c>
      <c r="B669" s="57">
        <f>B668+1</f>
        <v>54</v>
      </c>
      <c r="C669" s="58" t="s">
        <v>895</v>
      </c>
      <c r="D669" s="59" t="s">
        <v>105</v>
      </c>
      <c r="E669" s="60">
        <v>0</v>
      </c>
      <c r="F669" s="61">
        <v>157.285</v>
      </c>
      <c r="G669" s="60">
        <v>0</v>
      </c>
      <c r="H669" s="61">
        <v>157.285</v>
      </c>
      <c r="I669" s="60">
        <v>0</v>
      </c>
      <c r="J669" s="61">
        <v>0</v>
      </c>
      <c r="K669" s="60">
        <v>0</v>
      </c>
      <c r="L669" s="61">
        <v>0</v>
      </c>
      <c r="M669" s="60">
        <v>0</v>
      </c>
      <c r="N669" s="61">
        <v>0</v>
      </c>
      <c r="O669" s="62" t="s">
        <v>36</v>
      </c>
      <c r="P669" s="63"/>
      <c r="Q669" s="64"/>
    </row>
    <row r="670" spans="1:17" ht="72.75" thickBot="1" x14ac:dyDescent="0.3">
      <c r="A670" s="1">
        <v>18</v>
      </c>
      <c r="B670" s="68">
        <f>B669+1</f>
        <v>55</v>
      </c>
      <c r="C670" s="69" t="s">
        <v>896</v>
      </c>
      <c r="D670" s="70" t="s">
        <v>105</v>
      </c>
      <c r="E670" s="80">
        <v>140.44</v>
      </c>
      <c r="F670" s="81">
        <v>514.79</v>
      </c>
      <c r="G670" s="80">
        <v>140.44</v>
      </c>
      <c r="H670" s="81">
        <v>514.79</v>
      </c>
      <c r="I670" s="80">
        <v>0</v>
      </c>
      <c r="J670" s="81">
        <v>0</v>
      </c>
      <c r="K670" s="80">
        <v>0</v>
      </c>
      <c r="L670" s="81">
        <v>0</v>
      </c>
      <c r="M670" s="80">
        <v>0</v>
      </c>
      <c r="N670" s="81">
        <v>0</v>
      </c>
      <c r="O670" s="73" t="s">
        <v>36</v>
      </c>
      <c r="P670" s="74"/>
      <c r="Q670" s="75"/>
    </row>
    <row r="671" spans="1:17" ht="18" x14ac:dyDescent="0.25">
      <c r="A671" s="1">
        <v>19</v>
      </c>
      <c r="B671" s="149" t="s">
        <v>897</v>
      </c>
      <c r="C671" s="150"/>
      <c r="D671" s="150"/>
      <c r="E671" s="150"/>
      <c r="F671" s="150"/>
      <c r="G671" s="150"/>
      <c r="H671" s="150"/>
      <c r="I671" s="150"/>
      <c r="J671" s="150"/>
      <c r="K671" s="150"/>
      <c r="L671" s="150"/>
      <c r="M671" s="150"/>
      <c r="N671" s="150"/>
      <c r="O671" s="150"/>
      <c r="P671" s="150"/>
      <c r="Q671" s="151"/>
    </row>
    <row r="672" spans="1:17" ht="18" x14ac:dyDescent="0.25">
      <c r="A672" s="1">
        <v>19</v>
      </c>
      <c r="B672" s="78"/>
      <c r="C672" s="41" t="s">
        <v>27</v>
      </c>
      <c r="D672" s="42"/>
      <c r="E672" s="43">
        <f t="shared" ref="E672:N672" si="59">SUM(E673,E675:E733)</f>
        <v>32913.798000000003</v>
      </c>
      <c r="F672" s="44">
        <f t="shared" si="59"/>
        <v>82284.493999999977</v>
      </c>
      <c r="G672" s="43">
        <f t="shared" si="59"/>
        <v>32913.798000000003</v>
      </c>
      <c r="H672" s="44">
        <f t="shared" si="59"/>
        <v>82284.493999999977</v>
      </c>
      <c r="I672" s="43">
        <f t="shared" si="59"/>
        <v>22136.823</v>
      </c>
      <c r="J672" s="44">
        <f t="shared" si="59"/>
        <v>78482.562999999995</v>
      </c>
      <c r="K672" s="43">
        <f t="shared" si="59"/>
        <v>22069.262999999999</v>
      </c>
      <c r="L672" s="44">
        <f t="shared" si="59"/>
        <v>74842.841</v>
      </c>
      <c r="M672" s="43">
        <f t="shared" si="59"/>
        <v>0</v>
      </c>
      <c r="N672" s="44">
        <f t="shared" si="59"/>
        <v>0</v>
      </c>
      <c r="O672" s="47"/>
      <c r="P672" s="48">
        <v>41</v>
      </c>
      <c r="Q672" s="49"/>
    </row>
    <row r="673" spans="1:17" ht="18" x14ac:dyDescent="0.25">
      <c r="A673" s="1">
        <v>19</v>
      </c>
      <c r="B673" s="79"/>
      <c r="C673" s="50" t="s">
        <v>24</v>
      </c>
      <c r="D673" s="51"/>
      <c r="E673" s="52">
        <v>0</v>
      </c>
      <c r="F673" s="53">
        <v>0</v>
      </c>
      <c r="G673" s="52">
        <v>0</v>
      </c>
      <c r="H673" s="53">
        <v>0</v>
      </c>
      <c r="I673" s="52"/>
      <c r="J673" s="53"/>
      <c r="K673" s="52"/>
      <c r="L673" s="53"/>
      <c r="M673" s="52"/>
      <c r="N673" s="53"/>
      <c r="O673" s="56"/>
      <c r="P673" s="30"/>
      <c r="Q673" s="31"/>
    </row>
    <row r="674" spans="1:17" ht="36" x14ac:dyDescent="0.25">
      <c r="A674" s="1">
        <v>19</v>
      </c>
      <c r="B674" s="79"/>
      <c r="C674" s="50" t="s">
        <v>25</v>
      </c>
      <c r="D674" s="51"/>
      <c r="E674" s="52">
        <f t="shared" ref="E674:N674" si="60">SUM(E675:E733)</f>
        <v>32913.798000000003</v>
      </c>
      <c r="F674" s="53">
        <f t="shared" si="60"/>
        <v>82284.493999999977</v>
      </c>
      <c r="G674" s="52">
        <f t="shared" si="60"/>
        <v>32913.798000000003</v>
      </c>
      <c r="H674" s="53">
        <f t="shared" si="60"/>
        <v>82284.493999999977</v>
      </c>
      <c r="I674" s="52">
        <f t="shared" si="60"/>
        <v>22136.823</v>
      </c>
      <c r="J674" s="53">
        <f t="shared" si="60"/>
        <v>78482.562999999995</v>
      </c>
      <c r="K674" s="52">
        <f t="shared" si="60"/>
        <v>22069.262999999999</v>
      </c>
      <c r="L674" s="53">
        <f t="shared" si="60"/>
        <v>74842.841</v>
      </c>
      <c r="M674" s="52">
        <f t="shared" si="60"/>
        <v>0</v>
      </c>
      <c r="N674" s="53">
        <f t="shared" si="60"/>
        <v>0</v>
      </c>
      <c r="O674" s="56"/>
      <c r="P674" s="30"/>
      <c r="Q674" s="31"/>
    </row>
    <row r="675" spans="1:17" ht="72" x14ac:dyDescent="0.25">
      <c r="A675" s="1">
        <v>19</v>
      </c>
      <c r="B675" s="57">
        <v>1</v>
      </c>
      <c r="C675" s="58" t="s">
        <v>898</v>
      </c>
      <c r="D675" s="59" t="s">
        <v>899</v>
      </c>
      <c r="E675" s="60">
        <v>5223.9110000000001</v>
      </c>
      <c r="F675" s="61">
        <v>0</v>
      </c>
      <c r="G675" s="60">
        <v>5223.9110000000001</v>
      </c>
      <c r="H675" s="61">
        <v>0</v>
      </c>
      <c r="I675" s="60">
        <v>5223.9110000000001</v>
      </c>
      <c r="J675" s="61">
        <v>0</v>
      </c>
      <c r="K675" s="60">
        <v>5223.9110000000001</v>
      </c>
      <c r="L675" s="61">
        <v>0</v>
      </c>
      <c r="M675" s="60">
        <v>0</v>
      </c>
      <c r="N675" s="61">
        <v>0</v>
      </c>
      <c r="O675" s="62" t="s">
        <v>900</v>
      </c>
      <c r="P675" s="63" t="s">
        <v>114</v>
      </c>
      <c r="Q675" s="82" t="s">
        <v>41</v>
      </c>
    </row>
    <row r="676" spans="1:17" ht="90" x14ac:dyDescent="0.25">
      <c r="A676" s="1">
        <v>19</v>
      </c>
      <c r="B676" s="57">
        <f>B675+1</f>
        <v>2</v>
      </c>
      <c r="C676" s="58" t="s">
        <v>901</v>
      </c>
      <c r="D676" s="59" t="s">
        <v>38</v>
      </c>
      <c r="E676" s="60">
        <v>0</v>
      </c>
      <c r="F676" s="61">
        <v>2493</v>
      </c>
      <c r="G676" s="60">
        <v>0</v>
      </c>
      <c r="H676" s="61">
        <v>2493</v>
      </c>
      <c r="I676" s="60">
        <v>0</v>
      </c>
      <c r="J676" s="61">
        <v>2319.9270000000001</v>
      </c>
      <c r="K676" s="60">
        <v>0</v>
      </c>
      <c r="L676" s="61">
        <v>2319.9270000000001</v>
      </c>
      <c r="M676" s="60">
        <v>0</v>
      </c>
      <c r="N676" s="61">
        <v>0</v>
      </c>
      <c r="O676" s="62" t="s">
        <v>900</v>
      </c>
      <c r="P676" s="63" t="s">
        <v>902</v>
      </c>
      <c r="Q676" s="82" t="s">
        <v>41</v>
      </c>
    </row>
    <row r="677" spans="1:17" ht="72" x14ac:dyDescent="0.25">
      <c r="A677" s="1">
        <v>19</v>
      </c>
      <c r="B677" s="57">
        <f t="shared" ref="B677:B733" si="61">B676+1</f>
        <v>3</v>
      </c>
      <c r="C677" s="58" t="s">
        <v>903</v>
      </c>
      <c r="D677" s="59" t="s">
        <v>38</v>
      </c>
      <c r="E677" s="60">
        <v>0</v>
      </c>
      <c r="F677" s="61">
        <v>2337.4340000000002</v>
      </c>
      <c r="G677" s="60">
        <v>0</v>
      </c>
      <c r="H677" s="61">
        <v>2337.4340000000002</v>
      </c>
      <c r="I677" s="60">
        <v>0</v>
      </c>
      <c r="J677" s="61">
        <v>2337.4340000000002</v>
      </c>
      <c r="K677" s="60">
        <v>0</v>
      </c>
      <c r="L677" s="61">
        <v>2337.4340000000002</v>
      </c>
      <c r="M677" s="60">
        <v>0</v>
      </c>
      <c r="N677" s="61">
        <v>0</v>
      </c>
      <c r="O677" s="62" t="s">
        <v>506</v>
      </c>
      <c r="P677" s="63"/>
      <c r="Q677" s="82"/>
    </row>
    <row r="678" spans="1:17" ht="108" x14ac:dyDescent="0.25">
      <c r="A678" s="1">
        <v>19</v>
      </c>
      <c r="B678" s="57">
        <f t="shared" si="61"/>
        <v>4</v>
      </c>
      <c r="C678" s="58" t="s">
        <v>904</v>
      </c>
      <c r="D678" s="59" t="s">
        <v>35</v>
      </c>
      <c r="E678" s="60">
        <v>10470.462</v>
      </c>
      <c r="F678" s="61">
        <v>0</v>
      </c>
      <c r="G678" s="60">
        <v>10470.462</v>
      </c>
      <c r="H678" s="61">
        <v>0</v>
      </c>
      <c r="I678" s="60">
        <v>0</v>
      </c>
      <c r="J678" s="61">
        <v>0</v>
      </c>
      <c r="K678" s="60">
        <v>0</v>
      </c>
      <c r="L678" s="61">
        <v>0</v>
      </c>
      <c r="M678" s="60">
        <v>0</v>
      </c>
      <c r="N678" s="61">
        <v>0</v>
      </c>
      <c r="O678" s="62" t="s">
        <v>506</v>
      </c>
      <c r="P678" s="63"/>
      <c r="Q678" s="82"/>
    </row>
    <row r="679" spans="1:17" ht="126" x14ac:dyDescent="0.25">
      <c r="A679" s="1">
        <v>19</v>
      </c>
      <c r="B679" s="57">
        <f t="shared" si="61"/>
        <v>5</v>
      </c>
      <c r="C679" s="58" t="s">
        <v>905</v>
      </c>
      <c r="D679" s="59" t="s">
        <v>51</v>
      </c>
      <c r="E679" s="60">
        <v>0</v>
      </c>
      <c r="F679" s="61">
        <v>1515.066</v>
      </c>
      <c r="G679" s="60">
        <v>0</v>
      </c>
      <c r="H679" s="61">
        <v>1515.066</v>
      </c>
      <c r="I679" s="60">
        <v>0</v>
      </c>
      <c r="J679" s="61">
        <v>1515.066</v>
      </c>
      <c r="K679" s="60">
        <v>0</v>
      </c>
      <c r="L679" s="61">
        <v>1515.066</v>
      </c>
      <c r="M679" s="60">
        <v>0</v>
      </c>
      <c r="N679" s="61">
        <v>0</v>
      </c>
      <c r="O679" s="62" t="s">
        <v>900</v>
      </c>
      <c r="P679" s="63" t="s">
        <v>261</v>
      </c>
      <c r="Q679" s="82" t="s">
        <v>41</v>
      </c>
    </row>
    <row r="680" spans="1:17" ht="144" x14ac:dyDescent="0.25">
      <c r="A680" s="1">
        <v>19</v>
      </c>
      <c r="B680" s="57">
        <f t="shared" si="61"/>
        <v>6</v>
      </c>
      <c r="C680" s="58" t="s">
        <v>906</v>
      </c>
      <c r="D680" s="59" t="s">
        <v>35</v>
      </c>
      <c r="E680" s="60">
        <v>0</v>
      </c>
      <c r="F680" s="61">
        <v>9443.3539999999994</v>
      </c>
      <c r="G680" s="60">
        <v>0</v>
      </c>
      <c r="H680" s="61">
        <v>9443.3539999999994</v>
      </c>
      <c r="I680" s="60">
        <v>0</v>
      </c>
      <c r="J680" s="61">
        <v>9418.0619999999999</v>
      </c>
      <c r="K680" s="60">
        <v>0</v>
      </c>
      <c r="L680" s="61">
        <v>9418.0619999999999</v>
      </c>
      <c r="M680" s="60">
        <v>0</v>
      </c>
      <c r="N680" s="61">
        <v>0</v>
      </c>
      <c r="O680" s="62" t="s">
        <v>506</v>
      </c>
      <c r="P680" s="63"/>
      <c r="Q680" s="82"/>
    </row>
    <row r="681" spans="1:17" ht="90" x14ac:dyDescent="0.25">
      <c r="A681" s="1">
        <v>19</v>
      </c>
      <c r="B681" s="57">
        <f t="shared" si="61"/>
        <v>7</v>
      </c>
      <c r="C681" s="58" t="s">
        <v>907</v>
      </c>
      <c r="D681" s="59" t="s">
        <v>38</v>
      </c>
      <c r="E681" s="60">
        <v>0</v>
      </c>
      <c r="F681" s="61">
        <v>1096.7940000000001</v>
      </c>
      <c r="G681" s="60">
        <v>0</v>
      </c>
      <c r="H681" s="61">
        <v>1096.7940000000001</v>
      </c>
      <c r="I681" s="60">
        <v>0</v>
      </c>
      <c r="J681" s="61">
        <v>1081.7339999999999</v>
      </c>
      <c r="K681" s="60">
        <v>0</v>
      </c>
      <c r="L681" s="61">
        <v>1081.7339999999999</v>
      </c>
      <c r="M681" s="60">
        <v>0</v>
      </c>
      <c r="N681" s="61">
        <v>0</v>
      </c>
      <c r="O681" s="62" t="s">
        <v>900</v>
      </c>
      <c r="P681" s="63" t="s">
        <v>908</v>
      </c>
      <c r="Q681" s="82" t="s">
        <v>41</v>
      </c>
    </row>
    <row r="682" spans="1:17" ht="180" x14ac:dyDescent="0.25">
      <c r="A682" s="1">
        <v>19</v>
      </c>
      <c r="B682" s="57">
        <f t="shared" si="61"/>
        <v>8</v>
      </c>
      <c r="C682" s="58" t="s">
        <v>909</v>
      </c>
      <c r="D682" s="59" t="s">
        <v>38</v>
      </c>
      <c r="E682" s="60">
        <v>0</v>
      </c>
      <c r="F682" s="61">
        <v>2990.098</v>
      </c>
      <c r="G682" s="60">
        <v>0</v>
      </c>
      <c r="H682" s="61">
        <v>2990.098</v>
      </c>
      <c r="I682" s="60">
        <v>0</v>
      </c>
      <c r="J682" s="61">
        <v>2960.1790000000001</v>
      </c>
      <c r="K682" s="60">
        <v>0</v>
      </c>
      <c r="L682" s="61">
        <v>2960.1790000000001</v>
      </c>
      <c r="M682" s="60">
        <v>0</v>
      </c>
      <c r="N682" s="61">
        <v>0</v>
      </c>
      <c r="O682" s="62" t="s">
        <v>900</v>
      </c>
      <c r="P682" s="63" t="s">
        <v>114</v>
      </c>
      <c r="Q682" s="82" t="s">
        <v>41</v>
      </c>
    </row>
    <row r="683" spans="1:17" ht="126" x14ac:dyDescent="0.25">
      <c r="A683" s="1">
        <v>19</v>
      </c>
      <c r="B683" s="57">
        <f t="shared" si="61"/>
        <v>9</v>
      </c>
      <c r="C683" s="58" t="s">
        <v>910</v>
      </c>
      <c r="D683" s="59" t="s">
        <v>38</v>
      </c>
      <c r="E683" s="60">
        <v>0</v>
      </c>
      <c r="F683" s="61">
        <v>1173.06</v>
      </c>
      <c r="G683" s="60">
        <v>0</v>
      </c>
      <c r="H683" s="61">
        <v>1173.06</v>
      </c>
      <c r="I683" s="60">
        <v>0</v>
      </c>
      <c r="J683" s="61">
        <v>1173</v>
      </c>
      <c r="K683" s="60">
        <v>0</v>
      </c>
      <c r="L683" s="61">
        <v>1173</v>
      </c>
      <c r="M683" s="60">
        <v>0</v>
      </c>
      <c r="N683" s="61">
        <v>0</v>
      </c>
      <c r="O683" s="62" t="s">
        <v>900</v>
      </c>
      <c r="P683" s="63" t="s">
        <v>114</v>
      </c>
      <c r="Q683" s="82" t="s">
        <v>41</v>
      </c>
    </row>
    <row r="684" spans="1:17" ht="108" x14ac:dyDescent="0.25">
      <c r="A684" s="1">
        <v>19</v>
      </c>
      <c r="B684" s="57">
        <f t="shared" si="61"/>
        <v>10</v>
      </c>
      <c r="C684" s="58" t="s">
        <v>911</v>
      </c>
      <c r="D684" s="59" t="s">
        <v>38</v>
      </c>
      <c r="E684" s="60">
        <v>0</v>
      </c>
      <c r="F684" s="61">
        <v>931.64200000000005</v>
      </c>
      <c r="G684" s="60">
        <v>0</v>
      </c>
      <c r="H684" s="61">
        <v>931.64200000000005</v>
      </c>
      <c r="I684" s="60">
        <v>0</v>
      </c>
      <c r="J684" s="61">
        <v>923.92700000000002</v>
      </c>
      <c r="K684" s="60">
        <v>0</v>
      </c>
      <c r="L684" s="61">
        <v>923.92700000000002</v>
      </c>
      <c r="M684" s="60">
        <v>0</v>
      </c>
      <c r="N684" s="61">
        <v>0</v>
      </c>
      <c r="O684" s="62" t="s">
        <v>900</v>
      </c>
      <c r="P684" s="63" t="s">
        <v>912</v>
      </c>
      <c r="Q684" s="82" t="s">
        <v>41</v>
      </c>
    </row>
    <row r="685" spans="1:17" ht="144" x14ac:dyDescent="0.25">
      <c r="A685" s="1">
        <v>19</v>
      </c>
      <c r="B685" s="57">
        <f t="shared" si="61"/>
        <v>11</v>
      </c>
      <c r="C685" s="58" t="s">
        <v>913</v>
      </c>
      <c r="D685" s="59" t="s">
        <v>38</v>
      </c>
      <c r="E685" s="60">
        <v>0</v>
      </c>
      <c r="F685" s="61">
        <v>2987.68</v>
      </c>
      <c r="G685" s="60">
        <v>0</v>
      </c>
      <c r="H685" s="61">
        <v>2987.68</v>
      </c>
      <c r="I685" s="60">
        <v>0</v>
      </c>
      <c r="J685" s="61">
        <v>2899.0619999999999</v>
      </c>
      <c r="K685" s="60">
        <v>0</v>
      </c>
      <c r="L685" s="61">
        <v>2899.0619999999999</v>
      </c>
      <c r="M685" s="60">
        <v>0</v>
      </c>
      <c r="N685" s="61">
        <v>0</v>
      </c>
      <c r="O685" s="62" t="s">
        <v>900</v>
      </c>
      <c r="P685" s="63" t="s">
        <v>114</v>
      </c>
      <c r="Q685" s="82" t="s">
        <v>41</v>
      </c>
    </row>
    <row r="686" spans="1:17" ht="108" x14ac:dyDescent="0.25">
      <c r="A686" s="1">
        <v>19</v>
      </c>
      <c r="B686" s="57">
        <f t="shared" si="61"/>
        <v>12</v>
      </c>
      <c r="C686" s="58" t="s">
        <v>914</v>
      </c>
      <c r="D686" s="59" t="s">
        <v>38</v>
      </c>
      <c r="E686" s="60">
        <v>0</v>
      </c>
      <c r="F686" s="61">
        <v>1460.5419999999999</v>
      </c>
      <c r="G686" s="60">
        <v>0</v>
      </c>
      <c r="H686" s="61">
        <v>1460.5419999999999</v>
      </c>
      <c r="I686" s="60">
        <v>0</v>
      </c>
      <c r="J686" s="61">
        <v>1273.846</v>
      </c>
      <c r="K686" s="60">
        <v>0</v>
      </c>
      <c r="L686" s="61">
        <v>1273.846</v>
      </c>
      <c r="M686" s="60">
        <v>0</v>
      </c>
      <c r="N686" s="61">
        <v>0</v>
      </c>
      <c r="O686" s="62" t="s">
        <v>900</v>
      </c>
      <c r="P686" s="63" t="s">
        <v>114</v>
      </c>
      <c r="Q686" s="82" t="s">
        <v>41</v>
      </c>
    </row>
    <row r="687" spans="1:17" ht="90" x14ac:dyDescent="0.25">
      <c r="A687" s="1">
        <v>19</v>
      </c>
      <c r="B687" s="57">
        <f t="shared" si="61"/>
        <v>13</v>
      </c>
      <c r="C687" s="58" t="s">
        <v>915</v>
      </c>
      <c r="D687" s="59" t="s">
        <v>38</v>
      </c>
      <c r="E687" s="60">
        <v>0</v>
      </c>
      <c r="F687" s="61">
        <v>1037.934</v>
      </c>
      <c r="G687" s="60">
        <v>0</v>
      </c>
      <c r="H687" s="61">
        <v>1037.934</v>
      </c>
      <c r="I687" s="60">
        <v>0</v>
      </c>
      <c r="J687" s="61">
        <v>1032.6310000000001</v>
      </c>
      <c r="K687" s="60">
        <v>0</v>
      </c>
      <c r="L687" s="61">
        <v>1032.6310000000001</v>
      </c>
      <c r="M687" s="60">
        <v>0</v>
      </c>
      <c r="N687" s="61">
        <v>0</v>
      </c>
      <c r="O687" s="62" t="s">
        <v>900</v>
      </c>
      <c r="P687" s="63" t="s">
        <v>916</v>
      </c>
      <c r="Q687" s="82" t="s">
        <v>41</v>
      </c>
    </row>
    <row r="688" spans="1:17" ht="72" x14ac:dyDescent="0.25">
      <c r="A688" s="1">
        <v>19</v>
      </c>
      <c r="B688" s="57">
        <f t="shared" si="61"/>
        <v>14</v>
      </c>
      <c r="C688" s="58" t="s">
        <v>917</v>
      </c>
      <c r="D688" s="59" t="s">
        <v>38</v>
      </c>
      <c r="E688" s="60">
        <v>0</v>
      </c>
      <c r="F688" s="61">
        <v>1099.5650000000001</v>
      </c>
      <c r="G688" s="60">
        <v>0</v>
      </c>
      <c r="H688" s="61">
        <v>1099.5650000000001</v>
      </c>
      <c r="I688" s="60">
        <v>0</v>
      </c>
      <c r="J688" s="61">
        <v>980.274</v>
      </c>
      <c r="K688" s="60">
        <v>0</v>
      </c>
      <c r="L688" s="61">
        <v>980.274</v>
      </c>
      <c r="M688" s="60">
        <v>0</v>
      </c>
      <c r="N688" s="61">
        <v>0</v>
      </c>
      <c r="O688" s="62" t="s">
        <v>900</v>
      </c>
      <c r="P688" s="63" t="s">
        <v>40</v>
      </c>
      <c r="Q688" s="82" t="s">
        <v>41</v>
      </c>
    </row>
    <row r="689" spans="1:17" ht="90" x14ac:dyDescent="0.25">
      <c r="A689" s="1">
        <v>19</v>
      </c>
      <c r="B689" s="57">
        <f t="shared" si="61"/>
        <v>15</v>
      </c>
      <c r="C689" s="58" t="s">
        <v>918</v>
      </c>
      <c r="D689" s="59" t="s">
        <v>51</v>
      </c>
      <c r="E689" s="60">
        <v>0</v>
      </c>
      <c r="F689" s="61">
        <v>586.73800000000006</v>
      </c>
      <c r="G689" s="60">
        <v>0</v>
      </c>
      <c r="H689" s="61">
        <v>586.73800000000006</v>
      </c>
      <c r="I689" s="60">
        <v>0</v>
      </c>
      <c r="J689" s="61">
        <v>571.11</v>
      </c>
      <c r="K689" s="60">
        <v>0</v>
      </c>
      <c r="L689" s="61">
        <v>571.11</v>
      </c>
      <c r="M689" s="60">
        <v>0</v>
      </c>
      <c r="N689" s="61">
        <v>0</v>
      </c>
      <c r="O689" s="62" t="s">
        <v>52</v>
      </c>
      <c r="P689" s="63" t="s">
        <v>919</v>
      </c>
      <c r="Q689" s="82" t="s">
        <v>41</v>
      </c>
    </row>
    <row r="690" spans="1:17" ht="108" x14ac:dyDescent="0.25">
      <c r="A690" s="1">
        <v>19</v>
      </c>
      <c r="B690" s="57">
        <f t="shared" si="61"/>
        <v>16</v>
      </c>
      <c r="C690" s="58" t="s">
        <v>920</v>
      </c>
      <c r="D690" s="59" t="s">
        <v>38</v>
      </c>
      <c r="E690" s="60">
        <v>0</v>
      </c>
      <c r="F690" s="61">
        <v>217.511</v>
      </c>
      <c r="G690" s="60">
        <v>0</v>
      </c>
      <c r="H690" s="61">
        <v>217.511</v>
      </c>
      <c r="I690" s="60">
        <v>0</v>
      </c>
      <c r="J690" s="61">
        <v>217.511</v>
      </c>
      <c r="K690" s="60">
        <v>0</v>
      </c>
      <c r="L690" s="61">
        <v>217.511</v>
      </c>
      <c r="M690" s="60">
        <v>0</v>
      </c>
      <c r="N690" s="61">
        <v>0</v>
      </c>
      <c r="O690" s="62" t="s">
        <v>900</v>
      </c>
      <c r="P690" s="63" t="s">
        <v>921</v>
      </c>
      <c r="Q690" s="82" t="s">
        <v>41</v>
      </c>
    </row>
    <row r="691" spans="1:17" ht="90" x14ac:dyDescent="0.25">
      <c r="A691" s="1">
        <v>19</v>
      </c>
      <c r="B691" s="57">
        <f t="shared" si="61"/>
        <v>17</v>
      </c>
      <c r="C691" s="58" t="s">
        <v>922</v>
      </c>
      <c r="D691" s="59" t="s">
        <v>38</v>
      </c>
      <c r="E691" s="60">
        <v>0</v>
      </c>
      <c r="F691" s="61">
        <v>480.38900000000001</v>
      </c>
      <c r="G691" s="60">
        <v>0</v>
      </c>
      <c r="H691" s="61">
        <v>480.38900000000001</v>
      </c>
      <c r="I691" s="60">
        <v>0</v>
      </c>
      <c r="J691" s="61">
        <v>480.38900000000001</v>
      </c>
      <c r="K691" s="60">
        <v>0</v>
      </c>
      <c r="L691" s="61">
        <v>480.38900000000001</v>
      </c>
      <c r="M691" s="60">
        <v>0</v>
      </c>
      <c r="N691" s="61">
        <v>0</v>
      </c>
      <c r="O691" s="62" t="s">
        <v>900</v>
      </c>
      <c r="P691" s="63" t="s">
        <v>171</v>
      </c>
      <c r="Q691" s="82" t="s">
        <v>41</v>
      </c>
    </row>
    <row r="692" spans="1:17" ht="72" x14ac:dyDescent="0.25">
      <c r="A692" s="1">
        <v>19</v>
      </c>
      <c r="B692" s="57">
        <f t="shared" si="61"/>
        <v>18</v>
      </c>
      <c r="C692" s="58" t="s">
        <v>923</v>
      </c>
      <c r="D692" s="59" t="s">
        <v>38</v>
      </c>
      <c r="E692" s="60">
        <v>0</v>
      </c>
      <c r="F692" s="61">
        <v>719.81299999999999</v>
      </c>
      <c r="G692" s="60">
        <v>0</v>
      </c>
      <c r="H692" s="61">
        <v>719.81299999999999</v>
      </c>
      <c r="I692" s="60">
        <v>0</v>
      </c>
      <c r="J692" s="61">
        <v>719.81299999999999</v>
      </c>
      <c r="K692" s="60">
        <v>0</v>
      </c>
      <c r="L692" s="61">
        <v>719.81299999999999</v>
      </c>
      <c r="M692" s="60">
        <v>0</v>
      </c>
      <c r="N692" s="61">
        <v>0</v>
      </c>
      <c r="O692" s="62" t="s">
        <v>506</v>
      </c>
      <c r="P692" s="63"/>
      <c r="Q692" s="82"/>
    </row>
    <row r="693" spans="1:17" ht="72" x14ac:dyDescent="0.25">
      <c r="A693" s="1">
        <v>19</v>
      </c>
      <c r="B693" s="57">
        <f t="shared" si="61"/>
        <v>19</v>
      </c>
      <c r="C693" s="58" t="s">
        <v>924</v>
      </c>
      <c r="D693" s="59" t="s">
        <v>38</v>
      </c>
      <c r="E693" s="60">
        <v>0</v>
      </c>
      <c r="F693" s="61">
        <v>1990.3019999999999</v>
      </c>
      <c r="G693" s="60">
        <v>0</v>
      </c>
      <c r="H693" s="61">
        <v>1990.3019999999999</v>
      </c>
      <c r="I693" s="60">
        <v>0</v>
      </c>
      <c r="J693" s="61">
        <v>1954.85</v>
      </c>
      <c r="K693" s="60">
        <v>0</v>
      </c>
      <c r="L693" s="61">
        <v>1398.7439999999999</v>
      </c>
      <c r="M693" s="60">
        <v>0</v>
      </c>
      <c r="N693" s="61">
        <v>0</v>
      </c>
      <c r="O693" s="62" t="s">
        <v>506</v>
      </c>
      <c r="P693" s="63"/>
      <c r="Q693" s="82"/>
    </row>
    <row r="694" spans="1:17" ht="108" x14ac:dyDescent="0.25">
      <c r="A694" s="1">
        <v>19</v>
      </c>
      <c r="B694" s="57">
        <f t="shared" si="61"/>
        <v>20</v>
      </c>
      <c r="C694" s="58" t="s">
        <v>925</v>
      </c>
      <c r="D694" s="59" t="s">
        <v>38</v>
      </c>
      <c r="E694" s="60">
        <v>0</v>
      </c>
      <c r="F694" s="61">
        <v>2253.5369999999998</v>
      </c>
      <c r="G694" s="60">
        <v>0</v>
      </c>
      <c r="H694" s="61">
        <v>2253.5369999999998</v>
      </c>
      <c r="I694" s="60">
        <v>0</v>
      </c>
      <c r="J694" s="61">
        <v>2026.9480000000001</v>
      </c>
      <c r="K694" s="60">
        <v>0</v>
      </c>
      <c r="L694" s="61">
        <v>2026.9480000000001</v>
      </c>
      <c r="M694" s="60">
        <v>0</v>
      </c>
      <c r="N694" s="61">
        <v>0</v>
      </c>
      <c r="O694" s="62" t="s">
        <v>506</v>
      </c>
      <c r="P694" s="63"/>
      <c r="Q694" s="82"/>
    </row>
    <row r="695" spans="1:17" ht="72" x14ac:dyDescent="0.25">
      <c r="A695" s="1">
        <v>19</v>
      </c>
      <c r="B695" s="57">
        <f t="shared" si="61"/>
        <v>21</v>
      </c>
      <c r="C695" s="58" t="s">
        <v>926</v>
      </c>
      <c r="D695" s="59" t="s">
        <v>38</v>
      </c>
      <c r="E695" s="60">
        <v>0</v>
      </c>
      <c r="F695" s="61">
        <v>3095.92</v>
      </c>
      <c r="G695" s="60">
        <v>0</v>
      </c>
      <c r="H695" s="61">
        <v>3095.92</v>
      </c>
      <c r="I695" s="60">
        <v>0</v>
      </c>
      <c r="J695" s="61">
        <v>3095.92</v>
      </c>
      <c r="K695" s="60">
        <v>0</v>
      </c>
      <c r="L695" s="61">
        <v>3095.92</v>
      </c>
      <c r="M695" s="60">
        <v>0</v>
      </c>
      <c r="N695" s="61">
        <v>0</v>
      </c>
      <c r="O695" s="62" t="s">
        <v>900</v>
      </c>
      <c r="P695" s="63" t="s">
        <v>927</v>
      </c>
      <c r="Q695" s="82" t="s">
        <v>41</v>
      </c>
    </row>
    <row r="696" spans="1:17" ht="72" x14ac:dyDescent="0.25">
      <c r="A696" s="1">
        <v>19</v>
      </c>
      <c r="B696" s="57">
        <f t="shared" si="61"/>
        <v>22</v>
      </c>
      <c r="C696" s="58" t="s">
        <v>928</v>
      </c>
      <c r="D696" s="59" t="s">
        <v>38</v>
      </c>
      <c r="E696" s="60">
        <v>0</v>
      </c>
      <c r="F696" s="61">
        <v>1667.768</v>
      </c>
      <c r="G696" s="60">
        <v>0</v>
      </c>
      <c r="H696" s="61">
        <v>1667.768</v>
      </c>
      <c r="I696" s="60">
        <v>0</v>
      </c>
      <c r="J696" s="61">
        <v>1667.768</v>
      </c>
      <c r="K696" s="60">
        <v>0</v>
      </c>
      <c r="L696" s="61">
        <v>1667.768</v>
      </c>
      <c r="M696" s="60">
        <v>0</v>
      </c>
      <c r="N696" s="61">
        <v>0</v>
      </c>
      <c r="O696" s="62" t="s">
        <v>900</v>
      </c>
      <c r="P696" s="63" t="s">
        <v>929</v>
      </c>
      <c r="Q696" s="82" t="s">
        <v>41</v>
      </c>
    </row>
    <row r="697" spans="1:17" ht="90" x14ac:dyDescent="0.25">
      <c r="A697" s="1">
        <v>19</v>
      </c>
      <c r="B697" s="57">
        <f t="shared" si="61"/>
        <v>23</v>
      </c>
      <c r="C697" s="58" t="s">
        <v>930</v>
      </c>
      <c r="D697" s="59" t="s">
        <v>38</v>
      </c>
      <c r="E697" s="60">
        <v>0</v>
      </c>
      <c r="F697" s="61">
        <v>5637.3119999999999</v>
      </c>
      <c r="G697" s="60">
        <v>0</v>
      </c>
      <c r="H697" s="61">
        <v>5637.3119999999999</v>
      </c>
      <c r="I697" s="60">
        <v>0</v>
      </c>
      <c r="J697" s="61">
        <v>5527.6670000000004</v>
      </c>
      <c r="K697" s="60">
        <v>0</v>
      </c>
      <c r="L697" s="61">
        <v>4805.4459999999999</v>
      </c>
      <c r="M697" s="60">
        <v>0</v>
      </c>
      <c r="N697" s="61">
        <v>0</v>
      </c>
      <c r="O697" s="62" t="s">
        <v>506</v>
      </c>
      <c r="P697" s="63"/>
      <c r="Q697" s="82"/>
    </row>
    <row r="698" spans="1:17" ht="90" x14ac:dyDescent="0.25">
      <c r="A698" s="1">
        <v>19</v>
      </c>
      <c r="B698" s="57">
        <f t="shared" si="61"/>
        <v>24</v>
      </c>
      <c r="C698" s="58" t="s">
        <v>931</v>
      </c>
      <c r="D698" s="59" t="s">
        <v>38</v>
      </c>
      <c r="E698" s="60">
        <v>0</v>
      </c>
      <c r="F698" s="61">
        <v>1407.537</v>
      </c>
      <c r="G698" s="60">
        <v>0</v>
      </c>
      <c r="H698" s="61">
        <v>1407.537</v>
      </c>
      <c r="I698" s="60">
        <v>0</v>
      </c>
      <c r="J698" s="61">
        <v>1333.577</v>
      </c>
      <c r="K698" s="60">
        <v>0</v>
      </c>
      <c r="L698" s="61">
        <v>1333.577</v>
      </c>
      <c r="M698" s="60">
        <v>0</v>
      </c>
      <c r="N698" s="61">
        <v>0</v>
      </c>
      <c r="O698" s="62" t="s">
        <v>506</v>
      </c>
      <c r="P698" s="63"/>
      <c r="Q698" s="82"/>
    </row>
    <row r="699" spans="1:17" ht="108" x14ac:dyDescent="0.25">
      <c r="A699" s="1">
        <v>19</v>
      </c>
      <c r="B699" s="57">
        <f t="shared" si="61"/>
        <v>25</v>
      </c>
      <c r="C699" s="58" t="s">
        <v>932</v>
      </c>
      <c r="D699" s="59" t="s">
        <v>38</v>
      </c>
      <c r="E699" s="60">
        <v>0</v>
      </c>
      <c r="F699" s="61">
        <v>1050.037</v>
      </c>
      <c r="G699" s="60">
        <v>0</v>
      </c>
      <c r="H699" s="61">
        <v>1050.037</v>
      </c>
      <c r="I699" s="60">
        <v>0</v>
      </c>
      <c r="J699" s="61">
        <v>1050.037</v>
      </c>
      <c r="K699" s="60">
        <v>0</v>
      </c>
      <c r="L699" s="61">
        <v>1050.037</v>
      </c>
      <c r="M699" s="60">
        <v>0</v>
      </c>
      <c r="N699" s="61">
        <v>0</v>
      </c>
      <c r="O699" s="62" t="s">
        <v>900</v>
      </c>
      <c r="P699" s="63" t="s">
        <v>121</v>
      </c>
      <c r="Q699" s="82" t="s">
        <v>41</v>
      </c>
    </row>
    <row r="700" spans="1:17" ht="72" x14ac:dyDescent="0.25">
      <c r="A700" s="1">
        <v>19</v>
      </c>
      <c r="B700" s="57">
        <f t="shared" si="61"/>
        <v>26</v>
      </c>
      <c r="C700" s="58" t="s">
        <v>933</v>
      </c>
      <c r="D700" s="59" t="s">
        <v>38</v>
      </c>
      <c r="E700" s="60">
        <v>0</v>
      </c>
      <c r="F700" s="61">
        <v>2572.8069999999998</v>
      </c>
      <c r="G700" s="60">
        <v>0</v>
      </c>
      <c r="H700" s="61">
        <v>2572.8069999999998</v>
      </c>
      <c r="I700" s="60">
        <v>0</v>
      </c>
      <c r="J700" s="61">
        <v>2334.9160000000002</v>
      </c>
      <c r="K700" s="60">
        <v>0</v>
      </c>
      <c r="L700" s="61">
        <v>1590.431</v>
      </c>
      <c r="M700" s="60">
        <v>0</v>
      </c>
      <c r="N700" s="61">
        <v>0</v>
      </c>
      <c r="O700" s="62" t="s">
        <v>506</v>
      </c>
      <c r="P700" s="63"/>
      <c r="Q700" s="82"/>
    </row>
    <row r="701" spans="1:17" ht="90" x14ac:dyDescent="0.25">
      <c r="A701" s="1">
        <v>19</v>
      </c>
      <c r="B701" s="57">
        <f t="shared" si="61"/>
        <v>27</v>
      </c>
      <c r="C701" s="58" t="s">
        <v>934</v>
      </c>
      <c r="D701" s="59" t="s">
        <v>38</v>
      </c>
      <c r="E701" s="60">
        <v>2412.6619999999998</v>
      </c>
      <c r="F701" s="61">
        <v>0</v>
      </c>
      <c r="G701" s="60">
        <v>2412.6619999999998</v>
      </c>
      <c r="H701" s="61">
        <v>0</v>
      </c>
      <c r="I701" s="60">
        <v>2176.34</v>
      </c>
      <c r="J701" s="61">
        <v>0</v>
      </c>
      <c r="K701" s="60">
        <v>2176.34</v>
      </c>
      <c r="L701" s="61">
        <v>0</v>
      </c>
      <c r="M701" s="60">
        <v>0</v>
      </c>
      <c r="N701" s="61">
        <v>0</v>
      </c>
      <c r="O701" s="62" t="s">
        <v>900</v>
      </c>
      <c r="P701" s="63" t="s">
        <v>125</v>
      </c>
      <c r="Q701" s="82" t="s">
        <v>41</v>
      </c>
    </row>
    <row r="702" spans="1:17" ht="90" x14ac:dyDescent="0.25">
      <c r="A702" s="1">
        <v>19</v>
      </c>
      <c r="B702" s="57">
        <f t="shared" si="61"/>
        <v>28</v>
      </c>
      <c r="C702" s="58" t="s">
        <v>935</v>
      </c>
      <c r="D702" s="59" t="s">
        <v>38</v>
      </c>
      <c r="E702" s="60">
        <v>1165.0219999999999</v>
      </c>
      <c r="F702" s="61">
        <v>0</v>
      </c>
      <c r="G702" s="60">
        <v>1165.0219999999999</v>
      </c>
      <c r="H702" s="61">
        <v>0</v>
      </c>
      <c r="I702" s="60">
        <v>1141.3510000000001</v>
      </c>
      <c r="J702" s="61">
        <v>0</v>
      </c>
      <c r="K702" s="60">
        <v>1141.3510000000001</v>
      </c>
      <c r="L702" s="61">
        <v>0</v>
      </c>
      <c r="M702" s="60">
        <v>0</v>
      </c>
      <c r="N702" s="61">
        <v>0</v>
      </c>
      <c r="O702" s="62" t="s">
        <v>900</v>
      </c>
      <c r="P702" s="63" t="s">
        <v>936</v>
      </c>
      <c r="Q702" s="82" t="s">
        <v>41</v>
      </c>
    </row>
    <row r="703" spans="1:17" ht="108" x14ac:dyDescent="0.25">
      <c r="A703" s="1">
        <v>19</v>
      </c>
      <c r="B703" s="57">
        <f t="shared" si="61"/>
        <v>29</v>
      </c>
      <c r="C703" s="58" t="s">
        <v>937</v>
      </c>
      <c r="D703" s="59" t="s">
        <v>38</v>
      </c>
      <c r="E703" s="60">
        <v>460.25</v>
      </c>
      <c r="F703" s="61">
        <v>0</v>
      </c>
      <c r="G703" s="60">
        <v>460.25</v>
      </c>
      <c r="H703" s="61">
        <v>0</v>
      </c>
      <c r="I703" s="60">
        <v>430.67599999999999</v>
      </c>
      <c r="J703" s="61">
        <v>0</v>
      </c>
      <c r="K703" s="60">
        <v>430.67599999999999</v>
      </c>
      <c r="L703" s="61">
        <v>0</v>
      </c>
      <c r="M703" s="60">
        <v>0</v>
      </c>
      <c r="N703" s="61">
        <v>0</v>
      </c>
      <c r="O703" s="62" t="s">
        <v>900</v>
      </c>
      <c r="P703" s="63" t="s">
        <v>938</v>
      </c>
      <c r="Q703" s="82" t="s">
        <v>41</v>
      </c>
    </row>
    <row r="704" spans="1:17" ht="144" x14ac:dyDescent="0.25">
      <c r="A704" s="1">
        <v>19</v>
      </c>
      <c r="B704" s="57">
        <f t="shared" si="61"/>
        <v>30</v>
      </c>
      <c r="C704" s="58" t="s">
        <v>939</v>
      </c>
      <c r="D704" s="59" t="s">
        <v>38</v>
      </c>
      <c r="E704" s="60">
        <v>612.26900000000001</v>
      </c>
      <c r="F704" s="61">
        <v>0</v>
      </c>
      <c r="G704" s="60">
        <v>612.26900000000001</v>
      </c>
      <c r="H704" s="61">
        <v>0</v>
      </c>
      <c r="I704" s="60">
        <v>601.31399999999996</v>
      </c>
      <c r="J704" s="61">
        <v>0</v>
      </c>
      <c r="K704" s="60">
        <v>601.31399999999996</v>
      </c>
      <c r="L704" s="61">
        <v>0</v>
      </c>
      <c r="M704" s="60">
        <v>0</v>
      </c>
      <c r="N704" s="61">
        <v>0</v>
      </c>
      <c r="O704" s="62" t="s">
        <v>900</v>
      </c>
      <c r="P704" s="63" t="s">
        <v>940</v>
      </c>
      <c r="Q704" s="82" t="s">
        <v>41</v>
      </c>
    </row>
    <row r="705" spans="1:17" ht="54" x14ac:dyDescent="0.25">
      <c r="A705" s="1">
        <v>19</v>
      </c>
      <c r="B705" s="57">
        <f t="shared" si="61"/>
        <v>31</v>
      </c>
      <c r="C705" s="58" t="s">
        <v>941</v>
      </c>
      <c r="D705" s="59" t="s">
        <v>38</v>
      </c>
      <c r="E705" s="60">
        <v>3724</v>
      </c>
      <c r="F705" s="61">
        <v>0</v>
      </c>
      <c r="G705" s="60">
        <v>3724</v>
      </c>
      <c r="H705" s="61">
        <v>0</v>
      </c>
      <c r="I705" s="60">
        <v>3724</v>
      </c>
      <c r="J705" s="61">
        <v>0</v>
      </c>
      <c r="K705" s="60">
        <v>3724</v>
      </c>
      <c r="L705" s="61">
        <v>0</v>
      </c>
      <c r="M705" s="60">
        <v>0</v>
      </c>
      <c r="N705" s="61">
        <v>0</v>
      </c>
      <c r="O705" s="62" t="s">
        <v>900</v>
      </c>
      <c r="P705" s="63" t="s">
        <v>114</v>
      </c>
      <c r="Q705" s="82" t="s">
        <v>41</v>
      </c>
    </row>
    <row r="706" spans="1:17" ht="72" x14ac:dyDescent="0.25">
      <c r="A706" s="1">
        <v>19</v>
      </c>
      <c r="B706" s="57">
        <f t="shared" si="61"/>
        <v>32</v>
      </c>
      <c r="C706" s="58" t="s">
        <v>942</v>
      </c>
      <c r="D706" s="59" t="s">
        <v>38</v>
      </c>
      <c r="E706" s="60">
        <v>2902.1759999999999</v>
      </c>
      <c r="F706" s="61">
        <v>0</v>
      </c>
      <c r="G706" s="60">
        <v>2902.1759999999999</v>
      </c>
      <c r="H706" s="61">
        <v>0</v>
      </c>
      <c r="I706" s="60">
        <v>2902.1759999999999</v>
      </c>
      <c r="J706" s="61">
        <v>0</v>
      </c>
      <c r="K706" s="60">
        <v>2902.1759999999999</v>
      </c>
      <c r="L706" s="61">
        <v>0</v>
      </c>
      <c r="M706" s="60">
        <v>0</v>
      </c>
      <c r="N706" s="61">
        <v>0</v>
      </c>
      <c r="O706" s="62" t="s">
        <v>900</v>
      </c>
      <c r="P706" s="63" t="s">
        <v>114</v>
      </c>
      <c r="Q706" s="82" t="s">
        <v>41</v>
      </c>
    </row>
    <row r="707" spans="1:17" ht="72" x14ac:dyDescent="0.25">
      <c r="A707" s="1">
        <v>19</v>
      </c>
      <c r="B707" s="57">
        <f t="shared" si="61"/>
        <v>33</v>
      </c>
      <c r="C707" s="58" t="s">
        <v>943</v>
      </c>
      <c r="D707" s="59" t="s">
        <v>38</v>
      </c>
      <c r="E707" s="60">
        <v>516</v>
      </c>
      <c r="F707" s="61">
        <v>0</v>
      </c>
      <c r="G707" s="60">
        <v>516</v>
      </c>
      <c r="H707" s="61">
        <v>0</v>
      </c>
      <c r="I707" s="60">
        <v>510.00900000000001</v>
      </c>
      <c r="J707" s="61">
        <v>0</v>
      </c>
      <c r="K707" s="60">
        <v>510.00900000000001</v>
      </c>
      <c r="L707" s="61">
        <v>0</v>
      </c>
      <c r="M707" s="60">
        <v>0</v>
      </c>
      <c r="N707" s="61">
        <v>0</v>
      </c>
      <c r="O707" s="62" t="s">
        <v>900</v>
      </c>
      <c r="P707" s="63" t="s">
        <v>121</v>
      </c>
      <c r="Q707" s="82" t="s">
        <v>41</v>
      </c>
    </row>
    <row r="708" spans="1:17" ht="54" x14ac:dyDescent="0.25">
      <c r="A708" s="1">
        <v>19</v>
      </c>
      <c r="B708" s="57">
        <f t="shared" si="61"/>
        <v>34</v>
      </c>
      <c r="C708" s="58" t="s">
        <v>944</v>
      </c>
      <c r="D708" s="59" t="s">
        <v>96</v>
      </c>
      <c r="E708" s="60">
        <v>5075.2449999999999</v>
      </c>
      <c r="F708" s="61">
        <f>0+1322.773</f>
        <v>1322.7729999999999</v>
      </c>
      <c r="G708" s="60">
        <v>5075.2449999999999</v>
      </c>
      <c r="H708" s="61">
        <v>1322.7729999999999</v>
      </c>
      <c r="I708" s="60">
        <v>5075.2449999999999</v>
      </c>
      <c r="J708" s="61">
        <v>0</v>
      </c>
      <c r="K708" s="60">
        <v>5075.2449999999999</v>
      </c>
      <c r="L708" s="61">
        <v>0</v>
      </c>
      <c r="M708" s="60">
        <v>0</v>
      </c>
      <c r="N708" s="61">
        <v>0</v>
      </c>
      <c r="O708" s="62" t="s">
        <v>506</v>
      </c>
      <c r="P708" s="63"/>
      <c r="Q708" s="82"/>
    </row>
    <row r="709" spans="1:17" ht="108" x14ac:dyDescent="0.25">
      <c r="A709" s="1">
        <v>19</v>
      </c>
      <c r="B709" s="57">
        <f t="shared" si="61"/>
        <v>35</v>
      </c>
      <c r="C709" s="58" t="s">
        <v>945</v>
      </c>
      <c r="D709" s="59" t="s">
        <v>51</v>
      </c>
      <c r="E709" s="60">
        <v>351.80099999999999</v>
      </c>
      <c r="F709" s="61">
        <v>2840.049</v>
      </c>
      <c r="G709" s="60">
        <v>351.80099999999999</v>
      </c>
      <c r="H709" s="61">
        <v>2840.049</v>
      </c>
      <c r="I709" s="60">
        <v>351.80099999999999</v>
      </c>
      <c r="J709" s="61">
        <v>2566.8939999999998</v>
      </c>
      <c r="K709" s="60">
        <v>284.24099999999999</v>
      </c>
      <c r="L709" s="61">
        <v>2566.8939999999998</v>
      </c>
      <c r="M709" s="60">
        <v>0</v>
      </c>
      <c r="N709" s="61">
        <v>0</v>
      </c>
      <c r="O709" s="62" t="s">
        <v>506</v>
      </c>
      <c r="P709" s="63"/>
      <c r="Q709" s="82"/>
    </row>
    <row r="710" spans="1:17" ht="108" x14ac:dyDescent="0.25">
      <c r="A710" s="1">
        <v>19</v>
      </c>
      <c r="B710" s="57">
        <f t="shared" si="61"/>
        <v>36</v>
      </c>
      <c r="C710" s="58" t="s">
        <v>946</v>
      </c>
      <c r="D710" s="59" t="s">
        <v>38</v>
      </c>
      <c r="E710" s="60">
        <v>0</v>
      </c>
      <c r="F710" s="61">
        <v>1065.8710000000001</v>
      </c>
      <c r="G710" s="60">
        <v>0</v>
      </c>
      <c r="H710" s="61">
        <v>1065.8710000000001</v>
      </c>
      <c r="I710" s="60">
        <v>0</v>
      </c>
      <c r="J710" s="61">
        <v>1055.1569999999999</v>
      </c>
      <c r="K710" s="60">
        <v>0</v>
      </c>
      <c r="L710" s="61">
        <v>1055.1569999999999</v>
      </c>
      <c r="M710" s="60">
        <v>0</v>
      </c>
      <c r="N710" s="61">
        <v>0</v>
      </c>
      <c r="O710" s="62" t="s">
        <v>900</v>
      </c>
      <c r="P710" s="63" t="s">
        <v>114</v>
      </c>
      <c r="Q710" s="82" t="s">
        <v>41</v>
      </c>
    </row>
    <row r="711" spans="1:17" ht="90" x14ac:dyDescent="0.25">
      <c r="A711" s="1">
        <v>19</v>
      </c>
      <c r="B711" s="57">
        <f t="shared" si="61"/>
        <v>37</v>
      </c>
      <c r="C711" s="58" t="s">
        <v>947</v>
      </c>
      <c r="D711" s="59" t="s">
        <v>38</v>
      </c>
      <c r="E711" s="60">
        <v>0</v>
      </c>
      <c r="F711" s="61">
        <v>360.71800000000002</v>
      </c>
      <c r="G711" s="60">
        <v>0</v>
      </c>
      <c r="H711" s="61">
        <v>360.71800000000002</v>
      </c>
      <c r="I711" s="60">
        <v>0</v>
      </c>
      <c r="J711" s="61">
        <v>360.71800000000002</v>
      </c>
      <c r="K711" s="60">
        <v>0</v>
      </c>
      <c r="L711" s="61">
        <v>360.71800000000002</v>
      </c>
      <c r="M711" s="60">
        <v>0</v>
      </c>
      <c r="N711" s="61">
        <v>0</v>
      </c>
      <c r="O711" s="62" t="s">
        <v>900</v>
      </c>
      <c r="P711" s="63" t="s">
        <v>948</v>
      </c>
      <c r="Q711" s="82" t="s">
        <v>41</v>
      </c>
    </row>
    <row r="712" spans="1:17" ht="72" x14ac:dyDescent="0.25">
      <c r="A712" s="1">
        <v>19</v>
      </c>
      <c r="B712" s="57">
        <f t="shared" si="61"/>
        <v>38</v>
      </c>
      <c r="C712" s="58" t="s">
        <v>949</v>
      </c>
      <c r="D712" s="59" t="s">
        <v>38</v>
      </c>
      <c r="E712" s="60">
        <v>0</v>
      </c>
      <c r="F712" s="61">
        <v>310.71600000000001</v>
      </c>
      <c r="G712" s="60">
        <v>0</v>
      </c>
      <c r="H712" s="61">
        <v>310.71600000000001</v>
      </c>
      <c r="I712" s="60">
        <v>0</v>
      </c>
      <c r="J712" s="61">
        <v>291.11200000000002</v>
      </c>
      <c r="K712" s="60">
        <v>0</v>
      </c>
      <c r="L712" s="61">
        <v>291.11200000000002</v>
      </c>
      <c r="M712" s="60">
        <v>0</v>
      </c>
      <c r="N712" s="61">
        <v>0</v>
      </c>
      <c r="O712" s="62" t="s">
        <v>900</v>
      </c>
      <c r="P712" s="63" t="s">
        <v>114</v>
      </c>
      <c r="Q712" s="82" t="s">
        <v>41</v>
      </c>
    </row>
    <row r="713" spans="1:17" ht="72" x14ac:dyDescent="0.25">
      <c r="A713" s="1">
        <v>19</v>
      </c>
      <c r="B713" s="57">
        <f t="shared" si="61"/>
        <v>39</v>
      </c>
      <c r="C713" s="58" t="s">
        <v>950</v>
      </c>
      <c r="D713" s="59" t="s">
        <v>38</v>
      </c>
      <c r="E713" s="60">
        <v>0</v>
      </c>
      <c r="F713" s="61">
        <v>2483.828</v>
      </c>
      <c r="G713" s="60">
        <v>0</v>
      </c>
      <c r="H713" s="61">
        <v>2483.828</v>
      </c>
      <c r="I713" s="60">
        <v>0</v>
      </c>
      <c r="J713" s="61">
        <v>2441.404</v>
      </c>
      <c r="K713" s="60">
        <v>0</v>
      </c>
      <c r="L713" s="61">
        <v>2441.404</v>
      </c>
      <c r="M713" s="60">
        <v>0</v>
      </c>
      <c r="N713" s="61">
        <v>0</v>
      </c>
      <c r="O713" s="62" t="s">
        <v>506</v>
      </c>
      <c r="P713" s="63"/>
      <c r="Q713" s="82"/>
    </row>
    <row r="714" spans="1:17" ht="162" x14ac:dyDescent="0.25">
      <c r="A714" s="1">
        <v>19</v>
      </c>
      <c r="B714" s="57">
        <f t="shared" si="61"/>
        <v>40</v>
      </c>
      <c r="C714" s="58" t="s">
        <v>951</v>
      </c>
      <c r="D714" s="59" t="s">
        <v>51</v>
      </c>
      <c r="E714" s="60">
        <v>0</v>
      </c>
      <c r="F714" s="61">
        <v>644.32000000000005</v>
      </c>
      <c r="G714" s="60">
        <v>0</v>
      </c>
      <c r="H714" s="61">
        <v>644.32000000000005</v>
      </c>
      <c r="I714" s="60">
        <v>0</v>
      </c>
      <c r="J714" s="61">
        <v>644.32000000000005</v>
      </c>
      <c r="K714" s="60">
        <v>0</v>
      </c>
      <c r="L714" s="61">
        <v>644.32000000000005</v>
      </c>
      <c r="M714" s="60">
        <v>0</v>
      </c>
      <c r="N714" s="61">
        <v>0</v>
      </c>
      <c r="O714" s="62" t="s">
        <v>900</v>
      </c>
      <c r="P714" s="63" t="s">
        <v>40</v>
      </c>
      <c r="Q714" s="82" t="s">
        <v>41</v>
      </c>
    </row>
    <row r="715" spans="1:17" ht="144" x14ac:dyDescent="0.25">
      <c r="A715" s="1">
        <v>19</v>
      </c>
      <c r="B715" s="57">
        <f t="shared" si="61"/>
        <v>41</v>
      </c>
      <c r="C715" s="58" t="s">
        <v>952</v>
      </c>
      <c r="D715" s="59" t="s">
        <v>38</v>
      </c>
      <c r="E715" s="60">
        <v>0</v>
      </c>
      <c r="F715" s="61">
        <v>3207.721</v>
      </c>
      <c r="G715" s="60">
        <v>0</v>
      </c>
      <c r="H715" s="61">
        <v>3207.721</v>
      </c>
      <c r="I715" s="60">
        <v>0</v>
      </c>
      <c r="J715" s="61">
        <v>3148.692</v>
      </c>
      <c r="K715" s="60">
        <v>0</v>
      </c>
      <c r="L715" s="61">
        <v>3148.692</v>
      </c>
      <c r="M715" s="60">
        <v>0</v>
      </c>
      <c r="N715" s="61">
        <v>0</v>
      </c>
      <c r="O715" s="62" t="s">
        <v>900</v>
      </c>
      <c r="P715" s="63" t="s">
        <v>114</v>
      </c>
      <c r="Q715" s="82" t="s">
        <v>41</v>
      </c>
    </row>
    <row r="716" spans="1:17" ht="72" x14ac:dyDescent="0.25">
      <c r="A716" s="1">
        <v>19</v>
      </c>
      <c r="B716" s="57">
        <f t="shared" si="61"/>
        <v>42</v>
      </c>
      <c r="C716" s="58" t="s">
        <v>953</v>
      </c>
      <c r="D716" s="59" t="s">
        <v>38</v>
      </c>
      <c r="E716" s="60">
        <v>0</v>
      </c>
      <c r="F716" s="61">
        <v>599.26599999999996</v>
      </c>
      <c r="G716" s="60">
        <v>0</v>
      </c>
      <c r="H716" s="61">
        <v>599.26599999999996</v>
      </c>
      <c r="I716" s="60">
        <v>0</v>
      </c>
      <c r="J716" s="61">
        <v>417.262</v>
      </c>
      <c r="K716" s="60">
        <v>0</v>
      </c>
      <c r="L716" s="61">
        <f>599.266-182.004</f>
        <v>417.26199999999994</v>
      </c>
      <c r="M716" s="60">
        <v>0</v>
      </c>
      <c r="N716" s="61">
        <v>0</v>
      </c>
      <c r="O716" s="62" t="s">
        <v>900</v>
      </c>
      <c r="P716" s="63" t="s">
        <v>954</v>
      </c>
      <c r="Q716" s="82" t="s">
        <v>41</v>
      </c>
    </row>
    <row r="717" spans="1:17" ht="54" x14ac:dyDescent="0.25">
      <c r="A717" s="1">
        <v>19</v>
      </c>
      <c r="B717" s="57">
        <f t="shared" si="61"/>
        <v>43</v>
      </c>
      <c r="C717" s="58" t="s">
        <v>955</v>
      </c>
      <c r="D717" s="59" t="s">
        <v>695</v>
      </c>
      <c r="E717" s="60">
        <v>0</v>
      </c>
      <c r="F717" s="61">
        <v>1000</v>
      </c>
      <c r="G717" s="60">
        <v>0</v>
      </c>
      <c r="H717" s="61">
        <v>1000</v>
      </c>
      <c r="I717" s="60">
        <v>0</v>
      </c>
      <c r="J717" s="61">
        <v>857.47799999999995</v>
      </c>
      <c r="K717" s="60">
        <v>0</v>
      </c>
      <c r="L717" s="61">
        <v>857.47799999999995</v>
      </c>
      <c r="M717" s="60">
        <v>0</v>
      </c>
      <c r="N717" s="61">
        <v>0</v>
      </c>
      <c r="O717" s="62" t="s">
        <v>956</v>
      </c>
      <c r="P717" s="63"/>
      <c r="Q717" s="82"/>
    </row>
    <row r="718" spans="1:17" ht="108" x14ac:dyDescent="0.25">
      <c r="A718" s="1">
        <v>19</v>
      </c>
      <c r="B718" s="57">
        <f t="shared" si="61"/>
        <v>44</v>
      </c>
      <c r="C718" s="58" t="s">
        <v>957</v>
      </c>
      <c r="D718" s="59" t="s">
        <v>35</v>
      </c>
      <c r="E718" s="60">
        <v>0</v>
      </c>
      <c r="F718" s="61">
        <v>1044</v>
      </c>
      <c r="G718" s="60">
        <v>0</v>
      </c>
      <c r="H718" s="61">
        <v>1044</v>
      </c>
      <c r="I718" s="60">
        <v>0</v>
      </c>
      <c r="J718" s="61">
        <v>1044</v>
      </c>
      <c r="K718" s="60">
        <v>0</v>
      </c>
      <c r="L718" s="61">
        <v>1044</v>
      </c>
      <c r="M718" s="60">
        <v>0</v>
      </c>
      <c r="N718" s="61">
        <v>0</v>
      </c>
      <c r="O718" s="62" t="s">
        <v>506</v>
      </c>
      <c r="P718" s="63"/>
      <c r="Q718" s="82"/>
    </row>
    <row r="719" spans="1:17" ht="54" x14ac:dyDescent="0.25">
      <c r="A719" s="1">
        <v>19</v>
      </c>
      <c r="B719" s="57">
        <f t="shared" si="61"/>
        <v>45</v>
      </c>
      <c r="C719" s="58" t="s">
        <v>958</v>
      </c>
      <c r="D719" s="59" t="s">
        <v>38</v>
      </c>
      <c r="E719" s="60">
        <v>0</v>
      </c>
      <c r="F719" s="61">
        <v>774.94799999999998</v>
      </c>
      <c r="G719" s="60">
        <v>0</v>
      </c>
      <c r="H719" s="61">
        <v>774.94799999999998</v>
      </c>
      <c r="I719" s="60">
        <v>0</v>
      </c>
      <c r="J719" s="61">
        <v>772.81100000000004</v>
      </c>
      <c r="K719" s="60">
        <v>0</v>
      </c>
      <c r="L719" s="61">
        <v>772.81100000000004</v>
      </c>
      <c r="M719" s="60">
        <v>0</v>
      </c>
      <c r="N719" s="61">
        <v>0</v>
      </c>
      <c r="O719" s="62" t="s">
        <v>900</v>
      </c>
      <c r="P719" s="63" t="s">
        <v>959</v>
      </c>
      <c r="Q719" s="82" t="s">
        <v>41</v>
      </c>
    </row>
    <row r="720" spans="1:17" ht="72" x14ac:dyDescent="0.25">
      <c r="A720" s="1">
        <v>19</v>
      </c>
      <c r="B720" s="57">
        <f t="shared" si="61"/>
        <v>46</v>
      </c>
      <c r="C720" s="58" t="s">
        <v>960</v>
      </c>
      <c r="D720" s="59" t="s">
        <v>38</v>
      </c>
      <c r="E720" s="60">
        <v>0</v>
      </c>
      <c r="F720" s="61">
        <v>1179.261</v>
      </c>
      <c r="G720" s="60">
        <v>0</v>
      </c>
      <c r="H720" s="61">
        <v>1179.261</v>
      </c>
      <c r="I720" s="60">
        <v>0</v>
      </c>
      <c r="J720" s="61">
        <v>1179.261</v>
      </c>
      <c r="K720" s="60">
        <v>0</v>
      </c>
      <c r="L720" s="61">
        <v>1179.261</v>
      </c>
      <c r="M720" s="60">
        <v>0</v>
      </c>
      <c r="N720" s="61">
        <v>0</v>
      </c>
      <c r="O720" s="62" t="s">
        <v>900</v>
      </c>
      <c r="P720" s="63" t="s">
        <v>40</v>
      </c>
      <c r="Q720" s="82" t="s">
        <v>41</v>
      </c>
    </row>
    <row r="721" spans="1:17" ht="72" x14ac:dyDescent="0.25">
      <c r="A721" s="1">
        <v>19</v>
      </c>
      <c r="B721" s="57">
        <f t="shared" si="61"/>
        <v>47</v>
      </c>
      <c r="C721" s="58" t="s">
        <v>961</v>
      </c>
      <c r="D721" s="59" t="s">
        <v>38</v>
      </c>
      <c r="E721" s="60">
        <v>0</v>
      </c>
      <c r="F721" s="61">
        <v>1116.75</v>
      </c>
      <c r="G721" s="60">
        <v>0</v>
      </c>
      <c r="H721" s="61">
        <v>1116.75</v>
      </c>
      <c r="I721" s="60">
        <v>0</v>
      </c>
      <c r="J721" s="61">
        <v>1083.857</v>
      </c>
      <c r="K721" s="60">
        <v>0</v>
      </c>
      <c r="L721" s="61">
        <v>1083.857</v>
      </c>
      <c r="M721" s="60">
        <v>0</v>
      </c>
      <c r="N721" s="61">
        <v>0</v>
      </c>
      <c r="O721" s="62" t="s">
        <v>900</v>
      </c>
      <c r="P721" s="63" t="s">
        <v>114</v>
      </c>
      <c r="Q721" s="82" t="s">
        <v>41</v>
      </c>
    </row>
    <row r="722" spans="1:17" ht="90" x14ac:dyDescent="0.25">
      <c r="A722" s="1">
        <v>19</v>
      </c>
      <c r="B722" s="57">
        <f t="shared" si="61"/>
        <v>48</v>
      </c>
      <c r="C722" s="58" t="s">
        <v>962</v>
      </c>
      <c r="D722" s="59" t="s">
        <v>38</v>
      </c>
      <c r="E722" s="60">
        <v>0</v>
      </c>
      <c r="F722" s="61">
        <v>390.4</v>
      </c>
      <c r="G722" s="60">
        <v>0</v>
      </c>
      <c r="H722" s="61">
        <v>390.4</v>
      </c>
      <c r="I722" s="60">
        <v>0</v>
      </c>
      <c r="J722" s="61">
        <v>390.4</v>
      </c>
      <c r="K722" s="60">
        <v>0</v>
      </c>
      <c r="L722" s="61">
        <v>390.4</v>
      </c>
      <c r="M722" s="60">
        <v>0</v>
      </c>
      <c r="N722" s="61">
        <v>0</v>
      </c>
      <c r="O722" s="62" t="s">
        <v>506</v>
      </c>
      <c r="P722" s="63"/>
      <c r="Q722" s="82"/>
    </row>
    <row r="723" spans="1:17" ht="90" x14ac:dyDescent="0.25">
      <c r="A723" s="1">
        <v>19</v>
      </c>
      <c r="B723" s="57">
        <f t="shared" si="61"/>
        <v>49</v>
      </c>
      <c r="C723" s="58" t="s">
        <v>963</v>
      </c>
      <c r="D723" s="59" t="s">
        <v>38</v>
      </c>
      <c r="E723" s="60">
        <v>0</v>
      </c>
      <c r="F723" s="61">
        <v>390.3</v>
      </c>
      <c r="G723" s="60">
        <v>0</v>
      </c>
      <c r="H723" s="61">
        <v>390.3</v>
      </c>
      <c r="I723" s="60">
        <v>0</v>
      </c>
      <c r="J723" s="61">
        <v>390.3</v>
      </c>
      <c r="K723" s="60">
        <v>0</v>
      </c>
      <c r="L723" s="61">
        <v>390.3</v>
      </c>
      <c r="M723" s="60">
        <v>0</v>
      </c>
      <c r="N723" s="61">
        <v>0</v>
      </c>
      <c r="O723" s="62" t="s">
        <v>506</v>
      </c>
      <c r="P723" s="63"/>
      <c r="Q723" s="82"/>
    </row>
    <row r="724" spans="1:17" ht="90" x14ac:dyDescent="0.25">
      <c r="A724" s="1">
        <v>19</v>
      </c>
      <c r="B724" s="57">
        <f t="shared" si="61"/>
        <v>50</v>
      </c>
      <c r="C724" s="58" t="s">
        <v>964</v>
      </c>
      <c r="D724" s="59" t="s">
        <v>38</v>
      </c>
      <c r="E724" s="60">
        <v>0</v>
      </c>
      <c r="F724" s="61">
        <v>5502.5690000000004</v>
      </c>
      <c r="G724" s="60">
        <v>0</v>
      </c>
      <c r="H724" s="61">
        <v>5502.5690000000004</v>
      </c>
      <c r="I724" s="60">
        <v>0</v>
      </c>
      <c r="J724" s="61">
        <v>5379.8469999999998</v>
      </c>
      <c r="K724" s="60">
        <v>0</v>
      </c>
      <c r="L724" s="61">
        <v>3762.9369999999999</v>
      </c>
      <c r="M724" s="60">
        <v>0</v>
      </c>
      <c r="N724" s="61">
        <v>0</v>
      </c>
      <c r="O724" s="62" t="s">
        <v>506</v>
      </c>
      <c r="P724" s="63"/>
      <c r="Q724" s="82"/>
    </row>
    <row r="725" spans="1:17" ht="126" x14ac:dyDescent="0.25">
      <c r="A725" s="1">
        <v>19</v>
      </c>
      <c r="B725" s="57">
        <f t="shared" si="61"/>
        <v>51</v>
      </c>
      <c r="C725" s="58" t="s">
        <v>965</v>
      </c>
      <c r="D725" s="59" t="s">
        <v>38</v>
      </c>
      <c r="E725" s="60">
        <v>0</v>
      </c>
      <c r="F725" s="61">
        <v>806.976</v>
      </c>
      <c r="G725" s="60">
        <v>0</v>
      </c>
      <c r="H725" s="61">
        <v>806.976</v>
      </c>
      <c r="I725" s="60">
        <v>0</v>
      </c>
      <c r="J725" s="61">
        <v>806.976</v>
      </c>
      <c r="K725" s="60">
        <v>0</v>
      </c>
      <c r="L725" s="61">
        <v>806.976</v>
      </c>
      <c r="M725" s="60">
        <v>0</v>
      </c>
      <c r="N725" s="61">
        <v>0</v>
      </c>
      <c r="O725" s="62" t="s">
        <v>900</v>
      </c>
      <c r="P725" s="63" t="s">
        <v>40</v>
      </c>
      <c r="Q725" s="82" t="s">
        <v>41</v>
      </c>
    </row>
    <row r="726" spans="1:17" ht="72" x14ac:dyDescent="0.25">
      <c r="A726" s="1">
        <v>19</v>
      </c>
      <c r="B726" s="57">
        <f t="shared" si="61"/>
        <v>52</v>
      </c>
      <c r="C726" s="58" t="s">
        <v>966</v>
      </c>
      <c r="D726" s="59" t="s">
        <v>38</v>
      </c>
      <c r="E726" s="60">
        <v>0</v>
      </c>
      <c r="F726" s="61">
        <v>224.511</v>
      </c>
      <c r="G726" s="60">
        <v>0</v>
      </c>
      <c r="H726" s="61">
        <v>224.511</v>
      </c>
      <c r="I726" s="60">
        <v>0</v>
      </c>
      <c r="J726" s="61">
        <v>224.511</v>
      </c>
      <c r="K726" s="60">
        <v>0</v>
      </c>
      <c r="L726" s="61">
        <v>224.511</v>
      </c>
      <c r="M726" s="60">
        <v>0</v>
      </c>
      <c r="N726" s="61">
        <v>0</v>
      </c>
      <c r="O726" s="62" t="s">
        <v>900</v>
      </c>
      <c r="P726" s="63" t="s">
        <v>40</v>
      </c>
      <c r="Q726" s="82" t="s">
        <v>41</v>
      </c>
    </row>
    <row r="727" spans="1:17" ht="54" x14ac:dyDescent="0.25">
      <c r="A727" s="1">
        <v>19</v>
      </c>
      <c r="B727" s="57">
        <f t="shared" si="61"/>
        <v>53</v>
      </c>
      <c r="C727" s="58" t="s">
        <v>967</v>
      </c>
      <c r="D727" s="59" t="s">
        <v>38</v>
      </c>
      <c r="E727" s="60">
        <v>0</v>
      </c>
      <c r="F727" s="61">
        <v>755.67100000000005</v>
      </c>
      <c r="G727" s="60">
        <v>0</v>
      </c>
      <c r="H727" s="61">
        <v>755.67100000000005</v>
      </c>
      <c r="I727" s="60">
        <v>0</v>
      </c>
      <c r="J727" s="61">
        <v>755.67100000000005</v>
      </c>
      <c r="K727" s="60">
        <v>0</v>
      </c>
      <c r="L727" s="61">
        <v>755.67100000000005</v>
      </c>
      <c r="M727" s="60">
        <v>0</v>
      </c>
      <c r="N727" s="61">
        <v>0</v>
      </c>
      <c r="O727" s="62" t="s">
        <v>900</v>
      </c>
      <c r="P727" s="63" t="s">
        <v>40</v>
      </c>
      <c r="Q727" s="82" t="s">
        <v>41</v>
      </c>
    </row>
    <row r="728" spans="1:17" ht="72" x14ac:dyDescent="0.25">
      <c r="A728" s="1">
        <v>19</v>
      </c>
      <c r="B728" s="57">
        <f t="shared" si="61"/>
        <v>54</v>
      </c>
      <c r="C728" s="58" t="s">
        <v>968</v>
      </c>
      <c r="D728" s="59" t="s">
        <v>38</v>
      </c>
      <c r="E728" s="60">
        <v>0</v>
      </c>
      <c r="F728" s="61">
        <v>994.495</v>
      </c>
      <c r="G728" s="60">
        <v>0</v>
      </c>
      <c r="H728" s="61">
        <v>994.495</v>
      </c>
      <c r="I728" s="60">
        <v>0</v>
      </c>
      <c r="J728" s="61">
        <v>994.495</v>
      </c>
      <c r="K728" s="60">
        <v>0</v>
      </c>
      <c r="L728" s="61">
        <v>994.495</v>
      </c>
      <c r="M728" s="60">
        <v>0</v>
      </c>
      <c r="N728" s="61">
        <v>0</v>
      </c>
      <c r="O728" s="62" t="s">
        <v>900</v>
      </c>
      <c r="P728" s="63" t="s">
        <v>40</v>
      </c>
      <c r="Q728" s="82" t="s">
        <v>41</v>
      </c>
    </row>
    <row r="729" spans="1:17" ht="108" x14ac:dyDescent="0.25">
      <c r="A729" s="1">
        <v>19</v>
      </c>
      <c r="B729" s="57">
        <f t="shared" si="61"/>
        <v>55</v>
      </c>
      <c r="C729" s="58" t="s">
        <v>969</v>
      </c>
      <c r="D729" s="59" t="s">
        <v>38</v>
      </c>
      <c r="E729" s="60">
        <v>0</v>
      </c>
      <c r="F729" s="61">
        <v>1912.8820000000001</v>
      </c>
      <c r="G729" s="60">
        <v>0</v>
      </c>
      <c r="H729" s="61">
        <v>1912.8820000000001</v>
      </c>
      <c r="I729" s="60">
        <v>0</v>
      </c>
      <c r="J729" s="61">
        <v>1681.4670000000001</v>
      </c>
      <c r="K729" s="60">
        <v>0</v>
      </c>
      <c r="L729" s="61">
        <v>1681.4670000000001</v>
      </c>
      <c r="M729" s="60">
        <v>0</v>
      </c>
      <c r="N729" s="61">
        <v>0</v>
      </c>
      <c r="O729" s="62" t="s">
        <v>900</v>
      </c>
      <c r="P729" s="63" t="s">
        <v>114</v>
      </c>
      <c r="Q729" s="82" t="s">
        <v>41</v>
      </c>
    </row>
    <row r="730" spans="1:17" ht="54" x14ac:dyDescent="0.25">
      <c r="A730" s="1">
        <v>19</v>
      </c>
      <c r="B730" s="57">
        <f t="shared" si="61"/>
        <v>56</v>
      </c>
      <c r="C730" s="58" t="s">
        <v>970</v>
      </c>
      <c r="D730" s="59" t="s">
        <v>38</v>
      </c>
      <c r="E730" s="60">
        <v>0</v>
      </c>
      <c r="F730" s="61">
        <v>1024.2539999999999</v>
      </c>
      <c r="G730" s="60">
        <v>0</v>
      </c>
      <c r="H730" s="61">
        <v>1024.2539999999999</v>
      </c>
      <c r="I730" s="60">
        <v>0</v>
      </c>
      <c r="J730" s="61">
        <v>1013.907</v>
      </c>
      <c r="K730" s="60">
        <v>0</v>
      </c>
      <c r="L730" s="61">
        <v>1013.907</v>
      </c>
      <c r="M730" s="60">
        <v>0</v>
      </c>
      <c r="N730" s="61">
        <v>0</v>
      </c>
      <c r="O730" s="62" t="s">
        <v>506</v>
      </c>
      <c r="P730" s="63"/>
      <c r="Q730" s="82"/>
    </row>
    <row r="731" spans="1:17" ht="90" x14ac:dyDescent="0.25">
      <c r="A731" s="1">
        <v>19</v>
      </c>
      <c r="B731" s="57">
        <f t="shared" si="61"/>
        <v>57</v>
      </c>
      <c r="C731" s="58" t="s">
        <v>971</v>
      </c>
      <c r="D731" s="59" t="s">
        <v>38</v>
      </c>
      <c r="E731" s="60">
        <v>0</v>
      </c>
      <c r="F731" s="61">
        <v>715.346</v>
      </c>
      <c r="G731" s="60">
        <v>0</v>
      </c>
      <c r="H731" s="61">
        <v>715.346</v>
      </c>
      <c r="I731" s="60">
        <v>0</v>
      </c>
      <c r="J731" s="61">
        <v>715.346</v>
      </c>
      <c r="K731" s="60">
        <v>0</v>
      </c>
      <c r="L731" s="61">
        <v>715.346</v>
      </c>
      <c r="M731" s="60">
        <v>0</v>
      </c>
      <c r="N731" s="61">
        <v>0</v>
      </c>
      <c r="O731" s="62" t="s">
        <v>900</v>
      </c>
      <c r="P731" s="63" t="s">
        <v>114</v>
      </c>
      <c r="Q731" s="82" t="s">
        <v>41</v>
      </c>
    </row>
    <row r="732" spans="1:17" ht="90" x14ac:dyDescent="0.25">
      <c r="A732" s="1">
        <v>19</v>
      </c>
      <c r="B732" s="57">
        <f t="shared" si="61"/>
        <v>58</v>
      </c>
      <c r="C732" s="58" t="s">
        <v>972</v>
      </c>
      <c r="D732" s="59" t="s">
        <v>38</v>
      </c>
      <c r="E732" s="60">
        <v>0</v>
      </c>
      <c r="F732" s="61">
        <v>819.16600000000005</v>
      </c>
      <c r="G732" s="60">
        <v>0</v>
      </c>
      <c r="H732" s="61">
        <v>819.16600000000005</v>
      </c>
      <c r="I732" s="60">
        <v>0</v>
      </c>
      <c r="J732" s="61">
        <v>819.16600000000005</v>
      </c>
      <c r="K732" s="60">
        <v>0</v>
      </c>
      <c r="L732" s="61">
        <v>819.16600000000005</v>
      </c>
      <c r="M732" s="60">
        <v>0</v>
      </c>
      <c r="N732" s="61">
        <v>0</v>
      </c>
      <c r="O732" s="62" t="s">
        <v>900</v>
      </c>
      <c r="P732" s="63" t="s">
        <v>40</v>
      </c>
      <c r="Q732" s="82" t="s">
        <v>41</v>
      </c>
    </row>
    <row r="733" spans="1:17" ht="108.75" thickBot="1" x14ac:dyDescent="0.3">
      <c r="A733" s="1">
        <v>19</v>
      </c>
      <c r="B733" s="68">
        <f t="shared" si="61"/>
        <v>59</v>
      </c>
      <c r="C733" s="69" t="s">
        <v>973</v>
      </c>
      <c r="D733" s="70" t="s">
        <v>38</v>
      </c>
      <c r="E733" s="80">
        <v>0</v>
      </c>
      <c r="F733" s="81">
        <v>551.86300000000006</v>
      </c>
      <c r="G733" s="80">
        <v>0</v>
      </c>
      <c r="H733" s="81">
        <v>551.86300000000006</v>
      </c>
      <c r="I733" s="80">
        <v>0</v>
      </c>
      <c r="J733" s="81">
        <v>551.86300000000006</v>
      </c>
      <c r="K733" s="80">
        <v>0</v>
      </c>
      <c r="L733" s="81">
        <v>551.86300000000006</v>
      </c>
      <c r="M733" s="80">
        <v>0</v>
      </c>
      <c r="N733" s="81">
        <v>0</v>
      </c>
      <c r="O733" s="73" t="s">
        <v>900</v>
      </c>
      <c r="P733" s="74" t="s">
        <v>114</v>
      </c>
      <c r="Q733" s="135" t="s">
        <v>41</v>
      </c>
    </row>
    <row r="734" spans="1:17" ht="18" x14ac:dyDescent="0.25">
      <c r="A734" s="1">
        <v>20</v>
      </c>
      <c r="B734" s="149" t="s">
        <v>974</v>
      </c>
      <c r="C734" s="150"/>
      <c r="D734" s="150"/>
      <c r="E734" s="150"/>
      <c r="F734" s="150"/>
      <c r="G734" s="150"/>
      <c r="H734" s="150"/>
      <c r="I734" s="150"/>
      <c r="J734" s="150"/>
      <c r="K734" s="150"/>
      <c r="L734" s="150"/>
      <c r="M734" s="150"/>
      <c r="N734" s="150"/>
      <c r="O734" s="150"/>
      <c r="P734" s="150"/>
      <c r="Q734" s="151"/>
    </row>
    <row r="735" spans="1:17" ht="18" x14ac:dyDescent="0.25">
      <c r="A735" s="1">
        <v>20</v>
      </c>
      <c r="B735" s="78"/>
      <c r="C735" s="41" t="s">
        <v>27</v>
      </c>
      <c r="D735" s="42"/>
      <c r="E735" s="43">
        <f t="shared" ref="E735:N735" si="62">SUM(E736,E738:E749)</f>
        <v>50773.75</v>
      </c>
      <c r="F735" s="44">
        <f t="shared" si="62"/>
        <v>126934.37599999999</v>
      </c>
      <c r="G735" s="43">
        <f t="shared" si="62"/>
        <v>50773.75</v>
      </c>
      <c r="H735" s="44">
        <f t="shared" si="62"/>
        <v>126934.37599999999</v>
      </c>
      <c r="I735" s="43">
        <f t="shared" si="62"/>
        <v>50755.714</v>
      </c>
      <c r="J735" s="44">
        <f t="shared" si="62"/>
        <v>125705.48599999999</v>
      </c>
      <c r="K735" s="43">
        <f t="shared" si="62"/>
        <v>50755.714</v>
      </c>
      <c r="L735" s="44">
        <f t="shared" si="62"/>
        <v>125705.48600000002</v>
      </c>
      <c r="M735" s="43">
        <f t="shared" si="62"/>
        <v>0</v>
      </c>
      <c r="N735" s="44">
        <f t="shared" si="62"/>
        <v>0</v>
      </c>
      <c r="O735" s="47"/>
      <c r="P735" s="48">
        <f>3+1</f>
        <v>4</v>
      </c>
      <c r="Q735" s="49"/>
    </row>
    <row r="736" spans="1:17" ht="18" x14ac:dyDescent="0.25">
      <c r="A736" s="1">
        <v>20</v>
      </c>
      <c r="B736" s="79"/>
      <c r="C736" s="50" t="s">
        <v>24</v>
      </c>
      <c r="D736" s="51"/>
      <c r="E736" s="52">
        <v>0</v>
      </c>
      <c r="F736" s="53">
        <v>0</v>
      </c>
      <c r="G736" s="52">
        <v>0</v>
      </c>
      <c r="H736" s="53">
        <v>0</v>
      </c>
      <c r="I736" s="52"/>
      <c r="J736" s="53"/>
      <c r="K736" s="52"/>
      <c r="L736" s="53"/>
      <c r="M736" s="52"/>
      <c r="N736" s="53"/>
      <c r="O736" s="56"/>
      <c r="P736" s="30"/>
      <c r="Q736" s="31"/>
    </row>
    <row r="737" spans="1:17" ht="36" x14ac:dyDescent="0.25">
      <c r="A737" s="1">
        <v>20</v>
      </c>
      <c r="B737" s="79"/>
      <c r="C737" s="50" t="s">
        <v>25</v>
      </c>
      <c r="D737" s="51"/>
      <c r="E737" s="52">
        <f t="shared" ref="E737:N737" si="63">SUM(E738:E749)</f>
        <v>50773.75</v>
      </c>
      <c r="F737" s="53">
        <f t="shared" si="63"/>
        <v>126934.37599999999</v>
      </c>
      <c r="G737" s="52">
        <f t="shared" si="63"/>
        <v>50773.75</v>
      </c>
      <c r="H737" s="53">
        <f t="shared" si="63"/>
        <v>126934.37599999999</v>
      </c>
      <c r="I737" s="52">
        <f t="shared" si="63"/>
        <v>50755.714</v>
      </c>
      <c r="J737" s="53">
        <f t="shared" si="63"/>
        <v>125705.48599999999</v>
      </c>
      <c r="K737" s="52">
        <f t="shared" si="63"/>
        <v>50755.714</v>
      </c>
      <c r="L737" s="53">
        <f t="shared" si="63"/>
        <v>125705.48600000002</v>
      </c>
      <c r="M737" s="52">
        <f t="shared" si="63"/>
        <v>0</v>
      </c>
      <c r="N737" s="53">
        <f t="shared" si="63"/>
        <v>0</v>
      </c>
      <c r="O737" s="56"/>
      <c r="P737" s="30"/>
      <c r="Q737" s="31"/>
    </row>
    <row r="738" spans="1:17" ht="108" x14ac:dyDescent="0.25">
      <c r="A738" s="1">
        <v>20</v>
      </c>
      <c r="B738" s="57">
        <v>1</v>
      </c>
      <c r="C738" s="58" t="s">
        <v>975</v>
      </c>
      <c r="D738" s="59" t="s">
        <v>35</v>
      </c>
      <c r="E738" s="60">
        <f>58000-22942.314</f>
        <v>35057.686000000002</v>
      </c>
      <c r="F738" s="61">
        <f>22942.314+3558.493</f>
        <v>26500.806999999997</v>
      </c>
      <c r="G738" s="60">
        <v>35057.686000000002</v>
      </c>
      <c r="H738" s="61">
        <v>26500.807000000001</v>
      </c>
      <c r="I738" s="60">
        <v>35040.322</v>
      </c>
      <c r="J738" s="61">
        <v>26496.756000000001</v>
      </c>
      <c r="K738" s="60">
        <v>35040.322</v>
      </c>
      <c r="L738" s="61">
        <v>26496.755000000001</v>
      </c>
      <c r="M738" s="60">
        <v>0</v>
      </c>
      <c r="N738" s="61">
        <v>0</v>
      </c>
      <c r="O738" s="62" t="s">
        <v>36</v>
      </c>
      <c r="P738" s="63"/>
      <c r="Q738" s="64"/>
    </row>
    <row r="739" spans="1:17" ht="90" x14ac:dyDescent="0.25">
      <c r="A739" s="1">
        <v>20</v>
      </c>
      <c r="B739" s="57">
        <f>B738+1</f>
        <v>2</v>
      </c>
      <c r="C739" s="58" t="s">
        <v>976</v>
      </c>
      <c r="D739" s="59" t="s">
        <v>35</v>
      </c>
      <c r="E739" s="60">
        <v>8100</v>
      </c>
      <c r="F739" s="61">
        <v>0</v>
      </c>
      <c r="G739" s="60">
        <v>8100</v>
      </c>
      <c r="H739" s="61">
        <v>0</v>
      </c>
      <c r="I739" s="60">
        <v>8099.3280000000004</v>
      </c>
      <c r="J739" s="61">
        <v>0</v>
      </c>
      <c r="K739" s="60">
        <v>8099.3280000000004</v>
      </c>
      <c r="L739" s="61">
        <v>0</v>
      </c>
      <c r="M739" s="60">
        <v>0</v>
      </c>
      <c r="N739" s="61">
        <v>0</v>
      </c>
      <c r="O739" s="62" t="s">
        <v>36</v>
      </c>
      <c r="P739" s="63"/>
      <c r="Q739" s="64"/>
    </row>
    <row r="740" spans="1:17" ht="72" x14ac:dyDescent="0.25">
      <c r="A740" s="1">
        <v>20</v>
      </c>
      <c r="B740" s="57">
        <f t="shared" ref="B740:B749" si="64">B739+1</f>
        <v>3</v>
      </c>
      <c r="C740" s="58" t="s">
        <v>977</v>
      </c>
      <c r="D740" s="59" t="s">
        <v>38</v>
      </c>
      <c r="E740" s="60">
        <f>28929.24-21313.176</f>
        <v>7616.0640000000021</v>
      </c>
      <c r="F740" s="61">
        <f>21313.176-6557.669</f>
        <v>14755.507</v>
      </c>
      <c r="G740" s="60">
        <v>7616.0640000000003</v>
      </c>
      <c r="H740" s="61">
        <v>14755.507</v>
      </c>
      <c r="I740" s="60">
        <v>7616.0640000000003</v>
      </c>
      <c r="J740" s="61">
        <v>14755.507</v>
      </c>
      <c r="K740" s="60">
        <v>7616.0640000000003</v>
      </c>
      <c r="L740" s="61">
        <v>14755.507</v>
      </c>
      <c r="M740" s="60">
        <v>0</v>
      </c>
      <c r="N740" s="61">
        <v>0</v>
      </c>
      <c r="O740" s="62" t="s">
        <v>610</v>
      </c>
      <c r="P740" s="106" t="s">
        <v>978</v>
      </c>
      <c r="Q740" s="64" t="s">
        <v>979</v>
      </c>
    </row>
    <row r="741" spans="1:17" ht="72" x14ac:dyDescent="0.25">
      <c r="A741" s="1">
        <v>20</v>
      </c>
      <c r="B741" s="57">
        <f t="shared" si="64"/>
        <v>4</v>
      </c>
      <c r="C741" s="58" t="s">
        <v>980</v>
      </c>
      <c r="D741" s="59" t="s">
        <v>405</v>
      </c>
      <c r="E741" s="60">
        <v>0</v>
      </c>
      <c r="F741" s="61">
        <v>6001.1639999999998</v>
      </c>
      <c r="G741" s="60">
        <v>0</v>
      </c>
      <c r="H741" s="61">
        <v>6001.1639999999998</v>
      </c>
      <c r="I741" s="60">
        <v>0</v>
      </c>
      <c r="J741" s="61">
        <v>6001.1639999999998</v>
      </c>
      <c r="K741" s="60">
        <v>0</v>
      </c>
      <c r="L741" s="61">
        <v>6001.1639999999998</v>
      </c>
      <c r="M741" s="60">
        <v>0</v>
      </c>
      <c r="N741" s="61">
        <v>0</v>
      </c>
      <c r="O741" s="62" t="s">
        <v>248</v>
      </c>
      <c r="P741" s="63" t="s">
        <v>981</v>
      </c>
      <c r="Q741" s="64" t="s">
        <v>235</v>
      </c>
    </row>
    <row r="742" spans="1:17" ht="108" x14ac:dyDescent="0.25">
      <c r="A742" s="1">
        <v>20</v>
      </c>
      <c r="B742" s="57">
        <f t="shared" si="64"/>
        <v>5</v>
      </c>
      <c r="C742" s="58" t="s">
        <v>982</v>
      </c>
      <c r="D742" s="59" t="s">
        <v>101</v>
      </c>
      <c r="E742" s="60">
        <v>0</v>
      </c>
      <c r="F742" s="61">
        <v>8000</v>
      </c>
      <c r="G742" s="60">
        <v>0</v>
      </c>
      <c r="H742" s="61">
        <v>8000</v>
      </c>
      <c r="I742" s="60">
        <v>0</v>
      </c>
      <c r="J742" s="61">
        <v>7842.7860000000001</v>
      </c>
      <c r="K742" s="60">
        <v>0</v>
      </c>
      <c r="L742" s="61">
        <v>7842.7870000000003</v>
      </c>
      <c r="M742" s="60">
        <v>0</v>
      </c>
      <c r="N742" s="61">
        <v>0</v>
      </c>
      <c r="O742" s="62" t="s">
        <v>983</v>
      </c>
      <c r="P742" s="63"/>
      <c r="Q742" s="64"/>
    </row>
    <row r="743" spans="1:17" ht="72" x14ac:dyDescent="0.25">
      <c r="A743" s="1">
        <v>20</v>
      </c>
      <c r="B743" s="57">
        <f t="shared" si="64"/>
        <v>6</v>
      </c>
      <c r="C743" s="58" t="s">
        <v>984</v>
      </c>
      <c r="D743" s="59" t="s">
        <v>35</v>
      </c>
      <c r="E743" s="60">
        <v>0</v>
      </c>
      <c r="F743" s="61">
        <f>3998.836+4313.634</f>
        <v>8312.4699999999993</v>
      </c>
      <c r="G743" s="60">
        <v>0</v>
      </c>
      <c r="H743" s="61">
        <v>8312.4699999999993</v>
      </c>
      <c r="I743" s="60">
        <v>0</v>
      </c>
      <c r="J743" s="61">
        <v>8312.4699999999993</v>
      </c>
      <c r="K743" s="60">
        <v>0</v>
      </c>
      <c r="L743" s="61">
        <v>8312.4699999999993</v>
      </c>
      <c r="M743" s="60">
        <v>0</v>
      </c>
      <c r="N743" s="61">
        <v>0</v>
      </c>
      <c r="O743" s="62" t="s">
        <v>36</v>
      </c>
      <c r="P743" s="63"/>
      <c r="Q743" s="64"/>
    </row>
    <row r="744" spans="1:17" ht="126" x14ac:dyDescent="0.25">
      <c r="A744" s="1">
        <v>20</v>
      </c>
      <c r="B744" s="57">
        <f t="shared" si="64"/>
        <v>7</v>
      </c>
      <c r="C744" s="58" t="s">
        <v>985</v>
      </c>
      <c r="D744" s="59" t="s">
        <v>32</v>
      </c>
      <c r="E744" s="60">
        <v>0</v>
      </c>
      <c r="F744" s="61">
        <v>5704.0039999999999</v>
      </c>
      <c r="G744" s="60">
        <v>0</v>
      </c>
      <c r="H744" s="61">
        <v>5704.0039999999999</v>
      </c>
      <c r="I744" s="60">
        <v>0</v>
      </c>
      <c r="J744" s="61">
        <v>5556.857</v>
      </c>
      <c r="K744" s="60">
        <v>0</v>
      </c>
      <c r="L744" s="61">
        <v>5556.857</v>
      </c>
      <c r="M744" s="60">
        <v>0</v>
      </c>
      <c r="N744" s="61">
        <v>0</v>
      </c>
      <c r="O744" s="62" t="s">
        <v>36</v>
      </c>
      <c r="P744" s="63"/>
      <c r="Q744" s="64"/>
    </row>
    <row r="745" spans="1:17" ht="72" x14ac:dyDescent="0.25">
      <c r="A745" s="1">
        <v>20</v>
      </c>
      <c r="B745" s="57">
        <f t="shared" si="64"/>
        <v>8</v>
      </c>
      <c r="C745" s="58" t="s">
        <v>986</v>
      </c>
      <c r="D745" s="59" t="s">
        <v>105</v>
      </c>
      <c r="E745" s="60">
        <v>0</v>
      </c>
      <c r="F745" s="61">
        <f>27214.96-1314.458</f>
        <v>25900.502</v>
      </c>
      <c r="G745" s="60">
        <v>0</v>
      </c>
      <c r="H745" s="61">
        <v>25900.502</v>
      </c>
      <c r="I745" s="60">
        <v>0</v>
      </c>
      <c r="J745" s="61">
        <v>25900.502</v>
      </c>
      <c r="K745" s="60">
        <v>0</v>
      </c>
      <c r="L745" s="61">
        <v>25900.502</v>
      </c>
      <c r="M745" s="60">
        <v>0</v>
      </c>
      <c r="N745" s="61">
        <v>0</v>
      </c>
      <c r="O745" s="62" t="s">
        <v>36</v>
      </c>
      <c r="P745" s="63"/>
      <c r="Q745" s="64"/>
    </row>
    <row r="746" spans="1:17" ht="126" x14ac:dyDescent="0.25">
      <c r="A746" s="1">
        <v>20</v>
      </c>
      <c r="B746" s="57">
        <f t="shared" si="64"/>
        <v>9</v>
      </c>
      <c r="C746" s="58" t="s">
        <v>987</v>
      </c>
      <c r="D746" s="59" t="s">
        <v>105</v>
      </c>
      <c r="E746" s="60">
        <v>0</v>
      </c>
      <c r="F746" s="61">
        <v>13507.704</v>
      </c>
      <c r="G746" s="60">
        <v>0</v>
      </c>
      <c r="H746" s="61">
        <v>13507.704</v>
      </c>
      <c r="I746" s="60">
        <v>0</v>
      </c>
      <c r="J746" s="61">
        <v>13507.704</v>
      </c>
      <c r="K746" s="60">
        <v>0</v>
      </c>
      <c r="L746" s="61">
        <v>13507.704</v>
      </c>
      <c r="M746" s="60">
        <v>0</v>
      </c>
      <c r="N746" s="61">
        <v>0</v>
      </c>
      <c r="O746" s="62" t="s">
        <v>36</v>
      </c>
      <c r="P746" s="63"/>
      <c r="Q746" s="64"/>
    </row>
    <row r="747" spans="1:17" ht="114" x14ac:dyDescent="0.25">
      <c r="A747" s="1">
        <v>20</v>
      </c>
      <c r="B747" s="57">
        <f t="shared" si="64"/>
        <v>10</v>
      </c>
      <c r="C747" s="58" t="s">
        <v>988</v>
      </c>
      <c r="D747" s="59" t="s">
        <v>105</v>
      </c>
      <c r="E747" s="60">
        <v>0</v>
      </c>
      <c r="F747" s="61">
        <v>4000</v>
      </c>
      <c r="G747" s="60">
        <v>0</v>
      </c>
      <c r="H747" s="61">
        <v>4000</v>
      </c>
      <c r="I747" s="60">
        <v>0</v>
      </c>
      <c r="J747" s="61">
        <v>3791.297</v>
      </c>
      <c r="K747" s="60">
        <v>0</v>
      </c>
      <c r="L747" s="61">
        <v>3791.297</v>
      </c>
      <c r="M747" s="60">
        <v>0</v>
      </c>
      <c r="N747" s="61">
        <v>0</v>
      </c>
      <c r="O747" s="62" t="s">
        <v>52</v>
      </c>
      <c r="P747" s="106" t="s">
        <v>989</v>
      </c>
      <c r="Q747" s="64"/>
    </row>
    <row r="748" spans="1:17" ht="198" x14ac:dyDescent="0.25">
      <c r="A748" s="1">
        <v>20</v>
      </c>
      <c r="B748" s="57">
        <f t="shared" si="64"/>
        <v>11</v>
      </c>
      <c r="C748" s="58" t="s">
        <v>990</v>
      </c>
      <c r="D748" s="59" t="s">
        <v>105</v>
      </c>
      <c r="E748" s="60">
        <v>0</v>
      </c>
      <c r="F748" s="61">
        <v>216</v>
      </c>
      <c r="G748" s="60">
        <v>0</v>
      </c>
      <c r="H748" s="61">
        <v>216</v>
      </c>
      <c r="I748" s="60">
        <v>0</v>
      </c>
      <c r="J748" s="61">
        <v>216</v>
      </c>
      <c r="K748" s="60">
        <v>0</v>
      </c>
      <c r="L748" s="61">
        <v>216</v>
      </c>
      <c r="M748" s="60">
        <v>0</v>
      </c>
      <c r="N748" s="61">
        <v>0</v>
      </c>
      <c r="O748" s="62" t="s">
        <v>52</v>
      </c>
      <c r="P748" s="106" t="s">
        <v>991</v>
      </c>
      <c r="Q748" s="64"/>
    </row>
    <row r="749" spans="1:17" ht="72.75" thickBot="1" x14ac:dyDescent="0.3">
      <c r="A749" s="1">
        <v>20</v>
      </c>
      <c r="B749" s="68">
        <f t="shared" si="64"/>
        <v>12</v>
      </c>
      <c r="C749" s="69" t="s">
        <v>992</v>
      </c>
      <c r="D749" s="70" t="s">
        <v>105</v>
      </c>
      <c r="E749" s="80">
        <v>0</v>
      </c>
      <c r="F749" s="81">
        <v>14036.218000000001</v>
      </c>
      <c r="G749" s="80">
        <v>0</v>
      </c>
      <c r="H749" s="81">
        <v>14036.218000000001</v>
      </c>
      <c r="I749" s="80">
        <v>0</v>
      </c>
      <c r="J749" s="81">
        <v>13324.442999999999</v>
      </c>
      <c r="K749" s="80">
        <v>0</v>
      </c>
      <c r="L749" s="81">
        <v>13324.442999999999</v>
      </c>
      <c r="M749" s="80">
        <v>0</v>
      </c>
      <c r="N749" s="81">
        <v>0</v>
      </c>
      <c r="O749" s="73" t="s">
        <v>36</v>
      </c>
      <c r="P749" s="74"/>
      <c r="Q749" s="75"/>
    </row>
    <row r="750" spans="1:17" ht="18" x14ac:dyDescent="0.25">
      <c r="A750" s="1">
        <v>21</v>
      </c>
      <c r="B750" s="149" t="s">
        <v>993</v>
      </c>
      <c r="C750" s="150"/>
      <c r="D750" s="150"/>
      <c r="E750" s="150"/>
      <c r="F750" s="150"/>
      <c r="G750" s="150"/>
      <c r="H750" s="150"/>
      <c r="I750" s="150"/>
      <c r="J750" s="150"/>
      <c r="K750" s="150"/>
      <c r="L750" s="150"/>
      <c r="M750" s="150"/>
      <c r="N750" s="150"/>
      <c r="O750" s="150"/>
      <c r="P750" s="150"/>
      <c r="Q750" s="151"/>
    </row>
    <row r="751" spans="1:17" ht="18" x14ac:dyDescent="0.25">
      <c r="A751" s="1">
        <v>21</v>
      </c>
      <c r="B751" s="78"/>
      <c r="C751" s="41" t="s">
        <v>27</v>
      </c>
      <c r="D751" s="42"/>
      <c r="E751" s="43">
        <f t="shared" ref="E751:N751" si="65">SUM(E752,E754:E775)</f>
        <v>32786.803</v>
      </c>
      <c r="F751" s="44">
        <f t="shared" si="65"/>
        <v>81967.008999999991</v>
      </c>
      <c r="G751" s="43">
        <f t="shared" si="65"/>
        <v>32786.803</v>
      </c>
      <c r="H751" s="44">
        <f t="shared" si="65"/>
        <v>81967.008999999991</v>
      </c>
      <c r="I751" s="43">
        <f t="shared" si="65"/>
        <v>31666.607000000004</v>
      </c>
      <c r="J751" s="44">
        <f t="shared" si="65"/>
        <v>71189.844000000012</v>
      </c>
      <c r="K751" s="43">
        <f t="shared" si="65"/>
        <v>26016.620000000003</v>
      </c>
      <c r="L751" s="44">
        <f t="shared" si="65"/>
        <v>35138.534</v>
      </c>
      <c r="M751" s="43">
        <f t="shared" si="65"/>
        <v>0</v>
      </c>
      <c r="N751" s="44">
        <f t="shared" si="65"/>
        <v>0</v>
      </c>
      <c r="O751" s="47"/>
      <c r="P751" s="48">
        <f>11+1</f>
        <v>12</v>
      </c>
      <c r="Q751" s="49"/>
    </row>
    <row r="752" spans="1:17" ht="18" x14ac:dyDescent="0.25">
      <c r="A752" s="1">
        <v>21</v>
      </c>
      <c r="B752" s="79"/>
      <c r="C752" s="50" t="s">
        <v>24</v>
      </c>
      <c r="D752" s="51"/>
      <c r="E752" s="52">
        <v>0</v>
      </c>
      <c r="F752" s="53">
        <v>0</v>
      </c>
      <c r="G752" s="52">
        <f>4740.291-4740.291</f>
        <v>0</v>
      </c>
      <c r="H752" s="53">
        <v>0</v>
      </c>
      <c r="I752" s="52"/>
      <c r="J752" s="53"/>
      <c r="K752" s="52"/>
      <c r="L752" s="53"/>
      <c r="M752" s="52"/>
      <c r="N752" s="53"/>
      <c r="O752" s="56"/>
      <c r="P752" s="30"/>
      <c r="Q752" s="31"/>
    </row>
    <row r="753" spans="1:17" ht="36" x14ac:dyDescent="0.25">
      <c r="A753" s="1">
        <v>21</v>
      </c>
      <c r="B753" s="79"/>
      <c r="C753" s="50" t="s">
        <v>25</v>
      </c>
      <c r="D753" s="51"/>
      <c r="E753" s="52">
        <f t="shared" ref="E753:N753" si="66">SUM(E754:E775)</f>
        <v>32786.803</v>
      </c>
      <c r="F753" s="53">
        <f t="shared" si="66"/>
        <v>81967.008999999991</v>
      </c>
      <c r="G753" s="52">
        <f t="shared" si="66"/>
        <v>32786.803</v>
      </c>
      <c r="H753" s="53">
        <f t="shared" si="66"/>
        <v>81967.008999999991</v>
      </c>
      <c r="I753" s="52">
        <f t="shared" si="66"/>
        <v>31666.607000000004</v>
      </c>
      <c r="J753" s="53">
        <f t="shared" si="66"/>
        <v>71189.844000000012</v>
      </c>
      <c r="K753" s="52">
        <f t="shared" si="66"/>
        <v>26016.620000000003</v>
      </c>
      <c r="L753" s="53">
        <f t="shared" si="66"/>
        <v>35138.534</v>
      </c>
      <c r="M753" s="52">
        <f t="shared" si="66"/>
        <v>0</v>
      </c>
      <c r="N753" s="53">
        <f t="shared" si="66"/>
        <v>0</v>
      </c>
      <c r="O753" s="56"/>
      <c r="P753" s="30"/>
      <c r="Q753" s="31"/>
    </row>
    <row r="754" spans="1:17" ht="90" x14ac:dyDescent="0.25">
      <c r="A754" s="1">
        <v>21</v>
      </c>
      <c r="B754" s="57">
        <v>1</v>
      </c>
      <c r="C754" s="58" t="s">
        <v>994</v>
      </c>
      <c r="D754" s="59" t="s">
        <v>38</v>
      </c>
      <c r="E754" s="60">
        <v>1743.492</v>
      </c>
      <c r="F754" s="61">
        <v>0</v>
      </c>
      <c r="G754" s="60">
        <v>1743.492</v>
      </c>
      <c r="H754" s="61">
        <v>0</v>
      </c>
      <c r="I754" s="60">
        <v>1297.752</v>
      </c>
      <c r="J754" s="61">
        <v>0</v>
      </c>
      <c r="K754" s="60">
        <v>1297.752</v>
      </c>
      <c r="L754" s="61">
        <v>0</v>
      </c>
      <c r="M754" s="60">
        <v>0</v>
      </c>
      <c r="N754" s="61">
        <v>0</v>
      </c>
      <c r="O754" s="62" t="s">
        <v>52</v>
      </c>
      <c r="P754" s="63" t="s">
        <v>995</v>
      </c>
      <c r="Q754" s="82" t="s">
        <v>41</v>
      </c>
    </row>
    <row r="755" spans="1:17" ht="72" x14ac:dyDescent="0.25">
      <c r="A755" s="1">
        <v>21</v>
      </c>
      <c r="B755" s="57">
        <f>B754+1</f>
        <v>2</v>
      </c>
      <c r="C755" s="58" t="s">
        <v>996</v>
      </c>
      <c r="D755" s="59" t="s">
        <v>51</v>
      </c>
      <c r="E755" s="60">
        <v>12870.677</v>
      </c>
      <c r="F755" s="61">
        <v>0</v>
      </c>
      <c r="G755" s="60">
        <v>12870.677</v>
      </c>
      <c r="H755" s="61">
        <v>0</v>
      </c>
      <c r="I755" s="60">
        <v>12481.939</v>
      </c>
      <c r="J755" s="61">
        <v>0</v>
      </c>
      <c r="K755" s="60">
        <v>12481.939</v>
      </c>
      <c r="L755" s="61">
        <v>0</v>
      </c>
      <c r="M755" s="60">
        <v>0</v>
      </c>
      <c r="N755" s="61">
        <v>0</v>
      </c>
      <c r="O755" s="62" t="s">
        <v>52</v>
      </c>
      <c r="P755" s="63" t="s">
        <v>997</v>
      </c>
      <c r="Q755" s="82" t="s">
        <v>41</v>
      </c>
    </row>
    <row r="756" spans="1:17" ht="90" x14ac:dyDescent="0.25">
      <c r="A756" s="1">
        <v>21</v>
      </c>
      <c r="B756" s="57">
        <f t="shared" ref="B756:B775" si="67">B755+1</f>
        <v>3</v>
      </c>
      <c r="C756" s="58" t="s">
        <v>998</v>
      </c>
      <c r="D756" s="59" t="s">
        <v>38</v>
      </c>
      <c r="E756" s="60">
        <v>146.34700000000001</v>
      </c>
      <c r="F756" s="61">
        <v>0</v>
      </c>
      <c r="G756" s="60">
        <v>146.34700000000001</v>
      </c>
      <c r="H756" s="61">
        <v>0</v>
      </c>
      <c r="I756" s="60">
        <v>124.432</v>
      </c>
      <c r="J756" s="61">
        <v>0</v>
      </c>
      <c r="K756" s="60">
        <v>124.432</v>
      </c>
      <c r="L756" s="61">
        <v>0</v>
      </c>
      <c r="M756" s="60">
        <v>0</v>
      </c>
      <c r="N756" s="61">
        <v>0</v>
      </c>
      <c r="O756" s="62" t="s">
        <v>52</v>
      </c>
      <c r="P756" s="63" t="s">
        <v>999</v>
      </c>
      <c r="Q756" s="82" t="s">
        <v>41</v>
      </c>
    </row>
    <row r="757" spans="1:17" ht="54" x14ac:dyDescent="0.25">
      <c r="A757" s="1">
        <v>21</v>
      </c>
      <c r="B757" s="57">
        <f t="shared" si="67"/>
        <v>4</v>
      </c>
      <c r="C757" s="58" t="s">
        <v>1000</v>
      </c>
      <c r="D757" s="59" t="s">
        <v>38</v>
      </c>
      <c r="E757" s="60">
        <v>161.55000000000001</v>
      </c>
      <c r="F757" s="61">
        <v>0</v>
      </c>
      <c r="G757" s="60">
        <v>161.55000000000001</v>
      </c>
      <c r="H757" s="61">
        <v>0</v>
      </c>
      <c r="I757" s="60">
        <v>114.67700000000001</v>
      </c>
      <c r="J757" s="61">
        <v>0</v>
      </c>
      <c r="K757" s="60">
        <v>114.67700000000001</v>
      </c>
      <c r="L757" s="61">
        <v>0</v>
      </c>
      <c r="M757" s="60">
        <v>0</v>
      </c>
      <c r="N757" s="61">
        <v>0</v>
      </c>
      <c r="O757" s="62" t="s">
        <v>52</v>
      </c>
      <c r="P757" s="63" t="s">
        <v>1001</v>
      </c>
      <c r="Q757" s="82" t="s">
        <v>41</v>
      </c>
    </row>
    <row r="758" spans="1:17" ht="90" x14ac:dyDescent="0.25">
      <c r="A758" s="1">
        <v>21</v>
      </c>
      <c r="B758" s="57">
        <f t="shared" si="67"/>
        <v>5</v>
      </c>
      <c r="C758" s="58" t="s">
        <v>1002</v>
      </c>
      <c r="D758" s="59" t="s">
        <v>38</v>
      </c>
      <c r="E758" s="60">
        <v>70.242999999999995</v>
      </c>
      <c r="F758" s="61">
        <v>0</v>
      </c>
      <c r="G758" s="60">
        <v>70.242999999999995</v>
      </c>
      <c r="H758" s="61">
        <v>0</v>
      </c>
      <c r="I758" s="60">
        <v>51.54</v>
      </c>
      <c r="J758" s="61">
        <v>0</v>
      </c>
      <c r="K758" s="60">
        <v>51.54</v>
      </c>
      <c r="L758" s="61">
        <v>0</v>
      </c>
      <c r="M758" s="60">
        <v>0</v>
      </c>
      <c r="N758" s="61">
        <v>0</v>
      </c>
      <c r="O758" s="62" t="s">
        <v>52</v>
      </c>
      <c r="P758" s="63" t="s">
        <v>666</v>
      </c>
      <c r="Q758" s="82" t="s">
        <v>41</v>
      </c>
    </row>
    <row r="759" spans="1:17" ht="90" x14ac:dyDescent="0.25">
      <c r="A759" s="1">
        <v>21</v>
      </c>
      <c r="B759" s="57">
        <f t="shared" si="67"/>
        <v>6</v>
      </c>
      <c r="C759" s="58" t="s">
        <v>1003</v>
      </c>
      <c r="D759" s="59" t="s">
        <v>38</v>
      </c>
      <c r="E759" s="60">
        <v>360.71100000000001</v>
      </c>
      <c r="F759" s="61">
        <v>0</v>
      </c>
      <c r="G759" s="60">
        <v>360.71100000000001</v>
      </c>
      <c r="H759" s="61">
        <v>0</v>
      </c>
      <c r="I759" s="60">
        <v>345.91800000000001</v>
      </c>
      <c r="J759" s="61">
        <v>0</v>
      </c>
      <c r="K759" s="60">
        <v>345.91800000000001</v>
      </c>
      <c r="L759" s="61">
        <v>0</v>
      </c>
      <c r="M759" s="60">
        <v>0</v>
      </c>
      <c r="N759" s="61">
        <v>0</v>
      </c>
      <c r="O759" s="62" t="s">
        <v>52</v>
      </c>
      <c r="P759" s="63" t="s">
        <v>959</v>
      </c>
      <c r="Q759" s="82" t="s">
        <v>41</v>
      </c>
    </row>
    <row r="760" spans="1:17" ht="72" x14ac:dyDescent="0.25">
      <c r="A760" s="1">
        <v>21</v>
      </c>
      <c r="B760" s="57">
        <f t="shared" si="67"/>
        <v>7</v>
      </c>
      <c r="C760" s="58" t="s">
        <v>1004</v>
      </c>
      <c r="D760" s="59" t="s">
        <v>38</v>
      </c>
      <c r="E760" s="60">
        <v>358.82799999999997</v>
      </c>
      <c r="F760" s="61">
        <v>0</v>
      </c>
      <c r="G760" s="60">
        <v>358.82799999999997</v>
      </c>
      <c r="H760" s="61">
        <v>0</v>
      </c>
      <c r="I760" s="60">
        <v>214.84200000000001</v>
      </c>
      <c r="J760" s="61">
        <v>0</v>
      </c>
      <c r="K760" s="60">
        <v>214.84200000000001</v>
      </c>
      <c r="L760" s="61">
        <v>0</v>
      </c>
      <c r="M760" s="60">
        <v>0</v>
      </c>
      <c r="N760" s="61">
        <v>0</v>
      </c>
      <c r="O760" s="62" t="s">
        <v>52</v>
      </c>
      <c r="P760" s="63" t="s">
        <v>803</v>
      </c>
      <c r="Q760" s="82" t="s">
        <v>41</v>
      </c>
    </row>
    <row r="761" spans="1:17" ht="54" x14ac:dyDescent="0.25">
      <c r="A761" s="1">
        <v>21</v>
      </c>
      <c r="B761" s="57">
        <f t="shared" si="67"/>
        <v>8</v>
      </c>
      <c r="C761" s="58" t="s">
        <v>1005</v>
      </c>
      <c r="D761" s="59" t="s">
        <v>38</v>
      </c>
      <c r="E761" s="60">
        <v>115.238</v>
      </c>
      <c r="F761" s="61">
        <v>0</v>
      </c>
      <c r="G761" s="60">
        <v>115.238</v>
      </c>
      <c r="H761" s="61">
        <v>0</v>
      </c>
      <c r="I761" s="60">
        <v>111.691</v>
      </c>
      <c r="J761" s="61">
        <v>0</v>
      </c>
      <c r="K761" s="60">
        <v>111.691</v>
      </c>
      <c r="L761" s="61">
        <v>0</v>
      </c>
      <c r="M761" s="60">
        <v>0</v>
      </c>
      <c r="N761" s="61">
        <v>0</v>
      </c>
      <c r="O761" s="62" t="s">
        <v>52</v>
      </c>
      <c r="P761" s="63" t="s">
        <v>577</v>
      </c>
      <c r="Q761" s="82" t="s">
        <v>41</v>
      </c>
    </row>
    <row r="762" spans="1:17" ht="72" x14ac:dyDescent="0.25">
      <c r="A762" s="1">
        <v>21</v>
      </c>
      <c r="B762" s="57">
        <f t="shared" si="67"/>
        <v>9</v>
      </c>
      <c r="C762" s="58" t="s">
        <v>1006</v>
      </c>
      <c r="D762" s="59" t="s">
        <v>105</v>
      </c>
      <c r="E762" s="60">
        <v>0</v>
      </c>
      <c r="F762" s="61">
        <v>2050.9560000000001</v>
      </c>
      <c r="G762" s="60">
        <v>0</v>
      </c>
      <c r="H762" s="61">
        <v>2050.9560000000001</v>
      </c>
      <c r="I762" s="60">
        <v>0</v>
      </c>
      <c r="J762" s="61">
        <v>1894.029</v>
      </c>
      <c r="K762" s="60">
        <v>0</v>
      </c>
      <c r="L762" s="61">
        <v>1894.029</v>
      </c>
      <c r="M762" s="60">
        <v>0</v>
      </c>
      <c r="N762" s="61">
        <v>0</v>
      </c>
      <c r="O762" s="62" t="s">
        <v>36</v>
      </c>
      <c r="P762" s="63"/>
      <c r="Q762" s="64"/>
    </row>
    <row r="763" spans="1:17" ht="90" x14ac:dyDescent="0.25">
      <c r="A763" s="1">
        <v>21</v>
      </c>
      <c r="B763" s="57">
        <f t="shared" si="67"/>
        <v>10</v>
      </c>
      <c r="C763" s="58" t="s">
        <v>1007</v>
      </c>
      <c r="D763" s="59" t="s">
        <v>105</v>
      </c>
      <c r="E763" s="60">
        <v>0</v>
      </c>
      <c r="F763" s="61">
        <v>3179.4</v>
      </c>
      <c r="G763" s="60">
        <v>0</v>
      </c>
      <c r="H763" s="61">
        <v>3179.4</v>
      </c>
      <c r="I763" s="60">
        <v>0</v>
      </c>
      <c r="J763" s="61">
        <v>2942.87</v>
      </c>
      <c r="K763" s="60">
        <v>0</v>
      </c>
      <c r="L763" s="61">
        <v>2942.87</v>
      </c>
      <c r="M763" s="60">
        <v>0</v>
      </c>
      <c r="N763" s="61">
        <v>0</v>
      </c>
      <c r="O763" s="62" t="s">
        <v>36</v>
      </c>
      <c r="P763" s="63"/>
      <c r="Q763" s="64"/>
    </row>
    <row r="764" spans="1:17" ht="108" x14ac:dyDescent="0.25">
      <c r="A764" s="1">
        <v>21</v>
      </c>
      <c r="B764" s="57">
        <f t="shared" si="67"/>
        <v>11</v>
      </c>
      <c r="C764" s="58" t="s">
        <v>1008</v>
      </c>
      <c r="D764" s="59" t="s">
        <v>105</v>
      </c>
      <c r="E764" s="60">
        <v>0</v>
      </c>
      <c r="F764" s="61">
        <v>2802</v>
      </c>
      <c r="G764" s="60">
        <v>0</v>
      </c>
      <c r="H764" s="61">
        <v>2802</v>
      </c>
      <c r="I764" s="60">
        <v>0</v>
      </c>
      <c r="J764" s="61">
        <v>602.74699999999996</v>
      </c>
      <c r="K764" s="60">
        <v>0</v>
      </c>
      <c r="L764" s="61">
        <v>602.74699999999996</v>
      </c>
      <c r="M764" s="60">
        <v>0</v>
      </c>
      <c r="N764" s="61">
        <v>0</v>
      </c>
      <c r="O764" s="62" t="s">
        <v>36</v>
      </c>
      <c r="P764" s="63"/>
      <c r="Q764" s="64"/>
    </row>
    <row r="765" spans="1:17" ht="90" x14ac:dyDescent="0.25">
      <c r="A765" s="1">
        <v>21</v>
      </c>
      <c r="B765" s="57">
        <f t="shared" si="67"/>
        <v>12</v>
      </c>
      <c r="C765" s="58" t="s">
        <v>1009</v>
      </c>
      <c r="D765" s="59" t="s">
        <v>105</v>
      </c>
      <c r="E765" s="60">
        <v>0</v>
      </c>
      <c r="F765" s="61">
        <v>4219.027</v>
      </c>
      <c r="G765" s="60">
        <v>0</v>
      </c>
      <c r="H765" s="61">
        <v>4219.027</v>
      </c>
      <c r="I765" s="60">
        <v>0</v>
      </c>
      <c r="J765" s="61">
        <v>1160.3440000000001</v>
      </c>
      <c r="K765" s="60">
        <v>0</v>
      </c>
      <c r="L765" s="61">
        <v>1160.3440000000001</v>
      </c>
      <c r="M765" s="60">
        <v>0</v>
      </c>
      <c r="N765" s="61">
        <v>0</v>
      </c>
      <c r="O765" s="62" t="s">
        <v>36</v>
      </c>
      <c r="P765" s="63"/>
      <c r="Q765" s="64"/>
    </row>
    <row r="766" spans="1:17" ht="90" x14ac:dyDescent="0.25">
      <c r="A766" s="1">
        <v>21</v>
      </c>
      <c r="B766" s="57">
        <f t="shared" si="67"/>
        <v>13</v>
      </c>
      <c r="C766" s="58" t="s">
        <v>1010</v>
      </c>
      <c r="D766" s="59" t="s">
        <v>105</v>
      </c>
      <c r="E766" s="60">
        <v>0</v>
      </c>
      <c r="F766" s="61">
        <f>2473.618-173.903</f>
        <v>2299.7150000000001</v>
      </c>
      <c r="G766" s="60">
        <v>0</v>
      </c>
      <c r="H766" s="61">
        <v>2299.7150000000001</v>
      </c>
      <c r="I766" s="60">
        <v>0</v>
      </c>
      <c r="J766" s="61">
        <v>2217.7890000000002</v>
      </c>
      <c r="K766" s="60">
        <v>0</v>
      </c>
      <c r="L766" s="61">
        <v>2217.7890000000002</v>
      </c>
      <c r="M766" s="60">
        <v>0</v>
      </c>
      <c r="N766" s="61">
        <v>0</v>
      </c>
      <c r="O766" s="62" t="s">
        <v>52</v>
      </c>
      <c r="P766" s="63" t="s">
        <v>196</v>
      </c>
      <c r="Q766" s="82" t="s">
        <v>41</v>
      </c>
    </row>
    <row r="767" spans="1:17" ht="54" x14ac:dyDescent="0.25">
      <c r="A767" s="1">
        <v>21</v>
      </c>
      <c r="B767" s="57">
        <f t="shared" si="67"/>
        <v>14</v>
      </c>
      <c r="C767" s="58" t="s">
        <v>1011</v>
      </c>
      <c r="D767" s="59" t="s">
        <v>101</v>
      </c>
      <c r="E767" s="60">
        <v>0</v>
      </c>
      <c r="F767" s="61">
        <v>5113.232</v>
      </c>
      <c r="G767" s="60">
        <v>0</v>
      </c>
      <c r="H767" s="61">
        <v>5113.232</v>
      </c>
      <c r="I767" s="60">
        <v>0</v>
      </c>
      <c r="J767" s="61">
        <v>1221.085</v>
      </c>
      <c r="K767" s="60">
        <v>0</v>
      </c>
      <c r="L767" s="61">
        <v>1221.085</v>
      </c>
      <c r="M767" s="60">
        <v>0</v>
      </c>
      <c r="N767" s="61">
        <v>0</v>
      </c>
      <c r="O767" s="62" t="s">
        <v>102</v>
      </c>
      <c r="P767" s="63"/>
      <c r="Q767" s="64"/>
    </row>
    <row r="768" spans="1:17" ht="90" x14ac:dyDescent="0.25">
      <c r="A768" s="1">
        <v>21</v>
      </c>
      <c r="B768" s="57">
        <f t="shared" si="67"/>
        <v>15</v>
      </c>
      <c r="C768" s="58" t="s">
        <v>1012</v>
      </c>
      <c r="D768" s="59" t="s">
        <v>101</v>
      </c>
      <c r="E768" s="60">
        <v>0</v>
      </c>
      <c r="F768" s="61">
        <v>5850</v>
      </c>
      <c r="G768" s="60">
        <v>0</v>
      </c>
      <c r="H768" s="61">
        <v>5850</v>
      </c>
      <c r="I768" s="60">
        <v>0</v>
      </c>
      <c r="J768" s="61">
        <v>5591.0060000000003</v>
      </c>
      <c r="K768" s="60">
        <v>0</v>
      </c>
      <c r="L768" s="61">
        <v>5591.0060000000003</v>
      </c>
      <c r="M768" s="60">
        <v>0</v>
      </c>
      <c r="N768" s="61">
        <v>0</v>
      </c>
      <c r="O768" s="62" t="s">
        <v>102</v>
      </c>
      <c r="P768" s="63"/>
      <c r="Q768" s="64"/>
    </row>
    <row r="769" spans="1:17" ht="72" x14ac:dyDescent="0.25">
      <c r="A769" s="1">
        <v>21</v>
      </c>
      <c r="B769" s="57">
        <f t="shared" si="67"/>
        <v>16</v>
      </c>
      <c r="C769" s="58" t="s">
        <v>1013</v>
      </c>
      <c r="D769" s="59" t="s">
        <v>38</v>
      </c>
      <c r="E769" s="60">
        <f>10819.717-1539.11</f>
        <v>9280.607</v>
      </c>
      <c r="F769" s="61">
        <v>3027.2829999999999</v>
      </c>
      <c r="G769" s="60">
        <v>9280.607</v>
      </c>
      <c r="H769" s="61">
        <v>3027.2829999999999</v>
      </c>
      <c r="I769" s="60">
        <v>9280.607</v>
      </c>
      <c r="J769" s="61">
        <v>3027.2829999999999</v>
      </c>
      <c r="K769" s="60">
        <v>9280.607</v>
      </c>
      <c r="L769" s="61">
        <v>3027.2829999999999</v>
      </c>
      <c r="M769" s="60">
        <v>0</v>
      </c>
      <c r="N769" s="61">
        <v>0</v>
      </c>
      <c r="O769" s="62" t="s">
        <v>52</v>
      </c>
      <c r="P769" s="63" t="s">
        <v>1014</v>
      </c>
      <c r="Q769" s="82" t="s">
        <v>41</v>
      </c>
    </row>
    <row r="770" spans="1:17" ht="54" x14ac:dyDescent="0.25">
      <c r="A770" s="1">
        <v>21</v>
      </c>
      <c r="B770" s="57">
        <f t="shared" si="67"/>
        <v>17</v>
      </c>
      <c r="C770" s="58" t="s">
        <v>1015</v>
      </c>
      <c r="D770" s="59" t="s">
        <v>101</v>
      </c>
      <c r="E770" s="60">
        <f>0+1539.11</f>
        <v>1539.11</v>
      </c>
      <c r="F770" s="61">
        <f>21023.41+11176.689+3968.272</f>
        <v>36168.370999999999</v>
      </c>
      <c r="G770" s="60">
        <v>1539.11</v>
      </c>
      <c r="H770" s="61">
        <v>36168.370999999999</v>
      </c>
      <c r="I770" s="60">
        <v>1539.11</v>
      </c>
      <c r="J770" s="61">
        <v>36051.31</v>
      </c>
      <c r="K770" s="60">
        <v>0</v>
      </c>
      <c r="L770" s="61">
        <v>0</v>
      </c>
      <c r="M770" s="60">
        <v>0</v>
      </c>
      <c r="N770" s="61">
        <v>0</v>
      </c>
      <c r="O770" s="62" t="s">
        <v>102</v>
      </c>
      <c r="P770" s="63"/>
      <c r="Q770" s="64"/>
    </row>
    <row r="771" spans="1:17" ht="54" x14ac:dyDescent="0.25">
      <c r="A771" s="1">
        <v>21</v>
      </c>
      <c r="B771" s="57">
        <f t="shared" si="67"/>
        <v>18</v>
      </c>
      <c r="C771" s="58" t="s">
        <v>1016</v>
      </c>
      <c r="D771" s="59" t="s">
        <v>101</v>
      </c>
      <c r="E771" s="60">
        <v>0</v>
      </c>
      <c r="F771" s="61">
        <f>4477.843-517.843</f>
        <v>3960</v>
      </c>
      <c r="G771" s="60">
        <v>0</v>
      </c>
      <c r="H771" s="61">
        <v>3960</v>
      </c>
      <c r="I771" s="60">
        <v>0</v>
      </c>
      <c r="J771" s="61">
        <v>3960</v>
      </c>
      <c r="K771" s="60">
        <v>0</v>
      </c>
      <c r="L771" s="61">
        <v>3960</v>
      </c>
      <c r="M771" s="60">
        <v>0</v>
      </c>
      <c r="N771" s="61">
        <v>0</v>
      </c>
      <c r="O771" s="62" t="s">
        <v>102</v>
      </c>
      <c r="P771" s="63"/>
      <c r="Q771" s="64"/>
    </row>
    <row r="772" spans="1:17" ht="72" x14ac:dyDescent="0.25">
      <c r="A772" s="1">
        <v>21</v>
      </c>
      <c r="B772" s="57">
        <f t="shared" si="67"/>
        <v>19</v>
      </c>
      <c r="C772" s="58" t="s">
        <v>1017</v>
      </c>
      <c r="D772" s="59" t="s">
        <v>105</v>
      </c>
      <c r="E772" s="60">
        <v>0</v>
      </c>
      <c r="F772" s="61">
        <v>1139.4960000000001</v>
      </c>
      <c r="G772" s="60">
        <v>0</v>
      </c>
      <c r="H772" s="61">
        <v>1139.4960000000001</v>
      </c>
      <c r="I772" s="60">
        <v>0</v>
      </c>
      <c r="J772" s="61">
        <v>1014.006</v>
      </c>
      <c r="K772" s="60">
        <v>0</v>
      </c>
      <c r="L772" s="61">
        <v>1014.006</v>
      </c>
      <c r="M772" s="60">
        <v>0</v>
      </c>
      <c r="N772" s="61">
        <v>0</v>
      </c>
      <c r="O772" s="62" t="s">
        <v>52</v>
      </c>
      <c r="P772" s="63" t="s">
        <v>838</v>
      </c>
      <c r="Q772" s="82" t="s">
        <v>41</v>
      </c>
    </row>
    <row r="773" spans="1:17" ht="72" x14ac:dyDescent="0.25">
      <c r="A773" s="1">
        <v>21</v>
      </c>
      <c r="B773" s="57">
        <f t="shared" si="67"/>
        <v>20</v>
      </c>
      <c r="C773" s="58" t="s">
        <v>1018</v>
      </c>
      <c r="D773" s="59" t="s">
        <v>29</v>
      </c>
      <c r="E773" s="60">
        <v>2000</v>
      </c>
      <c r="F773" s="61">
        <v>0</v>
      </c>
      <c r="G773" s="60">
        <v>2000</v>
      </c>
      <c r="H773" s="61">
        <v>0</v>
      </c>
      <c r="I773" s="60">
        <v>1993.222</v>
      </c>
      <c r="J773" s="61">
        <v>0</v>
      </c>
      <c r="K773" s="60">
        <v>1993.222</v>
      </c>
      <c r="L773" s="61">
        <v>0</v>
      </c>
      <c r="M773" s="60">
        <v>0</v>
      </c>
      <c r="N773" s="61">
        <v>0</v>
      </c>
      <c r="O773" s="62" t="s">
        <v>36</v>
      </c>
      <c r="P773" s="63"/>
      <c r="Q773" s="64"/>
    </row>
    <row r="774" spans="1:17" ht="54" x14ac:dyDescent="0.25">
      <c r="A774" s="1">
        <v>21</v>
      </c>
      <c r="B774" s="57">
        <f t="shared" si="67"/>
        <v>21</v>
      </c>
      <c r="C774" s="58" t="s">
        <v>1019</v>
      </c>
      <c r="D774" s="59" t="s">
        <v>29</v>
      </c>
      <c r="E774" s="60">
        <v>4140</v>
      </c>
      <c r="F774" s="61">
        <v>0</v>
      </c>
      <c r="G774" s="60">
        <v>4140</v>
      </c>
      <c r="H774" s="61">
        <v>0</v>
      </c>
      <c r="I774" s="60">
        <v>4110.8770000000004</v>
      </c>
      <c r="J774" s="61">
        <v>0</v>
      </c>
      <c r="K774" s="60">
        <v>0</v>
      </c>
      <c r="L774" s="61">
        <v>0</v>
      </c>
      <c r="M774" s="60">
        <v>0</v>
      </c>
      <c r="N774" s="61">
        <v>0</v>
      </c>
      <c r="O774" s="62" t="s">
        <v>36</v>
      </c>
      <c r="P774" s="63"/>
      <c r="Q774" s="64"/>
    </row>
    <row r="775" spans="1:17" ht="45" x14ac:dyDescent="0.25">
      <c r="A775" s="1">
        <v>21</v>
      </c>
      <c r="B775" s="57">
        <f t="shared" si="67"/>
        <v>22</v>
      </c>
      <c r="C775" s="107" t="s">
        <v>1020</v>
      </c>
      <c r="D775" s="108">
        <v>2017</v>
      </c>
      <c r="E775" s="109">
        <f>SUM(E776:E788)</f>
        <v>0</v>
      </c>
      <c r="F775" s="110">
        <f>SUM(F776:F788)</f>
        <v>12157.528999999999</v>
      </c>
      <c r="G775" s="109">
        <f t="shared" ref="G775:M775" si="68">SUM(G776:G788)</f>
        <v>0</v>
      </c>
      <c r="H775" s="110">
        <f t="shared" si="68"/>
        <v>12157.528999999999</v>
      </c>
      <c r="I775" s="109">
        <f t="shared" si="68"/>
        <v>0</v>
      </c>
      <c r="J775" s="110">
        <f t="shared" si="68"/>
        <v>11507.375</v>
      </c>
      <c r="K775" s="109">
        <f t="shared" si="68"/>
        <v>0</v>
      </c>
      <c r="L775" s="110">
        <f t="shared" si="68"/>
        <v>11507.375</v>
      </c>
      <c r="M775" s="109">
        <f t="shared" si="68"/>
        <v>0</v>
      </c>
      <c r="N775" s="110">
        <f>SUM(N776:N788)</f>
        <v>0</v>
      </c>
      <c r="O775" s="111" t="s">
        <v>64</v>
      </c>
      <c r="P775" s="112"/>
      <c r="Q775" s="113" t="s">
        <v>235</v>
      </c>
    </row>
    <row r="776" spans="1:17" ht="93.75" x14ac:dyDescent="0.25">
      <c r="A776" s="1">
        <v>21</v>
      </c>
      <c r="B776" s="114"/>
      <c r="C776" s="115" t="s">
        <v>1021</v>
      </c>
      <c r="D776" s="116" t="s">
        <v>105</v>
      </c>
      <c r="E776" s="117">
        <v>0</v>
      </c>
      <c r="F776" s="118">
        <v>699.96600000000001</v>
      </c>
      <c r="G776" s="117">
        <v>0</v>
      </c>
      <c r="H776" s="118">
        <v>699.96600000000001</v>
      </c>
      <c r="I776" s="117">
        <v>0</v>
      </c>
      <c r="J776" s="118">
        <v>652.48099999999999</v>
      </c>
      <c r="K776" s="117">
        <v>0</v>
      </c>
      <c r="L776" s="118">
        <v>652.48099999999999</v>
      </c>
      <c r="M776" s="117">
        <v>0</v>
      </c>
      <c r="N776" s="118">
        <v>0</v>
      </c>
      <c r="O776" s="62" t="s">
        <v>52</v>
      </c>
      <c r="P776" s="63" t="s">
        <v>658</v>
      </c>
      <c r="Q776" s="82" t="s">
        <v>41</v>
      </c>
    </row>
    <row r="777" spans="1:17" ht="75" x14ac:dyDescent="0.25">
      <c r="A777" s="1">
        <v>21</v>
      </c>
      <c r="B777" s="114"/>
      <c r="C777" s="115" t="s">
        <v>1022</v>
      </c>
      <c r="D777" s="116" t="s">
        <v>105</v>
      </c>
      <c r="E777" s="117">
        <v>0</v>
      </c>
      <c r="F777" s="118">
        <v>689.74300000000005</v>
      </c>
      <c r="G777" s="117">
        <v>0</v>
      </c>
      <c r="H777" s="118">
        <v>689.74300000000005</v>
      </c>
      <c r="I777" s="117">
        <v>0</v>
      </c>
      <c r="J777" s="118">
        <v>689.74300000000005</v>
      </c>
      <c r="K777" s="117">
        <v>0</v>
      </c>
      <c r="L777" s="118">
        <v>689.74300000000005</v>
      </c>
      <c r="M777" s="117">
        <v>0</v>
      </c>
      <c r="N777" s="118">
        <v>0</v>
      </c>
      <c r="O777" s="62" t="s">
        <v>52</v>
      </c>
      <c r="P777" s="63" t="s">
        <v>672</v>
      </c>
      <c r="Q777" s="82" t="s">
        <v>41</v>
      </c>
    </row>
    <row r="778" spans="1:17" ht="75" x14ac:dyDescent="0.25">
      <c r="A778" s="1">
        <v>21</v>
      </c>
      <c r="B778" s="114"/>
      <c r="C778" s="115" t="s">
        <v>1023</v>
      </c>
      <c r="D778" s="116" t="s">
        <v>105</v>
      </c>
      <c r="E778" s="117">
        <v>0</v>
      </c>
      <c r="F778" s="118">
        <v>897.84100000000001</v>
      </c>
      <c r="G778" s="117">
        <v>0</v>
      </c>
      <c r="H778" s="118">
        <v>897.84100000000001</v>
      </c>
      <c r="I778" s="117">
        <v>0</v>
      </c>
      <c r="J778" s="118">
        <v>884.36400000000003</v>
      </c>
      <c r="K778" s="117">
        <v>0</v>
      </c>
      <c r="L778" s="118">
        <v>884.36400000000003</v>
      </c>
      <c r="M778" s="117">
        <v>0</v>
      </c>
      <c r="N778" s="118">
        <v>0</v>
      </c>
      <c r="O778" s="62" t="s">
        <v>52</v>
      </c>
      <c r="P778" s="63" t="s">
        <v>1024</v>
      </c>
      <c r="Q778" s="64" t="s">
        <v>41</v>
      </c>
    </row>
    <row r="779" spans="1:17" ht="75" x14ac:dyDescent="0.25">
      <c r="A779" s="1">
        <v>21</v>
      </c>
      <c r="B779" s="114"/>
      <c r="C779" s="115" t="s">
        <v>1025</v>
      </c>
      <c r="D779" s="116" t="s">
        <v>105</v>
      </c>
      <c r="E779" s="117">
        <v>0</v>
      </c>
      <c r="F779" s="118">
        <v>708.81399999999996</v>
      </c>
      <c r="G779" s="117">
        <v>0</v>
      </c>
      <c r="H779" s="118">
        <v>708.81399999999996</v>
      </c>
      <c r="I779" s="117">
        <v>0</v>
      </c>
      <c r="J779" s="118">
        <v>707.94500000000005</v>
      </c>
      <c r="K779" s="117">
        <v>0</v>
      </c>
      <c r="L779" s="118">
        <v>707.94500000000005</v>
      </c>
      <c r="M779" s="117">
        <v>0</v>
      </c>
      <c r="N779" s="118">
        <v>0</v>
      </c>
      <c r="O779" s="62" t="s">
        <v>64</v>
      </c>
      <c r="P779" s="63"/>
      <c r="Q779" s="64"/>
    </row>
    <row r="780" spans="1:17" ht="75" x14ac:dyDescent="0.25">
      <c r="A780" s="1">
        <v>21</v>
      </c>
      <c r="B780" s="114"/>
      <c r="C780" s="115" t="s">
        <v>1026</v>
      </c>
      <c r="D780" s="116" t="s">
        <v>105</v>
      </c>
      <c r="E780" s="117">
        <v>0</v>
      </c>
      <c r="F780" s="118">
        <v>689.97699999999998</v>
      </c>
      <c r="G780" s="117">
        <v>0</v>
      </c>
      <c r="H780" s="118">
        <v>689.97699999999998</v>
      </c>
      <c r="I780" s="117">
        <v>0</v>
      </c>
      <c r="J780" s="118">
        <v>689.97699999999998</v>
      </c>
      <c r="K780" s="117">
        <v>0</v>
      </c>
      <c r="L780" s="118">
        <v>689.97699999999998</v>
      </c>
      <c r="M780" s="117">
        <v>0</v>
      </c>
      <c r="N780" s="118">
        <v>0</v>
      </c>
      <c r="O780" s="62" t="s">
        <v>52</v>
      </c>
      <c r="P780" s="63" t="s">
        <v>1027</v>
      </c>
      <c r="Q780" s="64" t="s">
        <v>41</v>
      </c>
    </row>
    <row r="781" spans="1:17" ht="75" x14ac:dyDescent="0.25">
      <c r="A781" s="1">
        <v>21</v>
      </c>
      <c r="B781" s="114"/>
      <c r="C781" s="115" t="s">
        <v>1028</v>
      </c>
      <c r="D781" s="116" t="s">
        <v>105</v>
      </c>
      <c r="E781" s="117">
        <v>0</v>
      </c>
      <c r="F781" s="118">
        <v>1346.1079999999999</v>
      </c>
      <c r="G781" s="117">
        <v>0</v>
      </c>
      <c r="H781" s="118">
        <v>1346.1079999999999</v>
      </c>
      <c r="I781" s="117">
        <v>0</v>
      </c>
      <c r="J781" s="118">
        <v>1297.0150000000001</v>
      </c>
      <c r="K781" s="117">
        <v>0</v>
      </c>
      <c r="L781" s="118">
        <v>1297.0150000000001</v>
      </c>
      <c r="M781" s="117">
        <v>0</v>
      </c>
      <c r="N781" s="118">
        <v>0</v>
      </c>
      <c r="O781" s="62" t="s">
        <v>52</v>
      </c>
      <c r="P781" s="63" t="s">
        <v>1029</v>
      </c>
      <c r="Q781" s="64" t="s">
        <v>41</v>
      </c>
    </row>
    <row r="782" spans="1:17" ht="93.75" x14ac:dyDescent="0.25">
      <c r="A782" s="1">
        <v>21</v>
      </c>
      <c r="B782" s="114"/>
      <c r="C782" s="115" t="s">
        <v>1030</v>
      </c>
      <c r="D782" s="116" t="s">
        <v>105</v>
      </c>
      <c r="E782" s="117">
        <v>0</v>
      </c>
      <c r="F782" s="118">
        <v>1172.5630000000001</v>
      </c>
      <c r="G782" s="117">
        <v>0</v>
      </c>
      <c r="H782" s="118">
        <v>1172.5630000000001</v>
      </c>
      <c r="I782" s="117">
        <v>0</v>
      </c>
      <c r="J782" s="118">
        <v>1172.5630000000001</v>
      </c>
      <c r="K782" s="117">
        <v>0</v>
      </c>
      <c r="L782" s="118">
        <v>1172.5630000000001</v>
      </c>
      <c r="M782" s="117">
        <v>0</v>
      </c>
      <c r="N782" s="118">
        <v>0</v>
      </c>
      <c r="O782" s="62" t="s">
        <v>52</v>
      </c>
      <c r="P782" s="63" t="s">
        <v>658</v>
      </c>
      <c r="Q782" s="64" t="s">
        <v>41</v>
      </c>
    </row>
    <row r="783" spans="1:17" ht="75" x14ac:dyDescent="0.25">
      <c r="A783" s="1">
        <v>21</v>
      </c>
      <c r="B783" s="128"/>
      <c r="C783" s="129" t="s">
        <v>1031</v>
      </c>
      <c r="D783" s="130" t="s">
        <v>105</v>
      </c>
      <c r="E783" s="131">
        <v>0</v>
      </c>
      <c r="F783" s="132">
        <f>1835.074-135.41</f>
        <v>1699.664</v>
      </c>
      <c r="G783" s="131">
        <v>0</v>
      </c>
      <c r="H783" s="132">
        <v>1699.664</v>
      </c>
      <c r="I783" s="131">
        <v>0</v>
      </c>
      <c r="J783" s="132">
        <v>1699.664</v>
      </c>
      <c r="K783" s="131">
        <v>0</v>
      </c>
      <c r="L783" s="132">
        <v>1699.664</v>
      </c>
      <c r="M783" s="131">
        <v>0</v>
      </c>
      <c r="N783" s="132">
        <v>0</v>
      </c>
      <c r="O783" s="73" t="s">
        <v>175</v>
      </c>
      <c r="P783" s="63"/>
      <c r="Q783" s="64"/>
    </row>
    <row r="784" spans="1:17" ht="75" x14ac:dyDescent="0.25">
      <c r="A784" s="1">
        <v>21</v>
      </c>
      <c r="B784" s="128"/>
      <c r="C784" s="129" t="s">
        <v>1032</v>
      </c>
      <c r="D784" s="130" t="s">
        <v>105</v>
      </c>
      <c r="E784" s="131">
        <v>0</v>
      </c>
      <c r="F784" s="132">
        <v>1094.2380000000001</v>
      </c>
      <c r="G784" s="131">
        <v>0</v>
      </c>
      <c r="H784" s="132">
        <v>1094.2380000000001</v>
      </c>
      <c r="I784" s="131">
        <v>0</v>
      </c>
      <c r="J784" s="132">
        <v>749.85599999999999</v>
      </c>
      <c r="K784" s="131">
        <v>0</v>
      </c>
      <c r="L784" s="132">
        <v>749.85599999999999</v>
      </c>
      <c r="M784" s="131">
        <v>0</v>
      </c>
      <c r="N784" s="132">
        <v>0</v>
      </c>
      <c r="O784" s="73" t="s">
        <v>747</v>
      </c>
      <c r="P784" s="63"/>
      <c r="Q784" s="64"/>
    </row>
    <row r="785" spans="1:17" ht="112.5" x14ac:dyDescent="0.25">
      <c r="A785" s="1">
        <v>21</v>
      </c>
      <c r="B785" s="128"/>
      <c r="C785" s="129" t="s">
        <v>1033</v>
      </c>
      <c r="D785" s="130" t="s">
        <v>105</v>
      </c>
      <c r="E785" s="131">
        <v>0</v>
      </c>
      <c r="F785" s="132">
        <v>689.15800000000002</v>
      </c>
      <c r="G785" s="131">
        <v>0</v>
      </c>
      <c r="H785" s="132">
        <v>689.15800000000002</v>
      </c>
      <c r="I785" s="131">
        <v>0</v>
      </c>
      <c r="J785" s="132">
        <v>636.04399999999998</v>
      </c>
      <c r="K785" s="131">
        <v>0</v>
      </c>
      <c r="L785" s="132">
        <v>636.04399999999998</v>
      </c>
      <c r="M785" s="131">
        <v>0</v>
      </c>
      <c r="N785" s="132">
        <v>0</v>
      </c>
      <c r="O785" s="73" t="s">
        <v>52</v>
      </c>
      <c r="P785" s="63" t="s">
        <v>1034</v>
      </c>
      <c r="Q785" s="82" t="s">
        <v>41</v>
      </c>
    </row>
    <row r="786" spans="1:17" ht="75" x14ac:dyDescent="0.25">
      <c r="A786" s="1">
        <v>21</v>
      </c>
      <c r="B786" s="128"/>
      <c r="C786" s="129" t="s">
        <v>1035</v>
      </c>
      <c r="D786" s="130" t="s">
        <v>105</v>
      </c>
      <c r="E786" s="131">
        <v>0</v>
      </c>
      <c r="F786" s="132">
        <v>701.70899999999995</v>
      </c>
      <c r="G786" s="131">
        <v>0</v>
      </c>
      <c r="H786" s="132">
        <v>701.70899999999995</v>
      </c>
      <c r="I786" s="131">
        <v>0</v>
      </c>
      <c r="J786" s="132">
        <v>559.97500000000002</v>
      </c>
      <c r="K786" s="131">
        <v>0</v>
      </c>
      <c r="L786" s="132">
        <v>559.97500000000002</v>
      </c>
      <c r="M786" s="131">
        <v>0</v>
      </c>
      <c r="N786" s="132">
        <v>0</v>
      </c>
      <c r="O786" s="73" t="s">
        <v>747</v>
      </c>
      <c r="P786" s="63"/>
      <c r="Q786" s="64"/>
    </row>
    <row r="787" spans="1:17" ht="75" x14ac:dyDescent="0.25">
      <c r="A787" s="1">
        <v>21</v>
      </c>
      <c r="B787" s="128"/>
      <c r="C787" s="129" t="s">
        <v>1036</v>
      </c>
      <c r="D787" s="130" t="s">
        <v>105</v>
      </c>
      <c r="E787" s="131">
        <v>0</v>
      </c>
      <c r="F787" s="132">
        <f>895.25-194.248</f>
        <v>701.00199999999995</v>
      </c>
      <c r="G787" s="131">
        <v>0</v>
      </c>
      <c r="H787" s="132">
        <v>701.00199999999995</v>
      </c>
      <c r="I787" s="131">
        <v>0</v>
      </c>
      <c r="J787" s="132">
        <v>701.00199999999995</v>
      </c>
      <c r="K787" s="131">
        <v>0</v>
      </c>
      <c r="L787" s="132">
        <v>701.00199999999995</v>
      </c>
      <c r="M787" s="131">
        <v>0</v>
      </c>
      <c r="N787" s="132">
        <v>0</v>
      </c>
      <c r="O787" s="73" t="s">
        <v>52</v>
      </c>
      <c r="P787" s="74" t="s">
        <v>838</v>
      </c>
      <c r="Q787" s="82" t="s">
        <v>41</v>
      </c>
    </row>
    <row r="788" spans="1:17" ht="94.5" thickBot="1" x14ac:dyDescent="0.3">
      <c r="A788" s="1">
        <v>21</v>
      </c>
      <c r="B788" s="136"/>
      <c r="C788" s="137" t="s">
        <v>1037</v>
      </c>
      <c r="D788" s="138" t="s">
        <v>105</v>
      </c>
      <c r="E788" s="139">
        <v>0</v>
      </c>
      <c r="F788" s="140">
        <v>1066.7460000000001</v>
      </c>
      <c r="G788" s="139">
        <v>0</v>
      </c>
      <c r="H788" s="140">
        <v>1066.7460000000001</v>
      </c>
      <c r="I788" s="139">
        <v>0</v>
      </c>
      <c r="J788" s="140">
        <v>1066.7460000000001</v>
      </c>
      <c r="K788" s="139">
        <v>0</v>
      </c>
      <c r="L788" s="140">
        <v>1066.7460000000001</v>
      </c>
      <c r="M788" s="139">
        <v>0</v>
      </c>
      <c r="N788" s="140">
        <v>0</v>
      </c>
      <c r="O788" s="89" t="s">
        <v>747</v>
      </c>
      <c r="P788" s="93"/>
      <c r="Q788" s="94"/>
    </row>
    <row r="789" spans="1:17" ht="18" x14ac:dyDescent="0.25">
      <c r="A789" s="1">
        <v>22</v>
      </c>
      <c r="B789" s="149" t="s">
        <v>1038</v>
      </c>
      <c r="C789" s="150"/>
      <c r="D789" s="150"/>
      <c r="E789" s="150"/>
      <c r="F789" s="150"/>
      <c r="G789" s="150"/>
      <c r="H789" s="150"/>
      <c r="I789" s="150"/>
      <c r="J789" s="150"/>
      <c r="K789" s="150"/>
      <c r="L789" s="150"/>
      <c r="M789" s="150"/>
      <c r="N789" s="150"/>
      <c r="O789" s="150"/>
      <c r="P789" s="150"/>
      <c r="Q789" s="151"/>
    </row>
    <row r="790" spans="1:17" ht="18" x14ac:dyDescent="0.25">
      <c r="A790" s="1">
        <v>22</v>
      </c>
      <c r="B790" s="78"/>
      <c r="C790" s="41" t="s">
        <v>27</v>
      </c>
      <c r="D790" s="42"/>
      <c r="E790" s="43">
        <f t="shared" ref="E790:N790" si="69">SUM(E791,E793:E845)</f>
        <v>39946.417000000001</v>
      </c>
      <c r="F790" s="44">
        <f t="shared" si="69"/>
        <v>99866.042000000001</v>
      </c>
      <c r="G790" s="43">
        <f t="shared" si="69"/>
        <v>39946.417000000001</v>
      </c>
      <c r="H790" s="44">
        <f t="shared" si="69"/>
        <v>99866.042000000001</v>
      </c>
      <c r="I790" s="43">
        <f t="shared" si="69"/>
        <v>39584.027000000002</v>
      </c>
      <c r="J790" s="44">
        <f t="shared" si="69"/>
        <v>98641.58199999998</v>
      </c>
      <c r="K790" s="43">
        <f t="shared" si="69"/>
        <v>39584.027000000002</v>
      </c>
      <c r="L790" s="44">
        <f t="shared" si="69"/>
        <v>98641.58199999998</v>
      </c>
      <c r="M790" s="43">
        <f t="shared" si="69"/>
        <v>0</v>
      </c>
      <c r="N790" s="44">
        <f t="shared" si="69"/>
        <v>159.30000000000001</v>
      </c>
      <c r="O790" s="47"/>
      <c r="P790" s="48">
        <v>25</v>
      </c>
      <c r="Q790" s="49"/>
    </row>
    <row r="791" spans="1:17" ht="18" x14ac:dyDescent="0.25">
      <c r="A791" s="1">
        <v>22</v>
      </c>
      <c r="B791" s="79"/>
      <c r="C791" s="50" t="s">
        <v>24</v>
      </c>
      <c r="D791" s="51"/>
      <c r="E791" s="52">
        <v>0</v>
      </c>
      <c r="F791" s="53">
        <v>0</v>
      </c>
      <c r="G791" s="52">
        <v>0</v>
      </c>
      <c r="H791" s="53">
        <v>0</v>
      </c>
      <c r="I791" s="52"/>
      <c r="J791" s="53"/>
      <c r="K791" s="52"/>
      <c r="L791" s="53"/>
      <c r="M791" s="52"/>
      <c r="N791" s="53"/>
      <c r="O791" s="96"/>
      <c r="P791" s="141"/>
      <c r="Q791" s="142"/>
    </row>
    <row r="792" spans="1:17" ht="36" x14ac:dyDescent="0.25">
      <c r="A792" s="1">
        <v>22</v>
      </c>
      <c r="B792" s="79"/>
      <c r="C792" s="50" t="s">
        <v>25</v>
      </c>
      <c r="D792" s="51"/>
      <c r="E792" s="52">
        <f t="shared" ref="E792:N792" si="70">SUM(E793:E845)</f>
        <v>39946.417000000001</v>
      </c>
      <c r="F792" s="53">
        <f t="shared" si="70"/>
        <v>99866.042000000001</v>
      </c>
      <c r="G792" s="52">
        <f t="shared" si="70"/>
        <v>39946.417000000001</v>
      </c>
      <c r="H792" s="53">
        <f t="shared" si="70"/>
        <v>99866.042000000001</v>
      </c>
      <c r="I792" s="52">
        <f t="shared" si="70"/>
        <v>39584.027000000002</v>
      </c>
      <c r="J792" s="53">
        <f t="shared" si="70"/>
        <v>98641.58199999998</v>
      </c>
      <c r="K792" s="52">
        <f t="shared" si="70"/>
        <v>39584.027000000002</v>
      </c>
      <c r="L792" s="53">
        <f t="shared" si="70"/>
        <v>98641.58199999998</v>
      </c>
      <c r="M792" s="52">
        <f t="shared" si="70"/>
        <v>0</v>
      </c>
      <c r="N792" s="53">
        <f t="shared" si="70"/>
        <v>159.30000000000001</v>
      </c>
      <c r="O792" s="96"/>
      <c r="P792" s="141"/>
      <c r="Q792" s="142"/>
    </row>
    <row r="793" spans="1:17" ht="54" x14ac:dyDescent="0.25">
      <c r="A793" s="1">
        <v>22</v>
      </c>
      <c r="B793" s="57">
        <v>1</v>
      </c>
      <c r="C793" s="58" t="s">
        <v>1039</v>
      </c>
      <c r="D793" s="59"/>
      <c r="E793" s="60">
        <v>0</v>
      </c>
      <c r="F793" s="61">
        <v>159.30000000000001</v>
      </c>
      <c r="G793" s="60">
        <v>0</v>
      </c>
      <c r="H793" s="61">
        <v>159.30000000000001</v>
      </c>
      <c r="I793" s="60">
        <v>0</v>
      </c>
      <c r="J793" s="61">
        <v>0</v>
      </c>
      <c r="K793" s="60">
        <v>0</v>
      </c>
      <c r="L793" s="61">
        <v>0</v>
      </c>
      <c r="M793" s="60">
        <v>0</v>
      </c>
      <c r="N793" s="61">
        <v>159.30000000000001</v>
      </c>
      <c r="O793" s="62"/>
      <c r="P793" s="63"/>
      <c r="Q793" s="64"/>
    </row>
    <row r="794" spans="1:17" ht="54" x14ac:dyDescent="0.25">
      <c r="A794" s="1">
        <v>22</v>
      </c>
      <c r="B794" s="57">
        <f>B793+1</f>
        <v>2</v>
      </c>
      <c r="C794" s="58" t="s">
        <v>1040</v>
      </c>
      <c r="D794" s="59" t="s">
        <v>805</v>
      </c>
      <c r="E794" s="60">
        <f>5000-3500</f>
        <v>1500</v>
      </c>
      <c r="F794" s="61">
        <v>3500</v>
      </c>
      <c r="G794" s="60">
        <v>1500</v>
      </c>
      <c r="H794" s="61">
        <v>3500</v>
      </c>
      <c r="I794" s="60">
        <v>1500</v>
      </c>
      <c r="J794" s="61">
        <v>3479.3270000000002</v>
      </c>
      <c r="K794" s="60">
        <v>1500</v>
      </c>
      <c r="L794" s="61">
        <v>3479.3270000000002</v>
      </c>
      <c r="M794" s="60">
        <v>0</v>
      </c>
      <c r="N794" s="61">
        <v>0</v>
      </c>
      <c r="O794" s="62" t="s">
        <v>36</v>
      </c>
      <c r="P794" s="63" t="s">
        <v>1041</v>
      </c>
      <c r="Q794" s="64"/>
    </row>
    <row r="795" spans="1:17" ht="72" x14ac:dyDescent="0.25">
      <c r="A795" s="1">
        <v>22</v>
      </c>
      <c r="B795" s="57">
        <f t="shared" ref="B795:B845" si="71">B794+1</f>
        <v>3</v>
      </c>
      <c r="C795" s="58" t="s">
        <v>1042</v>
      </c>
      <c r="D795" s="59" t="s">
        <v>1043</v>
      </c>
      <c r="E795" s="60">
        <f>9000-6500</f>
        <v>2500</v>
      </c>
      <c r="F795" s="61">
        <v>6500</v>
      </c>
      <c r="G795" s="60">
        <v>2500</v>
      </c>
      <c r="H795" s="61">
        <v>6500</v>
      </c>
      <c r="I795" s="60">
        <v>2500</v>
      </c>
      <c r="J795" s="61">
        <v>6500</v>
      </c>
      <c r="K795" s="60">
        <v>2500</v>
      </c>
      <c r="L795" s="61">
        <v>6500</v>
      </c>
      <c r="M795" s="60">
        <v>0</v>
      </c>
      <c r="N795" s="61">
        <v>0</v>
      </c>
      <c r="O795" s="62" t="s">
        <v>36</v>
      </c>
      <c r="P795" s="63" t="s">
        <v>1044</v>
      </c>
      <c r="Q795" s="64"/>
    </row>
    <row r="796" spans="1:17" ht="72" x14ac:dyDescent="0.25">
      <c r="A796" s="1">
        <v>22</v>
      </c>
      <c r="B796" s="57">
        <f t="shared" si="71"/>
        <v>4</v>
      </c>
      <c r="C796" s="58" t="s">
        <v>1045</v>
      </c>
      <c r="D796" s="59" t="s">
        <v>1046</v>
      </c>
      <c r="E796" s="60">
        <f>3000-1500</f>
        <v>1500</v>
      </c>
      <c r="F796" s="61">
        <v>1500</v>
      </c>
      <c r="G796" s="60">
        <v>1500</v>
      </c>
      <c r="H796" s="61">
        <v>1500</v>
      </c>
      <c r="I796" s="60">
        <v>1500</v>
      </c>
      <c r="J796" s="61">
        <v>1473.4459999999999</v>
      </c>
      <c r="K796" s="60">
        <v>1500</v>
      </c>
      <c r="L796" s="61">
        <v>1473.4459999999999</v>
      </c>
      <c r="M796" s="60">
        <v>0</v>
      </c>
      <c r="N796" s="61">
        <v>0</v>
      </c>
      <c r="O796" s="62" t="s">
        <v>36</v>
      </c>
      <c r="P796" s="63" t="s">
        <v>1047</v>
      </c>
      <c r="Q796" s="64"/>
    </row>
    <row r="797" spans="1:17" ht="72" x14ac:dyDescent="0.25">
      <c r="A797" s="1">
        <v>22</v>
      </c>
      <c r="B797" s="57">
        <f t="shared" si="71"/>
        <v>5</v>
      </c>
      <c r="C797" s="58" t="s">
        <v>1048</v>
      </c>
      <c r="D797" s="59" t="s">
        <v>38</v>
      </c>
      <c r="E797" s="60">
        <v>2813.1</v>
      </c>
      <c r="F797" s="61">
        <v>0</v>
      </c>
      <c r="G797" s="60">
        <v>2813.1</v>
      </c>
      <c r="H797" s="61">
        <v>0</v>
      </c>
      <c r="I797" s="60">
        <v>2534.5810000000001</v>
      </c>
      <c r="J797" s="61">
        <v>0</v>
      </c>
      <c r="K797" s="60">
        <v>2534.5810000000001</v>
      </c>
      <c r="L797" s="61">
        <v>0</v>
      </c>
      <c r="M797" s="60">
        <v>0</v>
      </c>
      <c r="N797" s="61">
        <v>0</v>
      </c>
      <c r="O797" s="62" t="s">
        <v>52</v>
      </c>
      <c r="P797" s="74" t="s">
        <v>1049</v>
      </c>
      <c r="Q797" s="64" t="s">
        <v>1050</v>
      </c>
    </row>
    <row r="798" spans="1:17" ht="85.5" x14ac:dyDescent="0.25">
      <c r="A798" s="1">
        <v>22</v>
      </c>
      <c r="B798" s="57">
        <f t="shared" si="71"/>
        <v>6</v>
      </c>
      <c r="C798" s="58" t="s">
        <v>1051</v>
      </c>
      <c r="D798" s="59" t="s">
        <v>1052</v>
      </c>
      <c r="E798" s="60">
        <v>0</v>
      </c>
      <c r="F798" s="61">
        <v>8467.25</v>
      </c>
      <c r="G798" s="60">
        <v>0</v>
      </c>
      <c r="H798" s="61">
        <v>8467.25</v>
      </c>
      <c r="I798" s="60">
        <v>0</v>
      </c>
      <c r="J798" s="61">
        <v>8467.25</v>
      </c>
      <c r="K798" s="60">
        <v>0</v>
      </c>
      <c r="L798" s="61">
        <v>8467.25</v>
      </c>
      <c r="M798" s="60">
        <v>0</v>
      </c>
      <c r="N798" s="61">
        <v>0</v>
      </c>
      <c r="O798" s="62" t="s">
        <v>248</v>
      </c>
      <c r="P798" s="74" t="s">
        <v>164</v>
      </c>
      <c r="Q798" s="143" t="s">
        <v>1053</v>
      </c>
    </row>
    <row r="799" spans="1:17" ht="180" x14ac:dyDescent="0.25">
      <c r="A799" s="1">
        <v>22</v>
      </c>
      <c r="B799" s="57">
        <f t="shared" si="71"/>
        <v>7</v>
      </c>
      <c r="C799" s="58" t="s">
        <v>1054</v>
      </c>
      <c r="D799" s="59" t="s">
        <v>35</v>
      </c>
      <c r="E799" s="60">
        <v>0</v>
      </c>
      <c r="F799" s="61">
        <v>7000</v>
      </c>
      <c r="G799" s="60">
        <v>0</v>
      </c>
      <c r="H799" s="61">
        <v>7000</v>
      </c>
      <c r="I799" s="60">
        <v>0</v>
      </c>
      <c r="J799" s="61">
        <v>7000</v>
      </c>
      <c r="K799" s="60">
        <v>0</v>
      </c>
      <c r="L799" s="61">
        <v>7000</v>
      </c>
      <c r="M799" s="60">
        <v>0</v>
      </c>
      <c r="N799" s="61">
        <v>0</v>
      </c>
      <c r="O799" s="62" t="s">
        <v>36</v>
      </c>
      <c r="P799" s="63" t="s">
        <v>1055</v>
      </c>
      <c r="Q799" s="64"/>
    </row>
    <row r="800" spans="1:17" ht="90" x14ac:dyDescent="0.25">
      <c r="A800" s="1">
        <v>22</v>
      </c>
      <c r="B800" s="57">
        <f t="shared" si="71"/>
        <v>8</v>
      </c>
      <c r="C800" s="58" t="s">
        <v>1056</v>
      </c>
      <c r="D800" s="59" t="s">
        <v>38</v>
      </c>
      <c r="E800" s="60">
        <v>478.8</v>
      </c>
      <c r="F800" s="61">
        <v>0</v>
      </c>
      <c r="G800" s="60">
        <v>478.8</v>
      </c>
      <c r="H800" s="61">
        <v>0</v>
      </c>
      <c r="I800" s="60">
        <v>478.8</v>
      </c>
      <c r="J800" s="61">
        <v>0</v>
      </c>
      <c r="K800" s="60">
        <v>478.8</v>
      </c>
      <c r="L800" s="61">
        <v>0</v>
      </c>
      <c r="M800" s="60">
        <v>0</v>
      </c>
      <c r="N800" s="61">
        <v>0</v>
      </c>
      <c r="O800" s="62" t="s">
        <v>52</v>
      </c>
      <c r="P800" s="63" t="s">
        <v>1057</v>
      </c>
      <c r="Q800" s="64" t="s">
        <v>41</v>
      </c>
    </row>
    <row r="801" spans="1:17" ht="108" x14ac:dyDescent="0.25">
      <c r="A801" s="1">
        <v>22</v>
      </c>
      <c r="B801" s="57">
        <f t="shared" si="71"/>
        <v>9</v>
      </c>
      <c r="C801" s="58" t="s">
        <v>1058</v>
      </c>
      <c r="D801" s="59" t="s">
        <v>38</v>
      </c>
      <c r="E801" s="60">
        <v>108.9</v>
      </c>
      <c r="F801" s="61">
        <v>0</v>
      </c>
      <c r="G801" s="60">
        <v>108.9</v>
      </c>
      <c r="H801" s="61">
        <v>0</v>
      </c>
      <c r="I801" s="60">
        <v>100.779</v>
      </c>
      <c r="J801" s="61">
        <v>0</v>
      </c>
      <c r="K801" s="60">
        <v>100.779</v>
      </c>
      <c r="L801" s="61">
        <v>0</v>
      </c>
      <c r="M801" s="60">
        <v>0</v>
      </c>
      <c r="N801" s="61">
        <v>0</v>
      </c>
      <c r="O801" s="62" t="s">
        <v>377</v>
      </c>
      <c r="P801" s="74" t="s">
        <v>1059</v>
      </c>
      <c r="Q801" s="64" t="s">
        <v>1060</v>
      </c>
    </row>
    <row r="802" spans="1:17" ht="54" x14ac:dyDescent="0.25">
      <c r="A802" s="1">
        <v>22</v>
      </c>
      <c r="B802" s="57">
        <f t="shared" si="71"/>
        <v>10</v>
      </c>
      <c r="C802" s="58" t="s">
        <v>1061</v>
      </c>
      <c r="D802" s="59" t="s">
        <v>38</v>
      </c>
      <c r="E802" s="60">
        <v>619.20000000000005</v>
      </c>
      <c r="F802" s="61">
        <v>0</v>
      </c>
      <c r="G802" s="60">
        <v>619.20000000000005</v>
      </c>
      <c r="H802" s="61">
        <v>0</v>
      </c>
      <c r="I802" s="60">
        <v>619.20000000000005</v>
      </c>
      <c r="J802" s="61">
        <v>0</v>
      </c>
      <c r="K802" s="60">
        <v>619.20000000000005</v>
      </c>
      <c r="L802" s="61">
        <v>0</v>
      </c>
      <c r="M802" s="60">
        <v>0</v>
      </c>
      <c r="N802" s="61">
        <v>0</v>
      </c>
      <c r="O802" s="62" t="s">
        <v>52</v>
      </c>
      <c r="P802" s="63" t="s">
        <v>186</v>
      </c>
      <c r="Q802" s="64" t="s">
        <v>41</v>
      </c>
    </row>
    <row r="803" spans="1:17" ht="72" x14ac:dyDescent="0.25">
      <c r="A803" s="1">
        <v>22</v>
      </c>
      <c r="B803" s="57">
        <f t="shared" si="71"/>
        <v>11</v>
      </c>
      <c r="C803" s="58" t="s">
        <v>1062</v>
      </c>
      <c r="D803" s="59" t="s">
        <v>38</v>
      </c>
      <c r="E803" s="60">
        <f>8000-1000</f>
        <v>7000</v>
      </c>
      <c r="F803" s="61">
        <v>0</v>
      </c>
      <c r="G803" s="60">
        <v>7000</v>
      </c>
      <c r="H803" s="61">
        <v>0</v>
      </c>
      <c r="I803" s="60">
        <v>6925.8419999999996</v>
      </c>
      <c r="J803" s="61">
        <v>0</v>
      </c>
      <c r="K803" s="60">
        <v>6925.8419999999996</v>
      </c>
      <c r="L803" s="61">
        <v>0</v>
      </c>
      <c r="M803" s="60">
        <v>0</v>
      </c>
      <c r="N803" s="61">
        <v>0</v>
      </c>
      <c r="O803" s="62" t="s">
        <v>36</v>
      </c>
      <c r="P803" s="63" t="s">
        <v>1063</v>
      </c>
      <c r="Q803" s="64"/>
    </row>
    <row r="804" spans="1:17" ht="72" x14ac:dyDescent="0.25">
      <c r="A804" s="1">
        <v>22</v>
      </c>
      <c r="B804" s="57">
        <f t="shared" si="71"/>
        <v>12</v>
      </c>
      <c r="C804" s="58" t="s">
        <v>1064</v>
      </c>
      <c r="D804" s="59" t="s">
        <v>29</v>
      </c>
      <c r="E804" s="60">
        <v>1000</v>
      </c>
      <c r="F804" s="61">
        <v>0</v>
      </c>
      <c r="G804" s="60">
        <v>1000</v>
      </c>
      <c r="H804" s="61">
        <v>0</v>
      </c>
      <c r="I804" s="60">
        <v>1000</v>
      </c>
      <c r="J804" s="61">
        <v>0</v>
      </c>
      <c r="K804" s="60">
        <v>1000</v>
      </c>
      <c r="L804" s="61">
        <v>0</v>
      </c>
      <c r="M804" s="60">
        <v>0</v>
      </c>
      <c r="N804" s="61">
        <v>0</v>
      </c>
      <c r="O804" s="62" t="s">
        <v>30</v>
      </c>
      <c r="P804" s="63" t="s">
        <v>198</v>
      </c>
      <c r="Q804" s="64"/>
    </row>
    <row r="805" spans="1:17" ht="72" x14ac:dyDescent="0.25">
      <c r="A805" s="1">
        <v>22</v>
      </c>
      <c r="B805" s="57">
        <f t="shared" si="71"/>
        <v>13</v>
      </c>
      <c r="C805" s="58" t="s">
        <v>1065</v>
      </c>
      <c r="D805" s="59" t="s">
        <v>105</v>
      </c>
      <c r="E805" s="60">
        <v>0</v>
      </c>
      <c r="F805" s="61">
        <v>150</v>
      </c>
      <c r="G805" s="60">
        <v>0</v>
      </c>
      <c r="H805" s="61">
        <v>150</v>
      </c>
      <c r="I805" s="60">
        <v>0</v>
      </c>
      <c r="J805" s="61">
        <v>150</v>
      </c>
      <c r="K805" s="60">
        <v>0</v>
      </c>
      <c r="L805" s="61">
        <v>150</v>
      </c>
      <c r="M805" s="60">
        <v>0</v>
      </c>
      <c r="N805" s="61">
        <v>0</v>
      </c>
      <c r="O805" s="62" t="s">
        <v>36</v>
      </c>
      <c r="P805" s="63" t="s">
        <v>1034</v>
      </c>
      <c r="Q805" s="64"/>
    </row>
    <row r="806" spans="1:17" ht="72" x14ac:dyDescent="0.25">
      <c r="A806" s="1">
        <v>22</v>
      </c>
      <c r="B806" s="57">
        <f t="shared" si="71"/>
        <v>14</v>
      </c>
      <c r="C806" s="58" t="s">
        <v>1066</v>
      </c>
      <c r="D806" s="59" t="s">
        <v>101</v>
      </c>
      <c r="E806" s="60">
        <v>0</v>
      </c>
      <c r="F806" s="61">
        <v>4000</v>
      </c>
      <c r="G806" s="60">
        <v>0</v>
      </c>
      <c r="H806" s="61">
        <v>4000</v>
      </c>
      <c r="I806" s="60">
        <v>0</v>
      </c>
      <c r="J806" s="61">
        <v>4000</v>
      </c>
      <c r="K806" s="60">
        <v>0</v>
      </c>
      <c r="L806" s="61">
        <v>4000</v>
      </c>
      <c r="M806" s="60">
        <v>0</v>
      </c>
      <c r="N806" s="61">
        <v>0</v>
      </c>
      <c r="O806" s="62" t="s">
        <v>102</v>
      </c>
      <c r="P806" s="63" t="s">
        <v>1067</v>
      </c>
      <c r="Q806" s="64"/>
    </row>
    <row r="807" spans="1:17" ht="54" x14ac:dyDescent="0.25">
      <c r="A807" s="1">
        <v>22</v>
      </c>
      <c r="B807" s="57">
        <f t="shared" si="71"/>
        <v>15</v>
      </c>
      <c r="C807" s="58" t="s">
        <v>1068</v>
      </c>
      <c r="D807" s="59" t="s">
        <v>105</v>
      </c>
      <c r="E807" s="60">
        <v>0</v>
      </c>
      <c r="F807" s="61">
        <v>350</v>
      </c>
      <c r="G807" s="60">
        <v>0</v>
      </c>
      <c r="H807" s="61">
        <v>350</v>
      </c>
      <c r="I807" s="60">
        <v>0</v>
      </c>
      <c r="J807" s="61">
        <v>350</v>
      </c>
      <c r="K807" s="60">
        <v>0</v>
      </c>
      <c r="L807" s="61">
        <v>350</v>
      </c>
      <c r="M807" s="60">
        <v>0</v>
      </c>
      <c r="N807" s="61">
        <v>0</v>
      </c>
      <c r="O807" s="62" t="s">
        <v>106</v>
      </c>
      <c r="P807" s="63" t="s">
        <v>1069</v>
      </c>
      <c r="Q807" s="64" t="s">
        <v>41</v>
      </c>
    </row>
    <row r="808" spans="1:17" ht="54" x14ac:dyDescent="0.25">
      <c r="A808" s="1">
        <v>22</v>
      </c>
      <c r="B808" s="57">
        <f t="shared" si="71"/>
        <v>16</v>
      </c>
      <c r="C808" s="58" t="s">
        <v>1070</v>
      </c>
      <c r="D808" s="59" t="s">
        <v>129</v>
      </c>
      <c r="E808" s="60">
        <v>0</v>
      </c>
      <c r="F808" s="61">
        <v>400</v>
      </c>
      <c r="G808" s="60">
        <v>0</v>
      </c>
      <c r="H808" s="61">
        <v>400</v>
      </c>
      <c r="I808" s="60">
        <v>0</v>
      </c>
      <c r="J808" s="61">
        <v>400</v>
      </c>
      <c r="K808" s="60">
        <v>0</v>
      </c>
      <c r="L808" s="61">
        <v>400</v>
      </c>
      <c r="M808" s="60">
        <v>0</v>
      </c>
      <c r="N808" s="61">
        <v>0</v>
      </c>
      <c r="O808" s="62" t="s">
        <v>36</v>
      </c>
      <c r="P808" s="63" t="s">
        <v>1071</v>
      </c>
      <c r="Q808" s="64"/>
    </row>
    <row r="809" spans="1:17" ht="72" x14ac:dyDescent="0.25">
      <c r="A809" s="1">
        <v>22</v>
      </c>
      <c r="B809" s="57">
        <f t="shared" si="71"/>
        <v>17</v>
      </c>
      <c r="C809" s="58" t="s">
        <v>1072</v>
      </c>
      <c r="D809" s="59" t="s">
        <v>29</v>
      </c>
      <c r="E809" s="60">
        <f>3500+2500</f>
        <v>6000</v>
      </c>
      <c r="F809" s="61">
        <f>0+500</f>
        <v>500</v>
      </c>
      <c r="G809" s="60">
        <v>6000</v>
      </c>
      <c r="H809" s="61">
        <v>500</v>
      </c>
      <c r="I809" s="60">
        <v>6000</v>
      </c>
      <c r="J809" s="61">
        <v>500</v>
      </c>
      <c r="K809" s="60">
        <v>6000</v>
      </c>
      <c r="L809" s="61">
        <v>500</v>
      </c>
      <c r="M809" s="60">
        <v>0</v>
      </c>
      <c r="N809" s="61">
        <v>0</v>
      </c>
      <c r="O809" s="62" t="s">
        <v>116</v>
      </c>
      <c r="P809" s="63" t="s">
        <v>1063</v>
      </c>
      <c r="Q809" s="64"/>
    </row>
    <row r="810" spans="1:17" ht="90" x14ac:dyDescent="0.25">
      <c r="A810" s="1">
        <v>22</v>
      </c>
      <c r="B810" s="57">
        <f t="shared" si="71"/>
        <v>18</v>
      </c>
      <c r="C810" s="58" t="s">
        <v>1073</v>
      </c>
      <c r="D810" s="59" t="s">
        <v>29</v>
      </c>
      <c r="E810" s="60">
        <v>2000</v>
      </c>
      <c r="F810" s="61">
        <v>0</v>
      </c>
      <c r="G810" s="60">
        <v>2000</v>
      </c>
      <c r="H810" s="61">
        <v>0</v>
      </c>
      <c r="I810" s="60">
        <v>2000</v>
      </c>
      <c r="J810" s="61">
        <v>0</v>
      </c>
      <c r="K810" s="60">
        <v>2000</v>
      </c>
      <c r="L810" s="61">
        <v>0</v>
      </c>
      <c r="M810" s="60">
        <v>0</v>
      </c>
      <c r="N810" s="61">
        <v>0</v>
      </c>
      <c r="O810" s="62" t="s">
        <v>116</v>
      </c>
      <c r="P810" s="63" t="s">
        <v>257</v>
      </c>
      <c r="Q810" s="64"/>
    </row>
    <row r="811" spans="1:17" ht="108" x14ac:dyDescent="0.25">
      <c r="A811" s="1">
        <v>22</v>
      </c>
      <c r="B811" s="57">
        <f t="shared" si="71"/>
        <v>19</v>
      </c>
      <c r="C811" s="58" t="s">
        <v>1074</v>
      </c>
      <c r="D811" s="59" t="s">
        <v>105</v>
      </c>
      <c r="E811" s="60">
        <v>875.5</v>
      </c>
      <c r="F811" s="61">
        <v>0</v>
      </c>
      <c r="G811" s="60">
        <v>875.5</v>
      </c>
      <c r="H811" s="61">
        <v>0</v>
      </c>
      <c r="I811" s="60">
        <v>873.923</v>
      </c>
      <c r="J811" s="61">
        <v>0</v>
      </c>
      <c r="K811" s="60">
        <v>873.923</v>
      </c>
      <c r="L811" s="61">
        <v>0</v>
      </c>
      <c r="M811" s="60">
        <v>0</v>
      </c>
      <c r="N811" s="61">
        <v>0</v>
      </c>
      <c r="O811" s="62" t="s">
        <v>52</v>
      </c>
      <c r="P811" s="63" t="s">
        <v>821</v>
      </c>
      <c r="Q811" s="64" t="s">
        <v>41</v>
      </c>
    </row>
    <row r="812" spans="1:17" ht="126" x14ac:dyDescent="0.25">
      <c r="A812" s="1">
        <v>22</v>
      </c>
      <c r="B812" s="57">
        <f t="shared" si="71"/>
        <v>20</v>
      </c>
      <c r="C812" s="58" t="s">
        <v>1075</v>
      </c>
      <c r="D812" s="59" t="s">
        <v>29</v>
      </c>
      <c r="E812" s="60">
        <f>3124.5-124.5</f>
        <v>3000</v>
      </c>
      <c r="F812" s="61">
        <v>124.5</v>
      </c>
      <c r="G812" s="60">
        <v>3000</v>
      </c>
      <c r="H812" s="61">
        <v>124.5</v>
      </c>
      <c r="I812" s="60">
        <v>3000</v>
      </c>
      <c r="J812" s="61">
        <v>124.5</v>
      </c>
      <c r="K812" s="60">
        <v>3000</v>
      </c>
      <c r="L812" s="61">
        <v>124.5</v>
      </c>
      <c r="M812" s="60">
        <v>0</v>
      </c>
      <c r="N812" s="61">
        <v>0</v>
      </c>
      <c r="O812" s="62" t="s">
        <v>30</v>
      </c>
      <c r="P812" s="63" t="s">
        <v>125</v>
      </c>
      <c r="Q812" s="64"/>
    </row>
    <row r="813" spans="1:17" ht="180" x14ac:dyDescent="0.25">
      <c r="A813" s="1">
        <v>22</v>
      </c>
      <c r="B813" s="57">
        <f t="shared" si="71"/>
        <v>21</v>
      </c>
      <c r="C813" s="58" t="s">
        <v>1076</v>
      </c>
      <c r="D813" s="59" t="s">
        <v>29</v>
      </c>
      <c r="E813" s="60">
        <v>0</v>
      </c>
      <c r="F813" s="61">
        <v>3000</v>
      </c>
      <c r="G813" s="60">
        <v>0</v>
      </c>
      <c r="H813" s="61">
        <v>3000</v>
      </c>
      <c r="I813" s="60">
        <v>0</v>
      </c>
      <c r="J813" s="61">
        <v>3000</v>
      </c>
      <c r="K813" s="60">
        <v>0</v>
      </c>
      <c r="L813" s="61">
        <v>3000</v>
      </c>
      <c r="M813" s="60">
        <v>0</v>
      </c>
      <c r="N813" s="61">
        <v>0</v>
      </c>
      <c r="O813" s="62" t="s">
        <v>116</v>
      </c>
      <c r="P813" s="63" t="s">
        <v>666</v>
      </c>
      <c r="Q813" s="64"/>
    </row>
    <row r="814" spans="1:17" ht="144" x14ac:dyDescent="0.25">
      <c r="A814" s="1">
        <v>22</v>
      </c>
      <c r="B814" s="57">
        <f t="shared" si="71"/>
        <v>22</v>
      </c>
      <c r="C814" s="58" t="s">
        <v>1077</v>
      </c>
      <c r="D814" s="59" t="s">
        <v>29</v>
      </c>
      <c r="E814" s="60">
        <v>0</v>
      </c>
      <c r="F814" s="61">
        <v>3000</v>
      </c>
      <c r="G814" s="60">
        <v>0</v>
      </c>
      <c r="H814" s="61">
        <v>3000</v>
      </c>
      <c r="I814" s="60">
        <v>0</v>
      </c>
      <c r="J814" s="61">
        <v>3000</v>
      </c>
      <c r="K814" s="60">
        <v>0</v>
      </c>
      <c r="L814" s="61">
        <v>3000</v>
      </c>
      <c r="M814" s="60">
        <v>0</v>
      </c>
      <c r="N814" s="61">
        <v>0</v>
      </c>
      <c r="O814" s="62" t="s">
        <v>52</v>
      </c>
      <c r="P814" s="63" t="s">
        <v>125</v>
      </c>
      <c r="Q814" s="64" t="s">
        <v>1078</v>
      </c>
    </row>
    <row r="815" spans="1:17" ht="144" x14ac:dyDescent="0.25">
      <c r="A815" s="1">
        <v>22</v>
      </c>
      <c r="B815" s="57">
        <f t="shared" si="71"/>
        <v>23</v>
      </c>
      <c r="C815" s="58" t="s">
        <v>1079</v>
      </c>
      <c r="D815" s="59" t="s">
        <v>29</v>
      </c>
      <c r="E815" s="60">
        <v>3000</v>
      </c>
      <c r="F815" s="61">
        <f>0+2000</f>
        <v>2000</v>
      </c>
      <c r="G815" s="60">
        <v>3000</v>
      </c>
      <c r="H815" s="61">
        <v>2000</v>
      </c>
      <c r="I815" s="60">
        <v>3000</v>
      </c>
      <c r="J815" s="61">
        <v>2000</v>
      </c>
      <c r="K815" s="60">
        <v>3000</v>
      </c>
      <c r="L815" s="61">
        <v>2000</v>
      </c>
      <c r="M815" s="60">
        <v>0</v>
      </c>
      <c r="N815" s="61">
        <v>0</v>
      </c>
      <c r="O815" s="62" t="s">
        <v>36</v>
      </c>
      <c r="P815" s="63" t="s">
        <v>1080</v>
      </c>
      <c r="Q815" s="64"/>
    </row>
    <row r="816" spans="1:17" ht="108" x14ac:dyDescent="0.25">
      <c r="A816" s="1">
        <v>22</v>
      </c>
      <c r="B816" s="57">
        <f t="shared" si="71"/>
        <v>24</v>
      </c>
      <c r="C816" s="58" t="s">
        <v>1081</v>
      </c>
      <c r="D816" s="59" t="s">
        <v>105</v>
      </c>
      <c r="E816" s="60">
        <v>3000</v>
      </c>
      <c r="F816" s="61">
        <v>0</v>
      </c>
      <c r="G816" s="60">
        <v>3000</v>
      </c>
      <c r="H816" s="61">
        <v>0</v>
      </c>
      <c r="I816" s="60">
        <v>3000</v>
      </c>
      <c r="J816" s="61">
        <v>0</v>
      </c>
      <c r="K816" s="60">
        <v>3000</v>
      </c>
      <c r="L816" s="61">
        <v>0</v>
      </c>
      <c r="M816" s="60">
        <v>0</v>
      </c>
      <c r="N816" s="61">
        <v>0</v>
      </c>
      <c r="O816" s="62" t="s">
        <v>52</v>
      </c>
      <c r="P816" s="63" t="s">
        <v>1082</v>
      </c>
      <c r="Q816" s="64" t="s">
        <v>41</v>
      </c>
    </row>
    <row r="817" spans="1:17" ht="72" x14ac:dyDescent="0.25">
      <c r="A817" s="1">
        <v>22</v>
      </c>
      <c r="B817" s="57">
        <f t="shared" si="71"/>
        <v>25</v>
      </c>
      <c r="C817" s="58" t="s">
        <v>1083</v>
      </c>
      <c r="D817" s="59" t="s">
        <v>105</v>
      </c>
      <c r="E817" s="60">
        <v>0</v>
      </c>
      <c r="F817" s="61">
        <v>1200</v>
      </c>
      <c r="G817" s="60">
        <v>0</v>
      </c>
      <c r="H817" s="61">
        <v>1200</v>
      </c>
      <c r="I817" s="60">
        <v>0</v>
      </c>
      <c r="J817" s="61">
        <v>1199.981</v>
      </c>
      <c r="K817" s="60">
        <v>0</v>
      </c>
      <c r="L817" s="61">
        <v>1199.981</v>
      </c>
      <c r="M817" s="60">
        <v>0</v>
      </c>
      <c r="N817" s="61">
        <v>0</v>
      </c>
      <c r="O817" s="62" t="s">
        <v>36</v>
      </c>
      <c r="P817" s="63" t="s">
        <v>1084</v>
      </c>
      <c r="Q817" s="64"/>
    </row>
    <row r="818" spans="1:17" ht="108" x14ac:dyDescent="0.25">
      <c r="A818" s="1">
        <v>22</v>
      </c>
      <c r="B818" s="57">
        <f t="shared" si="71"/>
        <v>26</v>
      </c>
      <c r="C818" s="58" t="s">
        <v>1085</v>
      </c>
      <c r="D818" s="59" t="s">
        <v>105</v>
      </c>
      <c r="E818" s="60">
        <f>1256.53-256.53</f>
        <v>1000</v>
      </c>
      <c r="F818" s="61">
        <v>256.52999999999997</v>
      </c>
      <c r="G818" s="60">
        <v>1000</v>
      </c>
      <c r="H818" s="61">
        <v>256.52999999999997</v>
      </c>
      <c r="I818" s="60">
        <v>1000</v>
      </c>
      <c r="J818" s="61">
        <v>256.52999999999997</v>
      </c>
      <c r="K818" s="60">
        <v>1000</v>
      </c>
      <c r="L818" s="61">
        <v>256.52999999999997</v>
      </c>
      <c r="M818" s="60">
        <v>0</v>
      </c>
      <c r="N818" s="61">
        <v>0</v>
      </c>
      <c r="O818" s="62" t="s">
        <v>36</v>
      </c>
      <c r="P818" s="63" t="s">
        <v>999</v>
      </c>
      <c r="Q818" s="64"/>
    </row>
    <row r="819" spans="1:17" ht="126" x14ac:dyDescent="0.25">
      <c r="A819" s="1">
        <v>22</v>
      </c>
      <c r="B819" s="57">
        <f t="shared" si="71"/>
        <v>27</v>
      </c>
      <c r="C819" s="58" t="s">
        <v>1086</v>
      </c>
      <c r="D819" s="59" t="s">
        <v>105</v>
      </c>
      <c r="E819" s="60">
        <v>0</v>
      </c>
      <c r="F819" s="61">
        <f>700.92+72.757</f>
        <v>773.67699999999991</v>
      </c>
      <c r="G819" s="60">
        <v>0</v>
      </c>
      <c r="H819" s="61">
        <v>773.67700000000002</v>
      </c>
      <c r="I819" s="60">
        <v>0</v>
      </c>
      <c r="J819" s="61">
        <v>771.23800000000006</v>
      </c>
      <c r="K819" s="60">
        <v>0</v>
      </c>
      <c r="L819" s="61">
        <v>771.23800000000006</v>
      </c>
      <c r="M819" s="60">
        <v>0</v>
      </c>
      <c r="N819" s="61">
        <v>0</v>
      </c>
      <c r="O819" s="62" t="s">
        <v>52</v>
      </c>
      <c r="P819" s="74" t="s">
        <v>164</v>
      </c>
      <c r="Q819" s="64" t="s">
        <v>1087</v>
      </c>
    </row>
    <row r="820" spans="1:17" ht="72" x14ac:dyDescent="0.25">
      <c r="A820" s="1">
        <v>22</v>
      </c>
      <c r="B820" s="57">
        <f t="shared" si="71"/>
        <v>28</v>
      </c>
      <c r="C820" s="58" t="s">
        <v>1088</v>
      </c>
      <c r="D820" s="59" t="s">
        <v>105</v>
      </c>
      <c r="E820" s="60">
        <f>957.55-457.55</f>
        <v>499.99999999999994</v>
      </c>
      <c r="F820" s="61">
        <f>457.55+205.564</f>
        <v>663.11400000000003</v>
      </c>
      <c r="G820" s="60">
        <v>500</v>
      </c>
      <c r="H820" s="61">
        <v>663.11400000000003</v>
      </c>
      <c r="I820" s="60">
        <v>499.98500000000001</v>
      </c>
      <c r="J820" s="61">
        <v>658.21400000000006</v>
      </c>
      <c r="K820" s="60">
        <v>499.98500000000001</v>
      </c>
      <c r="L820" s="61">
        <v>658.21400000000006</v>
      </c>
      <c r="M820" s="60">
        <v>0</v>
      </c>
      <c r="N820" s="61">
        <v>0</v>
      </c>
      <c r="O820" s="62" t="s">
        <v>52</v>
      </c>
      <c r="P820" s="74" t="s">
        <v>164</v>
      </c>
      <c r="Q820" s="64" t="s">
        <v>1089</v>
      </c>
    </row>
    <row r="821" spans="1:17" ht="126" x14ac:dyDescent="0.25">
      <c r="A821" s="1">
        <v>22</v>
      </c>
      <c r="B821" s="57">
        <f t="shared" si="71"/>
        <v>29</v>
      </c>
      <c r="C821" s="58" t="s">
        <v>1090</v>
      </c>
      <c r="D821" s="59" t="s">
        <v>105</v>
      </c>
      <c r="E821" s="60">
        <v>0</v>
      </c>
      <c r="F821" s="61">
        <f>1333.5+472.171</f>
        <v>1805.671</v>
      </c>
      <c r="G821" s="60">
        <v>0</v>
      </c>
      <c r="H821" s="61">
        <v>1805.671</v>
      </c>
      <c r="I821" s="60">
        <v>0</v>
      </c>
      <c r="J821" s="61">
        <v>1801.4190000000001</v>
      </c>
      <c r="K821" s="60">
        <v>0</v>
      </c>
      <c r="L821" s="61">
        <v>1801.4190000000001</v>
      </c>
      <c r="M821" s="60">
        <v>0</v>
      </c>
      <c r="N821" s="61">
        <v>0</v>
      </c>
      <c r="O821" s="62" t="s">
        <v>52</v>
      </c>
      <c r="P821" s="74" t="s">
        <v>164</v>
      </c>
      <c r="Q821" s="64" t="s">
        <v>1091</v>
      </c>
    </row>
    <row r="822" spans="1:17" ht="90" x14ac:dyDescent="0.25">
      <c r="A822" s="1">
        <v>22</v>
      </c>
      <c r="B822" s="57">
        <f t="shared" si="71"/>
        <v>30</v>
      </c>
      <c r="C822" s="58" t="s">
        <v>1092</v>
      </c>
      <c r="D822" s="59" t="s">
        <v>105</v>
      </c>
      <c r="E822" s="60">
        <v>0</v>
      </c>
      <c r="F822" s="61">
        <v>351.5</v>
      </c>
      <c r="G822" s="60">
        <v>0</v>
      </c>
      <c r="H822" s="61">
        <v>351.5</v>
      </c>
      <c r="I822" s="60">
        <v>0</v>
      </c>
      <c r="J822" s="61">
        <v>351.5</v>
      </c>
      <c r="K822" s="60">
        <v>0</v>
      </c>
      <c r="L822" s="61">
        <v>351.5</v>
      </c>
      <c r="M822" s="60">
        <v>0</v>
      </c>
      <c r="N822" s="61">
        <v>0</v>
      </c>
      <c r="O822" s="62" t="s">
        <v>377</v>
      </c>
      <c r="P822" s="63" t="s">
        <v>1093</v>
      </c>
      <c r="Q822" s="64" t="s">
        <v>41</v>
      </c>
    </row>
    <row r="823" spans="1:17" ht="72" x14ac:dyDescent="0.25">
      <c r="A823" s="1">
        <v>22</v>
      </c>
      <c r="B823" s="57">
        <f t="shared" si="71"/>
        <v>31</v>
      </c>
      <c r="C823" s="58" t="s">
        <v>1094</v>
      </c>
      <c r="D823" s="59" t="s">
        <v>105</v>
      </c>
      <c r="E823" s="60">
        <v>0</v>
      </c>
      <c r="F823" s="61">
        <v>3400</v>
      </c>
      <c r="G823" s="60">
        <v>0</v>
      </c>
      <c r="H823" s="61">
        <v>3400</v>
      </c>
      <c r="I823" s="60">
        <v>0</v>
      </c>
      <c r="J823" s="61">
        <v>3354.848</v>
      </c>
      <c r="K823" s="60">
        <v>0</v>
      </c>
      <c r="L823" s="61">
        <v>3354.848</v>
      </c>
      <c r="M823" s="60">
        <v>0</v>
      </c>
      <c r="N823" s="61">
        <v>0</v>
      </c>
      <c r="O823" s="62" t="s">
        <v>52</v>
      </c>
      <c r="P823" s="63" t="s">
        <v>1067</v>
      </c>
      <c r="Q823" s="64" t="s">
        <v>41</v>
      </c>
    </row>
    <row r="824" spans="1:17" ht="108" x14ac:dyDescent="0.25">
      <c r="A824" s="1">
        <v>22</v>
      </c>
      <c r="B824" s="57">
        <f t="shared" si="71"/>
        <v>32</v>
      </c>
      <c r="C824" s="58" t="s">
        <v>1095</v>
      </c>
      <c r="D824" s="59" t="s">
        <v>29</v>
      </c>
      <c r="E824" s="60">
        <v>0</v>
      </c>
      <c r="F824" s="61">
        <v>2000</v>
      </c>
      <c r="G824" s="60">
        <v>0</v>
      </c>
      <c r="H824" s="61">
        <v>2000</v>
      </c>
      <c r="I824" s="60">
        <v>0</v>
      </c>
      <c r="J824" s="61">
        <v>2000</v>
      </c>
      <c r="K824" s="60">
        <v>0</v>
      </c>
      <c r="L824" s="61">
        <v>2000</v>
      </c>
      <c r="M824" s="60">
        <v>0</v>
      </c>
      <c r="N824" s="61">
        <v>0</v>
      </c>
      <c r="O824" s="62" t="s">
        <v>36</v>
      </c>
      <c r="P824" s="63" t="s">
        <v>658</v>
      </c>
      <c r="Q824" s="64"/>
    </row>
    <row r="825" spans="1:17" ht="90" x14ac:dyDescent="0.25">
      <c r="A825" s="1">
        <v>22</v>
      </c>
      <c r="B825" s="57">
        <f t="shared" si="71"/>
        <v>33</v>
      </c>
      <c r="C825" s="58" t="s">
        <v>1096</v>
      </c>
      <c r="D825" s="59" t="s">
        <v>105</v>
      </c>
      <c r="E825" s="60">
        <v>0</v>
      </c>
      <c r="F825" s="61">
        <v>900</v>
      </c>
      <c r="G825" s="60">
        <v>0</v>
      </c>
      <c r="H825" s="61">
        <v>900</v>
      </c>
      <c r="I825" s="60">
        <v>0</v>
      </c>
      <c r="J825" s="61">
        <v>900</v>
      </c>
      <c r="K825" s="60">
        <v>0</v>
      </c>
      <c r="L825" s="61">
        <v>900</v>
      </c>
      <c r="M825" s="60">
        <v>0</v>
      </c>
      <c r="N825" s="61">
        <v>0</v>
      </c>
      <c r="O825" s="62" t="s">
        <v>52</v>
      </c>
      <c r="P825" s="63" t="s">
        <v>1097</v>
      </c>
      <c r="Q825" s="64" t="s">
        <v>1098</v>
      </c>
    </row>
    <row r="826" spans="1:17" ht="54" x14ac:dyDescent="0.25">
      <c r="A826" s="1">
        <v>22</v>
      </c>
      <c r="B826" s="57">
        <f t="shared" si="71"/>
        <v>34</v>
      </c>
      <c r="C826" s="58" t="s">
        <v>1099</v>
      </c>
      <c r="D826" s="59" t="s">
        <v>105</v>
      </c>
      <c r="E826" s="60">
        <v>0</v>
      </c>
      <c r="F826" s="61">
        <v>1900</v>
      </c>
      <c r="G826" s="60">
        <v>0</v>
      </c>
      <c r="H826" s="61">
        <v>1900</v>
      </c>
      <c r="I826" s="60">
        <v>0</v>
      </c>
      <c r="J826" s="61">
        <v>1900</v>
      </c>
      <c r="K826" s="60">
        <v>0</v>
      </c>
      <c r="L826" s="61">
        <v>1900</v>
      </c>
      <c r="M826" s="60">
        <v>0</v>
      </c>
      <c r="N826" s="61">
        <v>0</v>
      </c>
      <c r="O826" s="62" t="s">
        <v>52</v>
      </c>
      <c r="P826" s="63" t="s">
        <v>257</v>
      </c>
      <c r="Q826" s="64" t="s">
        <v>41</v>
      </c>
    </row>
    <row r="827" spans="1:17" ht="72" x14ac:dyDescent="0.25">
      <c r="A827" s="1">
        <v>22</v>
      </c>
      <c r="B827" s="57">
        <f t="shared" si="71"/>
        <v>35</v>
      </c>
      <c r="C827" s="58" t="s">
        <v>1100</v>
      </c>
      <c r="D827" s="59" t="s">
        <v>105</v>
      </c>
      <c r="E827" s="60">
        <v>0</v>
      </c>
      <c r="F827" s="61">
        <v>1135.3889999999999</v>
      </c>
      <c r="G827" s="60">
        <v>0</v>
      </c>
      <c r="H827" s="61">
        <v>1135.3889999999999</v>
      </c>
      <c r="I827" s="60">
        <v>0</v>
      </c>
      <c r="J827" s="61">
        <v>1135.3889999999999</v>
      </c>
      <c r="K827" s="60">
        <v>0</v>
      </c>
      <c r="L827" s="61">
        <v>1135.3889999999999</v>
      </c>
      <c r="M827" s="60">
        <v>0</v>
      </c>
      <c r="N827" s="61">
        <v>0</v>
      </c>
      <c r="O827" s="62" t="s">
        <v>52</v>
      </c>
      <c r="P827" s="63" t="s">
        <v>234</v>
      </c>
      <c r="Q827" s="64" t="s">
        <v>41</v>
      </c>
    </row>
    <row r="828" spans="1:17" ht="90" x14ac:dyDescent="0.25">
      <c r="A828" s="1">
        <v>22</v>
      </c>
      <c r="B828" s="57">
        <f t="shared" si="71"/>
        <v>36</v>
      </c>
      <c r="C828" s="58" t="s">
        <v>1101</v>
      </c>
      <c r="D828" s="59" t="s">
        <v>35</v>
      </c>
      <c r="E828" s="60">
        <f>0+1000</f>
        <v>1000</v>
      </c>
      <c r="F828" s="61">
        <v>1500</v>
      </c>
      <c r="G828" s="60">
        <v>1000</v>
      </c>
      <c r="H828" s="61">
        <v>1500</v>
      </c>
      <c r="I828" s="60">
        <v>1000</v>
      </c>
      <c r="J828" s="61">
        <v>1500</v>
      </c>
      <c r="K828" s="60">
        <v>1000</v>
      </c>
      <c r="L828" s="61">
        <v>1500</v>
      </c>
      <c r="M828" s="60">
        <v>0</v>
      </c>
      <c r="N828" s="61">
        <v>0</v>
      </c>
      <c r="O828" s="62" t="s">
        <v>36</v>
      </c>
      <c r="P828" s="63" t="s">
        <v>280</v>
      </c>
      <c r="Q828" s="64"/>
    </row>
    <row r="829" spans="1:17" ht="54" x14ac:dyDescent="0.25">
      <c r="A829" s="1">
        <v>22</v>
      </c>
      <c r="B829" s="57">
        <f t="shared" si="71"/>
        <v>37</v>
      </c>
      <c r="C829" s="58" t="s">
        <v>1102</v>
      </c>
      <c r="D829" s="59" t="s">
        <v>29</v>
      </c>
      <c r="E829" s="60">
        <v>0</v>
      </c>
      <c r="F829" s="61">
        <f>5000-750.492</f>
        <v>4249.5079999999998</v>
      </c>
      <c r="G829" s="60">
        <v>0</v>
      </c>
      <c r="H829" s="61">
        <v>4249.5079999999998</v>
      </c>
      <c r="I829" s="60">
        <v>0</v>
      </c>
      <c r="J829" s="61">
        <v>4249.5079999999998</v>
      </c>
      <c r="K829" s="60">
        <v>0</v>
      </c>
      <c r="L829" s="61">
        <v>4249.5079999999998</v>
      </c>
      <c r="M829" s="60">
        <v>0</v>
      </c>
      <c r="N829" s="61">
        <v>0</v>
      </c>
      <c r="O829" s="62" t="s">
        <v>209</v>
      </c>
      <c r="P829" s="63" t="s">
        <v>196</v>
      </c>
      <c r="Q829" s="64"/>
    </row>
    <row r="830" spans="1:17" ht="54" x14ac:dyDescent="0.25">
      <c r="A830" s="1">
        <v>22</v>
      </c>
      <c r="B830" s="57">
        <f t="shared" si="71"/>
        <v>38</v>
      </c>
      <c r="C830" s="58" t="s">
        <v>1103</v>
      </c>
      <c r="D830" s="59" t="s">
        <v>105</v>
      </c>
      <c r="E830" s="60">
        <v>0</v>
      </c>
      <c r="F830" s="61">
        <v>2000</v>
      </c>
      <c r="G830" s="60">
        <v>0</v>
      </c>
      <c r="H830" s="61">
        <v>2000</v>
      </c>
      <c r="I830" s="60">
        <v>0</v>
      </c>
      <c r="J830" s="61">
        <v>2000</v>
      </c>
      <c r="K830" s="60">
        <v>0</v>
      </c>
      <c r="L830" s="61">
        <v>2000</v>
      </c>
      <c r="M830" s="60">
        <v>0</v>
      </c>
      <c r="N830" s="61">
        <v>0</v>
      </c>
      <c r="O830" s="62" t="s">
        <v>52</v>
      </c>
      <c r="P830" s="63" t="s">
        <v>1104</v>
      </c>
      <c r="Q830" s="64" t="s">
        <v>41</v>
      </c>
    </row>
    <row r="831" spans="1:17" ht="72" x14ac:dyDescent="0.25">
      <c r="A831" s="1">
        <v>22</v>
      </c>
      <c r="B831" s="57">
        <f t="shared" si="71"/>
        <v>39</v>
      </c>
      <c r="C831" s="58" t="s">
        <v>1105</v>
      </c>
      <c r="D831" s="59" t="s">
        <v>105</v>
      </c>
      <c r="E831" s="60">
        <v>0</v>
      </c>
      <c r="F831" s="61">
        <v>982.36</v>
      </c>
      <c r="G831" s="60">
        <v>0</v>
      </c>
      <c r="H831" s="61">
        <v>982.36</v>
      </c>
      <c r="I831" s="60">
        <v>0</v>
      </c>
      <c r="J831" s="61">
        <v>982.36</v>
      </c>
      <c r="K831" s="60">
        <v>0</v>
      </c>
      <c r="L831" s="61">
        <v>982.36</v>
      </c>
      <c r="M831" s="60">
        <v>0</v>
      </c>
      <c r="N831" s="61">
        <v>0</v>
      </c>
      <c r="O831" s="62" t="s">
        <v>52</v>
      </c>
      <c r="P831" s="63" t="s">
        <v>577</v>
      </c>
      <c r="Q831" s="64" t="s">
        <v>41</v>
      </c>
    </row>
    <row r="832" spans="1:17" ht="72" x14ac:dyDescent="0.25">
      <c r="A832" s="1">
        <v>22</v>
      </c>
      <c r="B832" s="57">
        <f t="shared" si="71"/>
        <v>40</v>
      </c>
      <c r="C832" s="58" t="s">
        <v>1106</v>
      </c>
      <c r="D832" s="59" t="s">
        <v>38</v>
      </c>
      <c r="E832" s="60">
        <v>0</v>
      </c>
      <c r="F832" s="61">
        <v>1800</v>
      </c>
      <c r="G832" s="60">
        <v>0</v>
      </c>
      <c r="H832" s="61">
        <v>1800</v>
      </c>
      <c r="I832" s="60">
        <v>0</v>
      </c>
      <c r="J832" s="61">
        <v>1782.7380000000001</v>
      </c>
      <c r="K832" s="60">
        <v>0</v>
      </c>
      <c r="L832" s="61">
        <v>1782.7380000000001</v>
      </c>
      <c r="M832" s="60">
        <v>0</v>
      </c>
      <c r="N832" s="61">
        <v>0</v>
      </c>
      <c r="O832" s="62" t="s">
        <v>36</v>
      </c>
      <c r="P832" s="63" t="s">
        <v>257</v>
      </c>
      <c r="Q832" s="64"/>
    </row>
    <row r="833" spans="1:17" ht="54" x14ac:dyDescent="0.25">
      <c r="A833" s="1">
        <v>22</v>
      </c>
      <c r="B833" s="57">
        <f t="shared" si="71"/>
        <v>41</v>
      </c>
      <c r="C833" s="58" t="s">
        <v>1107</v>
      </c>
      <c r="D833" s="59" t="s">
        <v>105</v>
      </c>
      <c r="E833" s="60">
        <v>0</v>
      </c>
      <c r="F833" s="61">
        <v>1000</v>
      </c>
      <c r="G833" s="60">
        <v>0</v>
      </c>
      <c r="H833" s="61">
        <v>1000</v>
      </c>
      <c r="I833" s="60">
        <v>0</v>
      </c>
      <c r="J833" s="61">
        <v>1000</v>
      </c>
      <c r="K833" s="60">
        <v>0</v>
      </c>
      <c r="L833" s="61">
        <v>1000</v>
      </c>
      <c r="M833" s="60">
        <v>0</v>
      </c>
      <c r="N833" s="61">
        <v>0</v>
      </c>
      <c r="O833" s="62" t="s">
        <v>52</v>
      </c>
      <c r="P833" s="63" t="s">
        <v>884</v>
      </c>
      <c r="Q833" s="64" t="s">
        <v>41</v>
      </c>
    </row>
    <row r="834" spans="1:17" ht="54" x14ac:dyDescent="0.25">
      <c r="A834" s="1">
        <v>22</v>
      </c>
      <c r="B834" s="57">
        <f t="shared" si="71"/>
        <v>42</v>
      </c>
      <c r="C834" s="58" t="s">
        <v>1108</v>
      </c>
      <c r="D834" s="59" t="s">
        <v>1109</v>
      </c>
      <c r="E834" s="60">
        <v>0</v>
      </c>
      <c r="F834" s="61">
        <v>6000</v>
      </c>
      <c r="G834" s="60">
        <v>0</v>
      </c>
      <c r="H834" s="61">
        <v>6000</v>
      </c>
      <c r="I834" s="60">
        <v>0</v>
      </c>
      <c r="J834" s="61">
        <v>5058.3940000000002</v>
      </c>
      <c r="K834" s="60">
        <v>0</v>
      </c>
      <c r="L834" s="61">
        <v>5058.3940000000002</v>
      </c>
      <c r="M834" s="60">
        <v>0</v>
      </c>
      <c r="N834" s="61">
        <v>0</v>
      </c>
      <c r="O834" s="62" t="s">
        <v>36</v>
      </c>
      <c r="P834" s="63" t="s">
        <v>1110</v>
      </c>
      <c r="Q834" s="64"/>
    </row>
    <row r="835" spans="1:17" ht="126" x14ac:dyDescent="0.25">
      <c r="A835" s="1">
        <v>22</v>
      </c>
      <c r="B835" s="57">
        <f t="shared" si="71"/>
        <v>43</v>
      </c>
      <c r="C835" s="58" t="s">
        <v>1111</v>
      </c>
      <c r="D835" s="59" t="s">
        <v>101</v>
      </c>
      <c r="E835" s="60">
        <v>0</v>
      </c>
      <c r="F835" s="61">
        <v>3000</v>
      </c>
      <c r="G835" s="60">
        <v>0</v>
      </c>
      <c r="H835" s="61">
        <v>3000</v>
      </c>
      <c r="I835" s="60">
        <v>0</v>
      </c>
      <c r="J835" s="61">
        <v>3000</v>
      </c>
      <c r="K835" s="60">
        <v>0</v>
      </c>
      <c r="L835" s="61">
        <v>3000</v>
      </c>
      <c r="M835" s="60">
        <v>0</v>
      </c>
      <c r="N835" s="61">
        <v>0</v>
      </c>
      <c r="O835" s="62" t="s">
        <v>102</v>
      </c>
      <c r="P835" s="63" t="s">
        <v>1112</v>
      </c>
      <c r="Q835" s="64"/>
    </row>
    <row r="836" spans="1:17" ht="90" x14ac:dyDescent="0.25">
      <c r="A836" s="1">
        <v>22</v>
      </c>
      <c r="B836" s="57">
        <f t="shared" si="71"/>
        <v>44</v>
      </c>
      <c r="C836" s="58" t="s">
        <v>1113</v>
      </c>
      <c r="D836" s="59" t="s">
        <v>105</v>
      </c>
      <c r="E836" s="60">
        <v>0</v>
      </c>
      <c r="F836" s="61">
        <v>896</v>
      </c>
      <c r="G836" s="60">
        <v>0</v>
      </c>
      <c r="H836" s="61">
        <v>896</v>
      </c>
      <c r="I836" s="60">
        <v>0</v>
      </c>
      <c r="J836" s="61">
        <v>893.69899999999996</v>
      </c>
      <c r="K836" s="60">
        <v>0</v>
      </c>
      <c r="L836" s="61">
        <v>893.69899999999996</v>
      </c>
      <c r="M836" s="60">
        <v>0</v>
      </c>
      <c r="N836" s="61">
        <v>0</v>
      </c>
      <c r="O836" s="62" t="s">
        <v>52</v>
      </c>
      <c r="P836" s="63" t="s">
        <v>257</v>
      </c>
      <c r="Q836" s="64" t="s">
        <v>41</v>
      </c>
    </row>
    <row r="837" spans="1:17" ht="72" x14ac:dyDescent="0.25">
      <c r="A837" s="1">
        <v>22</v>
      </c>
      <c r="B837" s="57">
        <f t="shared" si="71"/>
        <v>45</v>
      </c>
      <c r="C837" s="58" t="s">
        <v>1114</v>
      </c>
      <c r="D837" s="59" t="s">
        <v>105</v>
      </c>
      <c r="E837" s="60">
        <v>0</v>
      </c>
      <c r="F837" s="61">
        <v>1311.29</v>
      </c>
      <c r="G837" s="60">
        <v>0</v>
      </c>
      <c r="H837" s="61">
        <v>1311.29</v>
      </c>
      <c r="I837" s="60">
        <v>0</v>
      </c>
      <c r="J837" s="61">
        <v>1311.29</v>
      </c>
      <c r="K837" s="60">
        <v>0</v>
      </c>
      <c r="L837" s="61">
        <v>1311.29</v>
      </c>
      <c r="M837" s="60">
        <v>0</v>
      </c>
      <c r="N837" s="61">
        <v>0</v>
      </c>
      <c r="O837" s="62" t="s">
        <v>384</v>
      </c>
      <c r="P837" s="63" t="s">
        <v>1115</v>
      </c>
      <c r="Q837" s="64" t="s">
        <v>108</v>
      </c>
    </row>
    <row r="838" spans="1:17" ht="72" x14ac:dyDescent="0.25">
      <c r="A838" s="1">
        <v>22</v>
      </c>
      <c r="B838" s="57">
        <f t="shared" si="71"/>
        <v>46</v>
      </c>
      <c r="C838" s="58" t="s">
        <v>1116</v>
      </c>
      <c r="D838" s="59" t="s">
        <v>105</v>
      </c>
      <c r="E838" s="60">
        <v>0</v>
      </c>
      <c r="F838" s="61">
        <v>1000</v>
      </c>
      <c r="G838" s="60">
        <v>0</v>
      </c>
      <c r="H838" s="61">
        <v>1000</v>
      </c>
      <c r="I838" s="60">
        <v>0</v>
      </c>
      <c r="J838" s="61">
        <v>1000</v>
      </c>
      <c r="K838" s="60">
        <v>0</v>
      </c>
      <c r="L838" s="61">
        <v>1000</v>
      </c>
      <c r="M838" s="60">
        <v>0</v>
      </c>
      <c r="N838" s="61">
        <v>0</v>
      </c>
      <c r="O838" s="62" t="s">
        <v>52</v>
      </c>
      <c r="P838" s="63" t="s">
        <v>685</v>
      </c>
      <c r="Q838" s="64" t="s">
        <v>41</v>
      </c>
    </row>
    <row r="839" spans="1:17" ht="108" x14ac:dyDescent="0.25">
      <c r="A839" s="1">
        <v>22</v>
      </c>
      <c r="B839" s="57">
        <f t="shared" si="71"/>
        <v>47</v>
      </c>
      <c r="C839" s="58" t="s">
        <v>1117</v>
      </c>
      <c r="D839" s="59" t="s">
        <v>105</v>
      </c>
      <c r="E839" s="60">
        <v>0</v>
      </c>
      <c r="F839" s="61">
        <v>2500</v>
      </c>
      <c r="G839" s="60">
        <v>0</v>
      </c>
      <c r="H839" s="61">
        <v>2500</v>
      </c>
      <c r="I839" s="60">
        <v>0</v>
      </c>
      <c r="J839" s="61">
        <v>2500</v>
      </c>
      <c r="K839" s="60">
        <v>0</v>
      </c>
      <c r="L839" s="61">
        <v>2500</v>
      </c>
      <c r="M839" s="60">
        <v>0</v>
      </c>
      <c r="N839" s="61">
        <v>0</v>
      </c>
      <c r="O839" s="62" t="s">
        <v>248</v>
      </c>
      <c r="P839" s="63" t="s">
        <v>1118</v>
      </c>
      <c r="Q839" s="64"/>
    </row>
    <row r="840" spans="1:17" ht="108" x14ac:dyDescent="0.25">
      <c r="A840" s="1">
        <v>22</v>
      </c>
      <c r="B840" s="57">
        <f t="shared" si="71"/>
        <v>48</v>
      </c>
      <c r="C840" s="58" t="s">
        <v>1119</v>
      </c>
      <c r="D840" s="59" t="s">
        <v>29</v>
      </c>
      <c r="E840" s="60">
        <v>0</v>
      </c>
      <c r="F840" s="61">
        <v>2000</v>
      </c>
      <c r="G840" s="60">
        <v>0</v>
      </c>
      <c r="H840" s="61">
        <v>2000</v>
      </c>
      <c r="I840" s="60">
        <v>0</v>
      </c>
      <c r="J840" s="61">
        <v>2000</v>
      </c>
      <c r="K840" s="60">
        <v>0</v>
      </c>
      <c r="L840" s="61">
        <v>2000</v>
      </c>
      <c r="M840" s="60">
        <v>0</v>
      </c>
      <c r="N840" s="61">
        <v>0</v>
      </c>
      <c r="O840" s="62" t="s">
        <v>64</v>
      </c>
      <c r="P840" s="63" t="s">
        <v>1120</v>
      </c>
      <c r="Q840" s="64"/>
    </row>
    <row r="841" spans="1:17" ht="54" x14ac:dyDescent="0.25">
      <c r="A841" s="1">
        <v>22</v>
      </c>
      <c r="B841" s="57">
        <f t="shared" si="71"/>
        <v>49</v>
      </c>
      <c r="C841" s="58" t="s">
        <v>1121</v>
      </c>
      <c r="D841" s="59" t="s">
        <v>35</v>
      </c>
      <c r="E841" s="60">
        <v>0</v>
      </c>
      <c r="F841" s="61">
        <v>5000</v>
      </c>
      <c r="G841" s="60">
        <v>0</v>
      </c>
      <c r="H841" s="61">
        <v>5000</v>
      </c>
      <c r="I841" s="60">
        <v>0</v>
      </c>
      <c r="J841" s="61">
        <v>5000</v>
      </c>
      <c r="K841" s="60">
        <v>0</v>
      </c>
      <c r="L841" s="61">
        <v>5000</v>
      </c>
      <c r="M841" s="60">
        <v>0</v>
      </c>
      <c r="N841" s="61">
        <v>0</v>
      </c>
      <c r="O841" s="62" t="s">
        <v>209</v>
      </c>
      <c r="P841" s="63" t="s">
        <v>1122</v>
      </c>
      <c r="Q841" s="64"/>
    </row>
    <row r="842" spans="1:17" ht="72" x14ac:dyDescent="0.25">
      <c r="A842" s="1">
        <v>22</v>
      </c>
      <c r="B842" s="57">
        <f t="shared" si="71"/>
        <v>50</v>
      </c>
      <c r="C842" s="58" t="s">
        <v>1123</v>
      </c>
      <c r="D842" s="59" t="s">
        <v>1124</v>
      </c>
      <c r="E842" s="60">
        <v>0</v>
      </c>
      <c r="F842" s="61">
        <v>2680</v>
      </c>
      <c r="G842" s="60">
        <v>0</v>
      </c>
      <c r="H842" s="61">
        <v>2680</v>
      </c>
      <c r="I842" s="60">
        <v>0</v>
      </c>
      <c r="J842" s="61">
        <v>2680</v>
      </c>
      <c r="K842" s="60">
        <v>0</v>
      </c>
      <c r="L842" s="61">
        <v>2680</v>
      </c>
      <c r="M842" s="60">
        <v>0</v>
      </c>
      <c r="N842" s="61">
        <v>0</v>
      </c>
      <c r="O842" s="62" t="s">
        <v>52</v>
      </c>
      <c r="P842" s="63" t="s">
        <v>68</v>
      </c>
      <c r="Q842" s="64" t="s">
        <v>41</v>
      </c>
    </row>
    <row r="843" spans="1:17" ht="54" x14ac:dyDescent="0.25">
      <c r="A843" s="1">
        <v>22</v>
      </c>
      <c r="B843" s="57">
        <f t="shared" si="71"/>
        <v>51</v>
      </c>
      <c r="C843" s="58" t="s">
        <v>1125</v>
      </c>
      <c r="D843" s="59" t="s">
        <v>1126</v>
      </c>
      <c r="E843" s="60">
        <f>7676.87-6868.4</f>
        <v>808.47000000000025</v>
      </c>
      <c r="F843" s="61">
        <v>6868.4</v>
      </c>
      <c r="G843" s="60">
        <v>808.47</v>
      </c>
      <c r="H843" s="61">
        <v>6868.4</v>
      </c>
      <c r="I843" s="60">
        <v>808.47</v>
      </c>
      <c r="J843" s="61">
        <v>6868.3980000000001</v>
      </c>
      <c r="K843" s="60">
        <v>808.47</v>
      </c>
      <c r="L843" s="61">
        <v>6868.3980000000001</v>
      </c>
      <c r="M843" s="60">
        <v>0</v>
      </c>
      <c r="N843" s="61">
        <v>0</v>
      </c>
      <c r="O843" s="62" t="s">
        <v>102</v>
      </c>
      <c r="P843" s="63" t="s">
        <v>1127</v>
      </c>
      <c r="Q843" s="64"/>
    </row>
    <row r="844" spans="1:17" ht="54" x14ac:dyDescent="0.25">
      <c r="A844" s="1">
        <v>22</v>
      </c>
      <c r="B844" s="57">
        <f t="shared" si="71"/>
        <v>52</v>
      </c>
      <c r="C844" s="58" t="s">
        <v>1128</v>
      </c>
      <c r="D844" s="59" t="s">
        <v>46</v>
      </c>
      <c r="E844" s="60">
        <v>0</v>
      </c>
      <c r="F844" s="61">
        <v>2000</v>
      </c>
      <c r="G844" s="60">
        <v>0</v>
      </c>
      <c r="H844" s="61">
        <v>2000</v>
      </c>
      <c r="I844" s="60">
        <v>0</v>
      </c>
      <c r="J844" s="61">
        <v>2000</v>
      </c>
      <c r="K844" s="60">
        <v>0</v>
      </c>
      <c r="L844" s="61">
        <v>2000</v>
      </c>
      <c r="M844" s="60">
        <v>0</v>
      </c>
      <c r="N844" s="61">
        <v>0</v>
      </c>
      <c r="O844" s="62" t="s">
        <v>116</v>
      </c>
      <c r="P844" s="63" t="s">
        <v>1129</v>
      </c>
      <c r="Q844" s="64"/>
    </row>
    <row r="845" spans="1:17" ht="108.75" thickBot="1" x14ac:dyDescent="0.3">
      <c r="A845" s="1">
        <v>22</v>
      </c>
      <c r="B845" s="68">
        <f t="shared" si="71"/>
        <v>53</v>
      </c>
      <c r="C845" s="69" t="s">
        <v>1130</v>
      </c>
      <c r="D845" s="70" t="s">
        <v>105</v>
      </c>
      <c r="E845" s="80">
        <f>1284-41.553</f>
        <v>1242.4470000000001</v>
      </c>
      <c r="F845" s="81">
        <v>41.552999999999997</v>
      </c>
      <c r="G845" s="80">
        <v>1242.4469999999999</v>
      </c>
      <c r="H845" s="81">
        <v>41.552999999999997</v>
      </c>
      <c r="I845" s="80">
        <v>1242.4469999999999</v>
      </c>
      <c r="J845" s="81">
        <v>41.552999999999997</v>
      </c>
      <c r="K845" s="80">
        <v>1242.4469999999999</v>
      </c>
      <c r="L845" s="81">
        <v>41.552999999999997</v>
      </c>
      <c r="M845" s="80">
        <v>0</v>
      </c>
      <c r="N845" s="81">
        <v>0</v>
      </c>
      <c r="O845" s="73" t="s">
        <v>52</v>
      </c>
      <c r="P845" s="74" t="s">
        <v>164</v>
      </c>
      <c r="Q845" s="75" t="s">
        <v>41</v>
      </c>
    </row>
    <row r="846" spans="1:17" ht="18" x14ac:dyDescent="0.25">
      <c r="A846" s="1">
        <v>23</v>
      </c>
      <c r="B846" s="149" t="s">
        <v>1131</v>
      </c>
      <c r="C846" s="150"/>
      <c r="D846" s="150"/>
      <c r="E846" s="150"/>
      <c r="F846" s="150"/>
      <c r="G846" s="150"/>
      <c r="H846" s="150"/>
      <c r="I846" s="150"/>
      <c r="J846" s="150"/>
      <c r="K846" s="150"/>
      <c r="L846" s="150"/>
      <c r="M846" s="150"/>
      <c r="N846" s="150"/>
      <c r="O846" s="150"/>
      <c r="P846" s="150"/>
      <c r="Q846" s="151"/>
    </row>
    <row r="847" spans="1:17" ht="18" x14ac:dyDescent="0.25">
      <c r="A847" s="1">
        <v>23</v>
      </c>
      <c r="B847" s="78"/>
      <c r="C847" s="41" t="s">
        <v>27</v>
      </c>
      <c r="D847" s="42"/>
      <c r="E847" s="43">
        <f t="shared" ref="E847:N847" si="72">SUM(E848,E850:E862)</f>
        <v>23181.506999999998</v>
      </c>
      <c r="F847" s="44">
        <f t="shared" si="72"/>
        <v>57953.767999999989</v>
      </c>
      <c r="G847" s="43">
        <f t="shared" si="72"/>
        <v>23181.506999999998</v>
      </c>
      <c r="H847" s="44">
        <f t="shared" si="72"/>
        <v>57953.767999999996</v>
      </c>
      <c r="I847" s="43">
        <f t="shared" si="72"/>
        <v>21223.442999999999</v>
      </c>
      <c r="J847" s="44">
        <f t="shared" si="72"/>
        <v>55934.567999999999</v>
      </c>
      <c r="K847" s="43">
        <f t="shared" si="72"/>
        <v>21527.95493</v>
      </c>
      <c r="L847" s="44">
        <f t="shared" si="72"/>
        <v>55934.568059999998</v>
      </c>
      <c r="M847" s="43">
        <f t="shared" si="72"/>
        <v>304.51169999999956</v>
      </c>
      <c r="N847" s="44">
        <f t="shared" si="72"/>
        <v>0</v>
      </c>
      <c r="O847" s="47"/>
      <c r="P847" s="48">
        <f>7+1</f>
        <v>8</v>
      </c>
      <c r="Q847" s="49"/>
    </row>
    <row r="848" spans="1:17" ht="18" x14ac:dyDescent="0.25">
      <c r="A848" s="1">
        <v>23</v>
      </c>
      <c r="B848" s="79"/>
      <c r="C848" s="50" t="s">
        <v>24</v>
      </c>
      <c r="D848" s="51"/>
      <c r="E848" s="52">
        <v>0</v>
      </c>
      <c r="F848" s="53">
        <v>0</v>
      </c>
      <c r="G848" s="52">
        <v>0</v>
      </c>
      <c r="H848" s="53">
        <v>0</v>
      </c>
      <c r="I848" s="52"/>
      <c r="J848" s="53"/>
      <c r="K848" s="52"/>
      <c r="L848" s="53"/>
      <c r="M848" s="52"/>
      <c r="N848" s="53"/>
      <c r="O848" s="56"/>
      <c r="P848" s="30"/>
      <c r="Q848" s="31"/>
    </row>
    <row r="849" spans="1:17" ht="36" x14ac:dyDescent="0.25">
      <c r="A849" s="1">
        <v>23</v>
      </c>
      <c r="B849" s="79"/>
      <c r="C849" s="50" t="s">
        <v>25</v>
      </c>
      <c r="D849" s="51"/>
      <c r="E849" s="52">
        <f t="shared" ref="E849:N849" si="73">SUM(E850:E862)</f>
        <v>23181.506999999998</v>
      </c>
      <c r="F849" s="53">
        <f t="shared" si="73"/>
        <v>57953.767999999989</v>
      </c>
      <c r="G849" s="52">
        <f t="shared" si="73"/>
        <v>23181.506999999998</v>
      </c>
      <c r="H849" s="53">
        <f t="shared" si="73"/>
        <v>57953.767999999996</v>
      </c>
      <c r="I849" s="52">
        <f t="shared" si="73"/>
        <v>21223.442999999999</v>
      </c>
      <c r="J849" s="53">
        <f t="shared" si="73"/>
        <v>55934.567999999999</v>
      </c>
      <c r="K849" s="52">
        <f t="shared" si="73"/>
        <v>21527.95493</v>
      </c>
      <c r="L849" s="53">
        <f t="shared" si="73"/>
        <v>55934.568059999998</v>
      </c>
      <c r="M849" s="52">
        <f t="shared" si="73"/>
        <v>304.51169999999956</v>
      </c>
      <c r="N849" s="53">
        <f t="shared" si="73"/>
        <v>0</v>
      </c>
      <c r="O849" s="56"/>
      <c r="P849" s="30"/>
      <c r="Q849" s="31"/>
    </row>
    <row r="850" spans="1:17" ht="144" x14ac:dyDescent="0.25">
      <c r="A850" s="1">
        <v>23</v>
      </c>
      <c r="B850" s="57">
        <v>1</v>
      </c>
      <c r="C850" s="58" t="s">
        <v>1132</v>
      </c>
      <c r="D850" s="59" t="s">
        <v>38</v>
      </c>
      <c r="E850" s="60">
        <f>5081.238-2181.346</f>
        <v>2899.8920000000003</v>
      </c>
      <c r="F850" s="61">
        <v>0</v>
      </c>
      <c r="G850" s="60">
        <v>2899.8919999999998</v>
      </c>
      <c r="H850" s="61">
        <v>0</v>
      </c>
      <c r="I850" s="60">
        <v>2595.38</v>
      </c>
      <c r="J850" s="61">
        <v>0</v>
      </c>
      <c r="K850" s="60">
        <v>2899.8916599999998</v>
      </c>
      <c r="L850" s="61">
        <v>0</v>
      </c>
      <c r="M850" s="60">
        <v>304.51169999999956</v>
      </c>
      <c r="N850" s="61">
        <v>0</v>
      </c>
      <c r="O850" s="62" t="s">
        <v>52</v>
      </c>
      <c r="P850" s="106" t="s">
        <v>639</v>
      </c>
      <c r="Q850" s="64" t="s">
        <v>41</v>
      </c>
    </row>
    <row r="851" spans="1:17" ht="126" x14ac:dyDescent="0.25">
      <c r="A851" s="1">
        <v>23</v>
      </c>
      <c r="B851" s="57">
        <f>B850+1</f>
        <v>2</v>
      </c>
      <c r="C851" s="58" t="s">
        <v>1133</v>
      </c>
      <c r="D851" s="59" t="s">
        <v>29</v>
      </c>
      <c r="E851" s="60">
        <v>0</v>
      </c>
      <c r="F851" s="61">
        <v>8113.53</v>
      </c>
      <c r="G851" s="60">
        <v>0</v>
      </c>
      <c r="H851" s="61">
        <v>8113.53</v>
      </c>
      <c r="I851" s="60">
        <v>0</v>
      </c>
      <c r="J851" s="61">
        <v>8113.53</v>
      </c>
      <c r="K851" s="60">
        <v>0</v>
      </c>
      <c r="L851" s="61">
        <v>8113.5298300000004</v>
      </c>
      <c r="M851" s="60">
        <v>0</v>
      </c>
      <c r="N851" s="61">
        <v>0</v>
      </c>
      <c r="O851" s="62" t="s">
        <v>36</v>
      </c>
      <c r="P851" s="63"/>
      <c r="Q851" s="64"/>
    </row>
    <row r="852" spans="1:17" ht="90" x14ac:dyDescent="0.25">
      <c r="A852" s="1">
        <v>23</v>
      </c>
      <c r="B852" s="57">
        <f t="shared" ref="B852:B862" si="74">B851+1</f>
        <v>3</v>
      </c>
      <c r="C852" s="58" t="s">
        <v>1134</v>
      </c>
      <c r="D852" s="59">
        <v>2017</v>
      </c>
      <c r="E852" s="60">
        <f>0+570.686</f>
        <v>570.68600000000004</v>
      </c>
      <c r="F852" s="61">
        <f>300+128.63</f>
        <v>428.63</v>
      </c>
      <c r="G852" s="60">
        <v>570.68600000000004</v>
      </c>
      <c r="H852" s="61">
        <v>428.63</v>
      </c>
      <c r="I852" s="60">
        <v>570.34</v>
      </c>
      <c r="J852" s="61">
        <v>428.28399999999999</v>
      </c>
      <c r="K852" s="60">
        <v>570.34027000000003</v>
      </c>
      <c r="L852" s="61">
        <v>428.28417999999999</v>
      </c>
      <c r="M852" s="60">
        <v>0</v>
      </c>
      <c r="N852" s="61">
        <v>0</v>
      </c>
      <c r="O852" s="62" t="s">
        <v>1135</v>
      </c>
      <c r="P852" s="63"/>
      <c r="Q852" s="64"/>
    </row>
    <row r="853" spans="1:17" ht="108" x14ac:dyDescent="0.25">
      <c r="A853" s="1">
        <v>23</v>
      </c>
      <c r="B853" s="57">
        <f t="shared" si="74"/>
        <v>4</v>
      </c>
      <c r="C853" s="58" t="s">
        <v>1136</v>
      </c>
      <c r="D853" s="59">
        <v>2017</v>
      </c>
      <c r="E853" s="60">
        <v>0</v>
      </c>
      <c r="F853" s="61">
        <f>3312.845-73.608</f>
        <v>3239.2369999999996</v>
      </c>
      <c r="G853" s="60">
        <v>0</v>
      </c>
      <c r="H853" s="61">
        <v>3239.2370000000001</v>
      </c>
      <c r="I853" s="60">
        <v>0</v>
      </c>
      <c r="J853" s="61">
        <v>2977.652</v>
      </c>
      <c r="K853" s="60">
        <v>0</v>
      </c>
      <c r="L853" s="61">
        <v>2977.6525099999999</v>
      </c>
      <c r="M853" s="60">
        <v>0</v>
      </c>
      <c r="N853" s="61">
        <v>0</v>
      </c>
      <c r="O853" s="62" t="s">
        <v>363</v>
      </c>
      <c r="P853" s="63"/>
      <c r="Q853" s="64"/>
    </row>
    <row r="854" spans="1:17" ht="108" x14ac:dyDescent="0.25">
      <c r="A854" s="1">
        <v>23</v>
      </c>
      <c r="B854" s="57">
        <f t="shared" si="74"/>
        <v>5</v>
      </c>
      <c r="C854" s="58" t="s">
        <v>1137</v>
      </c>
      <c r="D854" s="59">
        <v>2017</v>
      </c>
      <c r="E854" s="60">
        <v>0</v>
      </c>
      <c r="F854" s="61">
        <f>2222.433-1.178</f>
        <v>2221.2550000000001</v>
      </c>
      <c r="G854" s="60">
        <v>0</v>
      </c>
      <c r="H854" s="61">
        <v>2221.2550000000001</v>
      </c>
      <c r="I854" s="60">
        <v>0</v>
      </c>
      <c r="J854" s="61">
        <v>663.88900000000001</v>
      </c>
      <c r="K854" s="60">
        <v>0</v>
      </c>
      <c r="L854" s="61">
        <v>663.88751999999999</v>
      </c>
      <c r="M854" s="60">
        <v>0</v>
      </c>
      <c r="N854" s="61">
        <v>0</v>
      </c>
      <c r="O854" s="62" t="s">
        <v>363</v>
      </c>
      <c r="P854" s="63"/>
      <c r="Q854" s="64"/>
    </row>
    <row r="855" spans="1:17" ht="126" x14ac:dyDescent="0.25">
      <c r="A855" s="1">
        <v>23</v>
      </c>
      <c r="B855" s="57">
        <f t="shared" si="74"/>
        <v>6</v>
      </c>
      <c r="C855" s="58" t="s">
        <v>1138</v>
      </c>
      <c r="D855" s="59">
        <v>2017</v>
      </c>
      <c r="E855" s="60">
        <v>0</v>
      </c>
      <c r="F855" s="61">
        <v>964.98699999999997</v>
      </c>
      <c r="G855" s="60">
        <v>0</v>
      </c>
      <c r="H855" s="61">
        <v>964.98699999999997</v>
      </c>
      <c r="I855" s="60">
        <v>0</v>
      </c>
      <c r="J855" s="61">
        <v>944.89200000000005</v>
      </c>
      <c r="K855" s="60">
        <v>0</v>
      </c>
      <c r="L855" s="61">
        <v>944.89247999999998</v>
      </c>
      <c r="M855" s="60">
        <v>0</v>
      </c>
      <c r="N855" s="61">
        <v>0</v>
      </c>
      <c r="O855" s="62" t="s">
        <v>52</v>
      </c>
      <c r="P855" s="63" t="s">
        <v>1139</v>
      </c>
      <c r="Q855" s="64" t="s">
        <v>1140</v>
      </c>
    </row>
    <row r="856" spans="1:17" ht="108" x14ac:dyDescent="0.25">
      <c r="A856" s="1">
        <v>23</v>
      </c>
      <c r="B856" s="57">
        <f t="shared" si="74"/>
        <v>7</v>
      </c>
      <c r="C856" s="58" t="s">
        <v>1141</v>
      </c>
      <c r="D856" s="59">
        <v>2017</v>
      </c>
      <c r="E856" s="60">
        <v>0</v>
      </c>
      <c r="F856" s="61">
        <f>1038.05-34.349</f>
        <v>1003.7009999999999</v>
      </c>
      <c r="G856" s="60">
        <v>0</v>
      </c>
      <c r="H856" s="61">
        <v>1003.701</v>
      </c>
      <c r="I856" s="60">
        <v>0</v>
      </c>
      <c r="J856" s="61">
        <v>970.57500000000005</v>
      </c>
      <c r="K856" s="60">
        <v>0</v>
      </c>
      <c r="L856" s="61">
        <v>970.57449999999994</v>
      </c>
      <c r="M856" s="60">
        <v>0</v>
      </c>
      <c r="N856" s="61">
        <v>0</v>
      </c>
      <c r="O856" s="62" t="s">
        <v>52</v>
      </c>
      <c r="P856" s="63" t="s">
        <v>1142</v>
      </c>
      <c r="Q856" s="64" t="s">
        <v>1143</v>
      </c>
    </row>
    <row r="857" spans="1:17" ht="144" x14ac:dyDescent="0.25">
      <c r="A857" s="1">
        <v>23</v>
      </c>
      <c r="B857" s="57">
        <f t="shared" si="74"/>
        <v>8</v>
      </c>
      <c r="C857" s="58" t="s">
        <v>1144</v>
      </c>
      <c r="D857" s="59">
        <v>2017</v>
      </c>
      <c r="E857" s="60">
        <v>0</v>
      </c>
      <c r="F857" s="61">
        <v>575.21199999999999</v>
      </c>
      <c r="G857" s="60">
        <v>0</v>
      </c>
      <c r="H857" s="61">
        <v>575.21199999999999</v>
      </c>
      <c r="I857" s="60">
        <v>0</v>
      </c>
      <c r="J857" s="61">
        <v>563.34699999999998</v>
      </c>
      <c r="K857" s="60">
        <v>0</v>
      </c>
      <c r="L857" s="61">
        <v>563.34721000000002</v>
      </c>
      <c r="M857" s="60">
        <v>0</v>
      </c>
      <c r="N857" s="61">
        <v>0</v>
      </c>
      <c r="O857" s="62" t="s">
        <v>52</v>
      </c>
      <c r="P857" s="63" t="s">
        <v>1145</v>
      </c>
      <c r="Q857" s="64" t="s">
        <v>1140</v>
      </c>
    </row>
    <row r="858" spans="1:17" ht="108" x14ac:dyDescent="0.25">
      <c r="A858" s="1">
        <v>23</v>
      </c>
      <c r="B858" s="57">
        <f t="shared" si="74"/>
        <v>9</v>
      </c>
      <c r="C858" s="58" t="s">
        <v>1146</v>
      </c>
      <c r="D858" s="59" t="s">
        <v>105</v>
      </c>
      <c r="E858" s="60">
        <v>0</v>
      </c>
      <c r="F858" s="61">
        <v>344.96300000000002</v>
      </c>
      <c r="G858" s="60">
        <v>0</v>
      </c>
      <c r="H858" s="61">
        <v>344.96300000000002</v>
      </c>
      <c r="I858" s="60">
        <v>0</v>
      </c>
      <c r="J858" s="61">
        <v>231.58799999999999</v>
      </c>
      <c r="K858" s="60" t="s">
        <v>1147</v>
      </c>
      <c r="L858" s="61">
        <v>231.58762999999999</v>
      </c>
      <c r="M858" s="60" t="s">
        <v>1147</v>
      </c>
      <c r="N858" s="61">
        <v>0</v>
      </c>
      <c r="O858" s="62" t="s">
        <v>52</v>
      </c>
      <c r="P858" s="63" t="s">
        <v>1148</v>
      </c>
      <c r="Q858" s="64" t="s">
        <v>108</v>
      </c>
    </row>
    <row r="859" spans="1:17" ht="144" x14ac:dyDescent="0.25">
      <c r="A859" s="1">
        <v>23</v>
      </c>
      <c r="B859" s="57">
        <f t="shared" si="74"/>
        <v>10</v>
      </c>
      <c r="C859" s="58" t="s">
        <v>1149</v>
      </c>
      <c r="D859" s="59" t="s">
        <v>29</v>
      </c>
      <c r="E859" s="60">
        <f>0+1653.206</f>
        <v>1653.2059999999999</v>
      </c>
      <c r="F859" s="61">
        <v>27193.402999999998</v>
      </c>
      <c r="G859" s="60">
        <v>1653.2059999999999</v>
      </c>
      <c r="H859" s="61">
        <v>27193.402999999998</v>
      </c>
      <c r="I859" s="60">
        <v>0</v>
      </c>
      <c r="J859" s="61">
        <v>27193.402999999998</v>
      </c>
      <c r="K859" s="60">
        <v>0</v>
      </c>
      <c r="L859" s="61">
        <v>27193.402999999998</v>
      </c>
      <c r="M859" s="60">
        <v>0</v>
      </c>
      <c r="N859" s="61">
        <v>0</v>
      </c>
      <c r="O859" s="62" t="s">
        <v>36</v>
      </c>
      <c r="P859" s="63"/>
      <c r="Q859" s="64"/>
    </row>
    <row r="860" spans="1:17" ht="72" x14ac:dyDescent="0.25">
      <c r="A860" s="1">
        <v>23</v>
      </c>
      <c r="B860" s="57">
        <f t="shared" si="74"/>
        <v>11</v>
      </c>
      <c r="C860" s="58" t="s">
        <v>1150</v>
      </c>
      <c r="D860" s="59" t="s">
        <v>105</v>
      </c>
      <c r="E860" s="60">
        <v>10000</v>
      </c>
      <c r="F860" s="61">
        <v>0</v>
      </c>
      <c r="G860" s="60">
        <v>10000</v>
      </c>
      <c r="H860" s="61">
        <v>0</v>
      </c>
      <c r="I860" s="60">
        <v>10000</v>
      </c>
      <c r="J860" s="61">
        <v>0</v>
      </c>
      <c r="K860" s="60">
        <v>10000</v>
      </c>
      <c r="L860" s="61">
        <v>0</v>
      </c>
      <c r="M860" s="60">
        <v>0</v>
      </c>
      <c r="N860" s="61">
        <v>0</v>
      </c>
      <c r="O860" s="62" t="s">
        <v>52</v>
      </c>
      <c r="P860" s="106" t="s">
        <v>1151</v>
      </c>
      <c r="Q860" s="64" t="s">
        <v>108</v>
      </c>
    </row>
    <row r="861" spans="1:17" ht="72" x14ac:dyDescent="0.25">
      <c r="A861" s="1">
        <v>23</v>
      </c>
      <c r="B861" s="57">
        <f t="shared" si="74"/>
        <v>12</v>
      </c>
      <c r="C861" s="58" t="s">
        <v>1152</v>
      </c>
      <c r="D861" s="59" t="s">
        <v>105</v>
      </c>
      <c r="E861" s="60">
        <f>8400-299.731-42.546</f>
        <v>8057.723</v>
      </c>
      <c r="F861" s="61">
        <v>299.73099999999999</v>
      </c>
      <c r="G861" s="60">
        <v>8057.723</v>
      </c>
      <c r="H861" s="61">
        <v>299.73099999999999</v>
      </c>
      <c r="I861" s="60">
        <v>8057.723</v>
      </c>
      <c r="J861" s="61">
        <v>299.73099999999999</v>
      </c>
      <c r="K861" s="60">
        <v>8057.723</v>
      </c>
      <c r="L861" s="61">
        <v>299.73099999999999</v>
      </c>
      <c r="M861" s="60">
        <v>0</v>
      </c>
      <c r="N861" s="61">
        <v>0</v>
      </c>
      <c r="O861" s="62" t="s">
        <v>377</v>
      </c>
      <c r="P861" s="106" t="s">
        <v>1153</v>
      </c>
      <c r="Q861" s="64" t="s">
        <v>108</v>
      </c>
    </row>
    <row r="862" spans="1:17" ht="51.75" x14ac:dyDescent="0.25">
      <c r="A862" s="1">
        <v>23</v>
      </c>
      <c r="B862" s="57">
        <f t="shared" si="74"/>
        <v>13</v>
      </c>
      <c r="C862" s="107" t="s">
        <v>1154</v>
      </c>
      <c r="D862" s="108" t="s">
        <v>29</v>
      </c>
      <c r="E862" s="109">
        <f>SUM(E863:E872)</f>
        <v>0</v>
      </c>
      <c r="F862" s="110">
        <f t="shared" ref="F862:N862" si="75">SUM(F863:F872)</f>
        <v>13569.119000000001</v>
      </c>
      <c r="G862" s="109">
        <f t="shared" si="75"/>
        <v>0</v>
      </c>
      <c r="H862" s="110">
        <f t="shared" si="75"/>
        <v>13569.119000000001</v>
      </c>
      <c r="I862" s="109">
        <f t="shared" si="75"/>
        <v>0</v>
      </c>
      <c r="J862" s="110">
        <f t="shared" si="75"/>
        <v>13547.677</v>
      </c>
      <c r="K862" s="109">
        <f t="shared" si="75"/>
        <v>0</v>
      </c>
      <c r="L862" s="110">
        <f t="shared" si="75"/>
        <v>13547.6782</v>
      </c>
      <c r="M862" s="109">
        <f t="shared" si="75"/>
        <v>0</v>
      </c>
      <c r="N862" s="110">
        <f t="shared" si="75"/>
        <v>0</v>
      </c>
      <c r="O862" s="111" t="s">
        <v>36</v>
      </c>
      <c r="P862" s="112"/>
      <c r="Q862" s="113" t="s">
        <v>235</v>
      </c>
    </row>
    <row r="863" spans="1:17" ht="56.25" x14ac:dyDescent="0.25">
      <c r="A863" s="1">
        <v>23</v>
      </c>
      <c r="B863" s="114"/>
      <c r="C863" s="115" t="s">
        <v>1155</v>
      </c>
      <c r="D863" s="116" t="s">
        <v>105</v>
      </c>
      <c r="E863" s="117">
        <v>0</v>
      </c>
      <c r="F863" s="118">
        <v>1219.4970000000001</v>
      </c>
      <c r="G863" s="117">
        <v>0</v>
      </c>
      <c r="H863" s="118">
        <v>1219.4970000000001</v>
      </c>
      <c r="I863" s="117">
        <v>0</v>
      </c>
      <c r="J863" s="118">
        <v>1219.4970000000001</v>
      </c>
      <c r="K863" s="117">
        <v>0</v>
      </c>
      <c r="L863" s="118">
        <v>1219.4970000000001</v>
      </c>
      <c r="M863" s="117">
        <v>0</v>
      </c>
      <c r="N863" s="118">
        <v>0</v>
      </c>
      <c r="O863" s="62" t="s">
        <v>52</v>
      </c>
      <c r="P863" s="126" t="s">
        <v>125</v>
      </c>
      <c r="Q863" s="127" t="s">
        <v>41</v>
      </c>
    </row>
    <row r="864" spans="1:17" ht="56.25" x14ac:dyDescent="0.25">
      <c r="A864" s="1">
        <v>23</v>
      </c>
      <c r="B864" s="114"/>
      <c r="C864" s="115" t="s">
        <v>1156</v>
      </c>
      <c r="D864" s="116" t="s">
        <v>105</v>
      </c>
      <c r="E864" s="117">
        <v>0</v>
      </c>
      <c r="F864" s="118">
        <f>1048.064-13.398</f>
        <v>1034.6660000000002</v>
      </c>
      <c r="G864" s="117">
        <v>0</v>
      </c>
      <c r="H864" s="118">
        <v>1034.6659999999999</v>
      </c>
      <c r="I864" s="117">
        <v>0</v>
      </c>
      <c r="J864" s="118">
        <v>1031.046</v>
      </c>
      <c r="K864" s="117">
        <v>0</v>
      </c>
      <c r="L864" s="118">
        <v>1031.0464199999999</v>
      </c>
      <c r="M864" s="117">
        <v>0</v>
      </c>
      <c r="N864" s="118">
        <v>0</v>
      </c>
      <c r="O864" s="62" t="s">
        <v>52</v>
      </c>
      <c r="P864" s="126" t="s">
        <v>1157</v>
      </c>
      <c r="Q864" s="127" t="s">
        <v>41</v>
      </c>
    </row>
    <row r="865" spans="1:17" ht="56.25" x14ac:dyDescent="0.25">
      <c r="A865" s="1">
        <v>23</v>
      </c>
      <c r="B865" s="114"/>
      <c r="C865" s="115" t="s">
        <v>1158</v>
      </c>
      <c r="D865" s="116" t="s">
        <v>105</v>
      </c>
      <c r="E865" s="117">
        <v>0</v>
      </c>
      <c r="F865" s="118">
        <f>280.331-6.097</f>
        <v>274.23400000000004</v>
      </c>
      <c r="G865" s="117">
        <v>0</v>
      </c>
      <c r="H865" s="118">
        <v>274.23399999999998</v>
      </c>
      <c r="I865" s="117">
        <v>0</v>
      </c>
      <c r="J865" s="118">
        <v>274.23399999999998</v>
      </c>
      <c r="K865" s="117">
        <v>0</v>
      </c>
      <c r="L865" s="118">
        <v>274.23430000000002</v>
      </c>
      <c r="M865" s="117">
        <v>0</v>
      </c>
      <c r="N865" s="118">
        <v>0</v>
      </c>
      <c r="O865" s="62" t="s">
        <v>52</v>
      </c>
      <c r="P865" s="126" t="s">
        <v>948</v>
      </c>
      <c r="Q865" s="127" t="s">
        <v>41</v>
      </c>
    </row>
    <row r="866" spans="1:17" ht="56.25" x14ac:dyDescent="0.25">
      <c r="A866" s="1">
        <v>23</v>
      </c>
      <c r="B866" s="114"/>
      <c r="C866" s="115" t="s">
        <v>1159</v>
      </c>
      <c r="D866" s="116" t="s">
        <v>105</v>
      </c>
      <c r="E866" s="117">
        <v>0</v>
      </c>
      <c r="F866" s="118">
        <v>1124.9269999999999</v>
      </c>
      <c r="G866" s="117">
        <v>0</v>
      </c>
      <c r="H866" s="118">
        <v>1124.9269999999999</v>
      </c>
      <c r="I866" s="117">
        <v>0</v>
      </c>
      <c r="J866" s="118">
        <v>1124.9269999999999</v>
      </c>
      <c r="K866" s="117">
        <v>0</v>
      </c>
      <c r="L866" s="118">
        <v>1124.9269999999999</v>
      </c>
      <c r="M866" s="117">
        <v>0</v>
      </c>
      <c r="N866" s="118">
        <v>0</v>
      </c>
      <c r="O866" s="62" t="s">
        <v>52</v>
      </c>
      <c r="P866" s="126" t="s">
        <v>180</v>
      </c>
      <c r="Q866" s="127" t="s">
        <v>41</v>
      </c>
    </row>
    <row r="867" spans="1:17" ht="56.25" x14ac:dyDescent="0.25">
      <c r="A867" s="1">
        <v>23</v>
      </c>
      <c r="B867" s="114"/>
      <c r="C867" s="115" t="s">
        <v>1160</v>
      </c>
      <c r="D867" s="116" t="s">
        <v>105</v>
      </c>
      <c r="E867" s="117">
        <v>0</v>
      </c>
      <c r="F867" s="118">
        <v>2052.1689999999999</v>
      </c>
      <c r="G867" s="117">
        <v>0</v>
      </c>
      <c r="H867" s="118">
        <v>2052.1689999999999</v>
      </c>
      <c r="I867" s="117">
        <v>0</v>
      </c>
      <c r="J867" s="118">
        <v>2052.1689999999999</v>
      </c>
      <c r="K867" s="117">
        <v>0</v>
      </c>
      <c r="L867" s="118">
        <v>2052.1689999999999</v>
      </c>
      <c r="M867" s="117">
        <v>0</v>
      </c>
      <c r="N867" s="118">
        <v>0</v>
      </c>
      <c r="O867" s="62" t="s">
        <v>52</v>
      </c>
      <c r="P867" s="126" t="s">
        <v>959</v>
      </c>
      <c r="Q867" s="127" t="s">
        <v>41</v>
      </c>
    </row>
    <row r="868" spans="1:17" ht="56.25" x14ac:dyDescent="0.25">
      <c r="A868" s="1">
        <v>23</v>
      </c>
      <c r="B868" s="114"/>
      <c r="C868" s="115" t="s">
        <v>1161</v>
      </c>
      <c r="D868" s="116" t="s">
        <v>105</v>
      </c>
      <c r="E868" s="117">
        <v>0</v>
      </c>
      <c r="F868" s="118">
        <v>1187.479</v>
      </c>
      <c r="G868" s="117">
        <v>0</v>
      </c>
      <c r="H868" s="118">
        <v>1187.479</v>
      </c>
      <c r="I868" s="117">
        <v>0</v>
      </c>
      <c r="J868" s="118">
        <v>1187.479</v>
      </c>
      <c r="K868" s="117">
        <v>0</v>
      </c>
      <c r="L868" s="118">
        <v>1187.479</v>
      </c>
      <c r="M868" s="117">
        <v>0</v>
      </c>
      <c r="N868" s="118">
        <v>0</v>
      </c>
      <c r="O868" s="62" t="s">
        <v>64</v>
      </c>
      <c r="P868" s="126"/>
      <c r="Q868" s="127"/>
    </row>
    <row r="869" spans="1:17" ht="56.25" x14ac:dyDescent="0.25">
      <c r="A869" s="1">
        <v>23</v>
      </c>
      <c r="B869" s="114"/>
      <c r="C869" s="115" t="s">
        <v>1162</v>
      </c>
      <c r="D869" s="116" t="s">
        <v>105</v>
      </c>
      <c r="E869" s="117">
        <v>0</v>
      </c>
      <c r="F869" s="118">
        <v>554.97900000000004</v>
      </c>
      <c r="G869" s="117">
        <v>0</v>
      </c>
      <c r="H869" s="118">
        <v>554.97900000000004</v>
      </c>
      <c r="I869" s="117">
        <v>0</v>
      </c>
      <c r="J869" s="118">
        <v>554.97900000000004</v>
      </c>
      <c r="K869" s="117">
        <v>0</v>
      </c>
      <c r="L869" s="118">
        <v>554.97900000000004</v>
      </c>
      <c r="M869" s="117">
        <v>0</v>
      </c>
      <c r="N869" s="118">
        <v>0</v>
      </c>
      <c r="O869" s="62" t="s">
        <v>52</v>
      </c>
      <c r="P869" s="126" t="s">
        <v>1163</v>
      </c>
      <c r="Q869" s="127" t="s">
        <v>41</v>
      </c>
    </row>
    <row r="870" spans="1:17" ht="56.25" x14ac:dyDescent="0.25">
      <c r="A870" s="1">
        <v>23</v>
      </c>
      <c r="B870" s="114"/>
      <c r="C870" s="115" t="s">
        <v>1164</v>
      </c>
      <c r="D870" s="116" t="s">
        <v>29</v>
      </c>
      <c r="E870" s="117">
        <v>0</v>
      </c>
      <c r="F870" s="118">
        <v>1100</v>
      </c>
      <c r="G870" s="117">
        <v>0</v>
      </c>
      <c r="H870" s="118">
        <v>1100</v>
      </c>
      <c r="I870" s="117">
        <v>0</v>
      </c>
      <c r="J870" s="118">
        <v>1100</v>
      </c>
      <c r="K870" s="117">
        <v>0</v>
      </c>
      <c r="L870" s="118">
        <v>1100</v>
      </c>
      <c r="M870" s="117">
        <v>0</v>
      </c>
      <c r="N870" s="118">
        <v>0</v>
      </c>
      <c r="O870" s="62" t="s">
        <v>36</v>
      </c>
      <c r="P870" s="126"/>
      <c r="Q870" s="127"/>
    </row>
    <row r="871" spans="1:17" ht="56.25" x14ac:dyDescent="0.25">
      <c r="A871" s="1">
        <v>23</v>
      </c>
      <c r="B871" s="114"/>
      <c r="C871" s="115" t="s">
        <v>1165</v>
      </c>
      <c r="D871" s="116" t="s">
        <v>105</v>
      </c>
      <c r="E871" s="117">
        <v>0</v>
      </c>
      <c r="F871" s="118">
        <v>3886.777</v>
      </c>
      <c r="G871" s="117">
        <v>0</v>
      </c>
      <c r="H871" s="118">
        <v>3886.777</v>
      </c>
      <c r="I871" s="117">
        <v>0</v>
      </c>
      <c r="J871" s="118">
        <v>3886.777</v>
      </c>
      <c r="K871" s="117">
        <v>0</v>
      </c>
      <c r="L871" s="118">
        <v>3886.777</v>
      </c>
      <c r="M871" s="117">
        <v>0</v>
      </c>
      <c r="N871" s="118">
        <v>0</v>
      </c>
      <c r="O871" s="62" t="s">
        <v>52</v>
      </c>
      <c r="P871" s="126" t="s">
        <v>821</v>
      </c>
      <c r="Q871" s="127" t="s">
        <v>41</v>
      </c>
    </row>
    <row r="872" spans="1:17" ht="94.5" thickBot="1" x14ac:dyDescent="0.3">
      <c r="A872" s="1">
        <v>23</v>
      </c>
      <c r="B872" s="128"/>
      <c r="C872" s="129" t="s">
        <v>1166</v>
      </c>
      <c r="D872" s="130" t="s">
        <v>105</v>
      </c>
      <c r="E872" s="131">
        <v>0</v>
      </c>
      <c r="F872" s="132">
        <v>1134.3910000000001</v>
      </c>
      <c r="G872" s="131">
        <v>0</v>
      </c>
      <c r="H872" s="132">
        <v>1134.3910000000001</v>
      </c>
      <c r="I872" s="131">
        <v>0</v>
      </c>
      <c r="J872" s="132">
        <v>1116.569</v>
      </c>
      <c r="K872" s="131">
        <v>0</v>
      </c>
      <c r="L872" s="132">
        <v>1116.5694800000001</v>
      </c>
      <c r="M872" s="131">
        <v>0</v>
      </c>
      <c r="N872" s="132">
        <v>0</v>
      </c>
      <c r="O872" s="73" t="s">
        <v>97</v>
      </c>
      <c r="P872" s="133"/>
      <c r="Q872" s="134"/>
    </row>
    <row r="873" spans="1:17" ht="18" x14ac:dyDescent="0.25">
      <c r="A873" s="1">
        <v>24</v>
      </c>
      <c r="B873" s="149" t="s">
        <v>1167</v>
      </c>
      <c r="C873" s="150"/>
      <c r="D873" s="150"/>
      <c r="E873" s="150"/>
      <c r="F873" s="150"/>
      <c r="G873" s="150"/>
      <c r="H873" s="150"/>
      <c r="I873" s="150"/>
      <c r="J873" s="150"/>
      <c r="K873" s="150"/>
      <c r="L873" s="150"/>
      <c r="M873" s="150"/>
      <c r="N873" s="150"/>
      <c r="O873" s="150"/>
      <c r="P873" s="150"/>
      <c r="Q873" s="151"/>
    </row>
    <row r="874" spans="1:17" ht="18" x14ac:dyDescent="0.25">
      <c r="A874" s="1">
        <v>24</v>
      </c>
      <c r="B874" s="78"/>
      <c r="C874" s="41" t="s">
        <v>27</v>
      </c>
      <c r="D874" s="42"/>
      <c r="E874" s="43">
        <f t="shared" ref="E874:N874" si="76">SUM(E875,E877:E899)</f>
        <v>28187.353999999999</v>
      </c>
      <c r="F874" s="44">
        <f t="shared" si="76"/>
        <v>70468.383999999991</v>
      </c>
      <c r="G874" s="43">
        <f t="shared" si="76"/>
        <v>28187.353999999999</v>
      </c>
      <c r="H874" s="44">
        <f t="shared" si="76"/>
        <v>70468.384000000005</v>
      </c>
      <c r="I874" s="43">
        <f t="shared" si="76"/>
        <v>27916.751000000004</v>
      </c>
      <c r="J874" s="44">
        <f t="shared" si="76"/>
        <v>70238.148000000001</v>
      </c>
      <c r="K874" s="43">
        <f t="shared" si="76"/>
        <v>28153.019</v>
      </c>
      <c r="L874" s="44">
        <f t="shared" si="76"/>
        <v>70238.148000000001</v>
      </c>
      <c r="M874" s="43">
        <f t="shared" si="76"/>
        <v>236.268</v>
      </c>
      <c r="N874" s="44">
        <f t="shared" si="76"/>
        <v>0</v>
      </c>
      <c r="O874" s="47"/>
      <c r="P874" s="48">
        <v>15</v>
      </c>
      <c r="Q874" s="49"/>
    </row>
    <row r="875" spans="1:17" ht="18" x14ac:dyDescent="0.25">
      <c r="A875" s="1">
        <v>24</v>
      </c>
      <c r="B875" s="79"/>
      <c r="C875" s="50" t="s">
        <v>24</v>
      </c>
      <c r="D875" s="51"/>
      <c r="E875" s="52">
        <v>0</v>
      </c>
      <c r="F875" s="53">
        <v>0</v>
      </c>
      <c r="G875" s="52">
        <v>0</v>
      </c>
      <c r="H875" s="53">
        <v>0</v>
      </c>
      <c r="I875" s="52"/>
      <c r="J875" s="53"/>
      <c r="K875" s="52"/>
      <c r="L875" s="53"/>
      <c r="M875" s="52"/>
      <c r="N875" s="53"/>
      <c r="O875" s="56"/>
      <c r="P875" s="30"/>
      <c r="Q875" s="31"/>
    </row>
    <row r="876" spans="1:17" ht="36" x14ac:dyDescent="0.25">
      <c r="A876" s="1">
        <v>24</v>
      </c>
      <c r="B876" s="79"/>
      <c r="C876" s="50" t="s">
        <v>25</v>
      </c>
      <c r="D876" s="51"/>
      <c r="E876" s="52">
        <f t="shared" ref="E876:N876" si="77">SUM(E877:E899)</f>
        <v>28187.353999999999</v>
      </c>
      <c r="F876" s="53">
        <f t="shared" si="77"/>
        <v>70468.383999999991</v>
      </c>
      <c r="G876" s="52">
        <f t="shared" si="77"/>
        <v>28187.353999999999</v>
      </c>
      <c r="H876" s="53">
        <f t="shared" si="77"/>
        <v>70468.384000000005</v>
      </c>
      <c r="I876" s="52">
        <f t="shared" si="77"/>
        <v>27916.751000000004</v>
      </c>
      <c r="J876" s="53">
        <f t="shared" si="77"/>
        <v>70238.148000000001</v>
      </c>
      <c r="K876" s="52">
        <f t="shared" si="77"/>
        <v>28153.019</v>
      </c>
      <c r="L876" s="53">
        <f t="shared" si="77"/>
        <v>70238.148000000001</v>
      </c>
      <c r="M876" s="52">
        <f t="shared" si="77"/>
        <v>236.268</v>
      </c>
      <c r="N876" s="53">
        <f t="shared" si="77"/>
        <v>0</v>
      </c>
      <c r="O876" s="56"/>
      <c r="P876" s="30"/>
      <c r="Q876" s="31"/>
    </row>
    <row r="877" spans="1:17" ht="54" x14ac:dyDescent="0.25">
      <c r="A877" s="1">
        <v>24</v>
      </c>
      <c r="B877" s="57">
        <v>1</v>
      </c>
      <c r="C877" s="58" t="s">
        <v>1168</v>
      </c>
      <c r="D877" s="59" t="s">
        <v>35</v>
      </c>
      <c r="E877" s="60">
        <v>12000</v>
      </c>
      <c r="F877" s="61">
        <v>0</v>
      </c>
      <c r="G877" s="60">
        <v>12000</v>
      </c>
      <c r="H877" s="61">
        <v>0</v>
      </c>
      <c r="I877" s="60">
        <v>11729.397000000001</v>
      </c>
      <c r="J877" s="61">
        <v>0</v>
      </c>
      <c r="K877" s="60">
        <v>11965.665000000001</v>
      </c>
      <c r="L877" s="61">
        <v>0</v>
      </c>
      <c r="M877" s="60">
        <v>236.268</v>
      </c>
      <c r="N877" s="61">
        <v>0</v>
      </c>
      <c r="O877" s="62" t="s">
        <v>52</v>
      </c>
      <c r="P877" s="106" t="s">
        <v>658</v>
      </c>
      <c r="Q877" s="64" t="s">
        <v>41</v>
      </c>
    </row>
    <row r="878" spans="1:17" ht="54" x14ac:dyDescent="0.25">
      <c r="A878" s="1">
        <v>24</v>
      </c>
      <c r="B878" s="57">
        <f>B877+1</f>
        <v>2</v>
      </c>
      <c r="C878" s="58" t="s">
        <v>1169</v>
      </c>
      <c r="D878" s="59" t="s">
        <v>38</v>
      </c>
      <c r="E878" s="60">
        <v>9540.6849999999995</v>
      </c>
      <c r="F878" s="61">
        <v>0</v>
      </c>
      <c r="G878" s="60">
        <v>9540.6849999999995</v>
      </c>
      <c r="H878" s="61">
        <v>0</v>
      </c>
      <c r="I878" s="60">
        <v>9540.6849999999995</v>
      </c>
      <c r="J878" s="61">
        <v>0</v>
      </c>
      <c r="K878" s="60">
        <v>9540.6849999999995</v>
      </c>
      <c r="L878" s="61">
        <v>0</v>
      </c>
      <c r="M878" s="60">
        <v>0</v>
      </c>
      <c r="N878" s="61">
        <v>0</v>
      </c>
      <c r="O878" s="62" t="s">
        <v>52</v>
      </c>
      <c r="P878" s="106" t="s">
        <v>1170</v>
      </c>
      <c r="Q878" s="64" t="s">
        <v>41</v>
      </c>
    </row>
    <row r="879" spans="1:17" ht="72" x14ac:dyDescent="0.25">
      <c r="A879" s="1">
        <v>24</v>
      </c>
      <c r="B879" s="57">
        <f t="shared" ref="B879:B899" si="78">B878+1</f>
        <v>3</v>
      </c>
      <c r="C879" s="58" t="s">
        <v>1171</v>
      </c>
      <c r="D879" s="59" t="s">
        <v>293</v>
      </c>
      <c r="E879" s="60">
        <f>15300-8653.331</f>
        <v>6646.6689999999999</v>
      </c>
      <c r="F879" s="61">
        <f>8653.331-2084.58</f>
        <v>6568.7510000000002</v>
      </c>
      <c r="G879" s="60">
        <v>6646.6689999999999</v>
      </c>
      <c r="H879" s="61">
        <v>6568.7510000000002</v>
      </c>
      <c r="I879" s="60">
        <v>6646.6689999999999</v>
      </c>
      <c r="J879" s="61">
        <v>6568.7510000000002</v>
      </c>
      <c r="K879" s="60">
        <v>6646.6689999999999</v>
      </c>
      <c r="L879" s="61">
        <v>6568.7510000000002</v>
      </c>
      <c r="M879" s="60">
        <v>0</v>
      </c>
      <c r="N879" s="61">
        <v>0</v>
      </c>
      <c r="O879" s="62" t="s">
        <v>48</v>
      </c>
      <c r="P879" s="63"/>
      <c r="Q879" s="64"/>
    </row>
    <row r="880" spans="1:17" ht="90" x14ac:dyDescent="0.25">
      <c r="A880" s="1">
        <v>24</v>
      </c>
      <c r="B880" s="57">
        <f t="shared" si="78"/>
        <v>4</v>
      </c>
      <c r="C880" s="58" t="s">
        <v>1172</v>
      </c>
      <c r="D880" s="59" t="s">
        <v>101</v>
      </c>
      <c r="E880" s="60">
        <v>0</v>
      </c>
      <c r="F880" s="61">
        <v>4950</v>
      </c>
      <c r="G880" s="60">
        <v>0</v>
      </c>
      <c r="H880" s="61">
        <v>4950</v>
      </c>
      <c r="I880" s="60">
        <v>0</v>
      </c>
      <c r="J880" s="61">
        <v>4941.91</v>
      </c>
      <c r="K880" s="60">
        <v>0</v>
      </c>
      <c r="L880" s="61">
        <v>4941.91</v>
      </c>
      <c r="M880" s="60">
        <v>0</v>
      </c>
      <c r="N880" s="61">
        <v>0</v>
      </c>
      <c r="O880" s="62" t="s">
        <v>102</v>
      </c>
      <c r="P880" s="63"/>
      <c r="Q880" s="64"/>
    </row>
    <row r="881" spans="1:17" ht="90" x14ac:dyDescent="0.25">
      <c r="A881" s="1">
        <v>24</v>
      </c>
      <c r="B881" s="57">
        <f t="shared" si="78"/>
        <v>5</v>
      </c>
      <c r="C881" s="58" t="s">
        <v>1173</v>
      </c>
      <c r="D881" s="59" t="s">
        <v>38</v>
      </c>
      <c r="E881" s="60">
        <v>0</v>
      </c>
      <c r="F881" s="61">
        <v>2782.4580000000001</v>
      </c>
      <c r="G881" s="60">
        <v>0</v>
      </c>
      <c r="H881" s="61">
        <v>2782.4580000000001</v>
      </c>
      <c r="I881" s="60">
        <v>0</v>
      </c>
      <c r="J881" s="61">
        <v>2782.4580000000001</v>
      </c>
      <c r="K881" s="60">
        <v>0</v>
      </c>
      <c r="L881" s="61">
        <v>2782.4580000000001</v>
      </c>
      <c r="M881" s="60">
        <v>0</v>
      </c>
      <c r="N881" s="61">
        <v>0</v>
      </c>
      <c r="O881" s="62" t="s">
        <v>52</v>
      </c>
      <c r="P881" s="63" t="s">
        <v>151</v>
      </c>
      <c r="Q881" s="64" t="s">
        <v>41</v>
      </c>
    </row>
    <row r="882" spans="1:17" ht="54" x14ac:dyDescent="0.25">
      <c r="A882" s="1">
        <v>24</v>
      </c>
      <c r="B882" s="57">
        <f t="shared" si="78"/>
        <v>6</v>
      </c>
      <c r="C882" s="58" t="s">
        <v>1174</v>
      </c>
      <c r="D882" s="59" t="s">
        <v>105</v>
      </c>
      <c r="E882" s="60">
        <v>0</v>
      </c>
      <c r="F882" s="61">
        <v>1348.3</v>
      </c>
      <c r="G882" s="60">
        <v>0</v>
      </c>
      <c r="H882" s="61">
        <v>1348.3</v>
      </c>
      <c r="I882" s="60">
        <v>0</v>
      </c>
      <c r="J882" s="61">
        <v>1348.3</v>
      </c>
      <c r="K882" s="60">
        <v>0</v>
      </c>
      <c r="L882" s="61">
        <v>1348.3</v>
      </c>
      <c r="M882" s="60">
        <v>0</v>
      </c>
      <c r="N882" s="61">
        <v>0</v>
      </c>
      <c r="O882" s="62" t="s">
        <v>106</v>
      </c>
      <c r="P882" s="63" t="s">
        <v>1175</v>
      </c>
      <c r="Q882" s="64" t="s">
        <v>41</v>
      </c>
    </row>
    <row r="883" spans="1:17" ht="54" x14ac:dyDescent="0.25">
      <c r="A883" s="1">
        <v>24</v>
      </c>
      <c r="B883" s="57">
        <f t="shared" si="78"/>
        <v>7</v>
      </c>
      <c r="C883" s="58" t="s">
        <v>1176</v>
      </c>
      <c r="D883" s="59" t="s">
        <v>105</v>
      </c>
      <c r="E883" s="60">
        <v>0</v>
      </c>
      <c r="F883" s="61">
        <v>930</v>
      </c>
      <c r="G883" s="60">
        <v>0</v>
      </c>
      <c r="H883" s="61">
        <v>930</v>
      </c>
      <c r="I883" s="60">
        <v>0</v>
      </c>
      <c r="J883" s="61">
        <v>930</v>
      </c>
      <c r="K883" s="60">
        <v>0</v>
      </c>
      <c r="L883" s="61">
        <v>930</v>
      </c>
      <c r="M883" s="60">
        <v>0</v>
      </c>
      <c r="N883" s="61">
        <v>0</v>
      </c>
      <c r="O883" s="62" t="s">
        <v>52</v>
      </c>
      <c r="P883" s="63" t="s">
        <v>1177</v>
      </c>
      <c r="Q883" s="64" t="s">
        <v>527</v>
      </c>
    </row>
    <row r="884" spans="1:17" ht="54" x14ac:dyDescent="0.25">
      <c r="A884" s="1">
        <v>24</v>
      </c>
      <c r="B884" s="57">
        <f t="shared" si="78"/>
        <v>8</v>
      </c>
      <c r="C884" s="58" t="s">
        <v>1178</v>
      </c>
      <c r="D884" s="59" t="s">
        <v>38</v>
      </c>
      <c r="E884" s="60">
        <v>0</v>
      </c>
      <c r="F884" s="61">
        <v>1235.5350000000001</v>
      </c>
      <c r="G884" s="60">
        <v>0</v>
      </c>
      <c r="H884" s="61">
        <v>1235.5350000000001</v>
      </c>
      <c r="I884" s="60">
        <v>0</v>
      </c>
      <c r="J884" s="61">
        <v>1235.5350000000001</v>
      </c>
      <c r="K884" s="60">
        <v>0</v>
      </c>
      <c r="L884" s="61">
        <v>1235.5350000000001</v>
      </c>
      <c r="M884" s="60">
        <v>0</v>
      </c>
      <c r="N884" s="61">
        <v>0</v>
      </c>
      <c r="O884" s="62" t="s">
        <v>52</v>
      </c>
      <c r="P884" s="63" t="s">
        <v>1177</v>
      </c>
      <c r="Q884" s="64" t="s">
        <v>41</v>
      </c>
    </row>
    <row r="885" spans="1:17" ht="90" x14ac:dyDescent="0.25">
      <c r="A885" s="1">
        <v>24</v>
      </c>
      <c r="B885" s="57">
        <f t="shared" si="78"/>
        <v>9</v>
      </c>
      <c r="C885" s="58" t="s">
        <v>1179</v>
      </c>
      <c r="D885" s="59" t="s">
        <v>29</v>
      </c>
      <c r="E885" s="60">
        <v>0</v>
      </c>
      <c r="F885" s="61">
        <f>4410+2236.131</f>
        <v>6646.1309999999994</v>
      </c>
      <c r="G885" s="60">
        <v>0</v>
      </c>
      <c r="H885" s="61">
        <v>6646.1310000000003</v>
      </c>
      <c r="I885" s="60">
        <v>0</v>
      </c>
      <c r="J885" s="61">
        <v>6646.1310000000003</v>
      </c>
      <c r="K885" s="60">
        <v>0</v>
      </c>
      <c r="L885" s="61">
        <v>6646.1310000000003</v>
      </c>
      <c r="M885" s="60">
        <v>0</v>
      </c>
      <c r="N885" s="61">
        <v>0</v>
      </c>
      <c r="O885" s="62" t="s">
        <v>48</v>
      </c>
      <c r="P885" s="63"/>
      <c r="Q885" s="64"/>
    </row>
    <row r="886" spans="1:17" ht="108" x14ac:dyDescent="0.25">
      <c r="A886" s="1">
        <v>24</v>
      </c>
      <c r="B886" s="57">
        <f t="shared" si="78"/>
        <v>10</v>
      </c>
      <c r="C886" s="58" t="s">
        <v>1180</v>
      </c>
      <c r="D886" s="59" t="s">
        <v>105</v>
      </c>
      <c r="E886" s="60">
        <v>0</v>
      </c>
      <c r="F886" s="61">
        <v>3072.2080000000001</v>
      </c>
      <c r="G886" s="60">
        <v>0</v>
      </c>
      <c r="H886" s="61">
        <v>3072.2080000000001</v>
      </c>
      <c r="I886" s="60">
        <v>0</v>
      </c>
      <c r="J886" s="61">
        <v>2895.7130000000002</v>
      </c>
      <c r="K886" s="60">
        <v>0</v>
      </c>
      <c r="L886" s="61">
        <v>2895.7130000000002</v>
      </c>
      <c r="M886" s="60">
        <v>0</v>
      </c>
      <c r="N886" s="61">
        <v>0</v>
      </c>
      <c r="O886" s="62" t="s">
        <v>52</v>
      </c>
      <c r="P886" s="63" t="s">
        <v>121</v>
      </c>
      <c r="Q886" s="64" t="s">
        <v>41</v>
      </c>
    </row>
    <row r="887" spans="1:17" ht="90" x14ac:dyDescent="0.25">
      <c r="A887" s="1">
        <v>24</v>
      </c>
      <c r="B887" s="57">
        <f t="shared" si="78"/>
        <v>11</v>
      </c>
      <c r="C887" s="58" t="s">
        <v>1181</v>
      </c>
      <c r="D887" s="59" t="s">
        <v>105</v>
      </c>
      <c r="E887" s="60">
        <v>0</v>
      </c>
      <c r="F887" s="61">
        <f>1167.333-182.338</f>
        <v>984.99500000000012</v>
      </c>
      <c r="G887" s="60">
        <v>0</v>
      </c>
      <c r="H887" s="61">
        <v>984.995</v>
      </c>
      <c r="I887" s="60">
        <v>0</v>
      </c>
      <c r="J887" s="61">
        <v>984.995</v>
      </c>
      <c r="K887" s="60">
        <v>0</v>
      </c>
      <c r="L887" s="61">
        <v>984.995</v>
      </c>
      <c r="M887" s="60">
        <v>0</v>
      </c>
      <c r="N887" s="61">
        <v>0</v>
      </c>
      <c r="O887" s="62" t="s">
        <v>106</v>
      </c>
      <c r="P887" s="63" t="s">
        <v>196</v>
      </c>
      <c r="Q887" s="64" t="s">
        <v>527</v>
      </c>
    </row>
    <row r="888" spans="1:17" ht="90" x14ac:dyDescent="0.25">
      <c r="A888" s="1">
        <v>24</v>
      </c>
      <c r="B888" s="57">
        <f t="shared" si="78"/>
        <v>12</v>
      </c>
      <c r="C888" s="58" t="s">
        <v>1182</v>
      </c>
      <c r="D888" s="59" t="s">
        <v>105</v>
      </c>
      <c r="E888" s="60">
        <v>0</v>
      </c>
      <c r="F888" s="61">
        <v>1161.1500000000001</v>
      </c>
      <c r="G888" s="60">
        <v>0</v>
      </c>
      <c r="H888" s="61">
        <v>1161.1500000000001</v>
      </c>
      <c r="I888" s="60">
        <v>0</v>
      </c>
      <c r="J888" s="61">
        <v>1161.1500000000001</v>
      </c>
      <c r="K888" s="60">
        <v>0</v>
      </c>
      <c r="L888" s="61">
        <v>1161.1500000000001</v>
      </c>
      <c r="M888" s="60">
        <v>0</v>
      </c>
      <c r="N888" s="61">
        <v>0</v>
      </c>
      <c r="O888" s="62" t="s">
        <v>52</v>
      </c>
      <c r="P888" s="63" t="s">
        <v>1183</v>
      </c>
      <c r="Q888" s="64" t="s">
        <v>527</v>
      </c>
    </row>
    <row r="889" spans="1:17" ht="90" x14ac:dyDescent="0.25">
      <c r="A889" s="1">
        <v>24</v>
      </c>
      <c r="B889" s="57">
        <f t="shared" si="78"/>
        <v>13</v>
      </c>
      <c r="C889" s="58" t="s">
        <v>1184</v>
      </c>
      <c r="D889" s="59" t="s">
        <v>29</v>
      </c>
      <c r="E889" s="60">
        <v>0</v>
      </c>
      <c r="F889" s="61">
        <v>6930</v>
      </c>
      <c r="G889" s="60">
        <v>0</v>
      </c>
      <c r="H889" s="61">
        <v>6930</v>
      </c>
      <c r="I889" s="60">
        <v>0</v>
      </c>
      <c r="J889" s="61">
        <v>6930</v>
      </c>
      <c r="K889" s="60">
        <v>0</v>
      </c>
      <c r="L889" s="61">
        <v>6930</v>
      </c>
      <c r="M889" s="60">
        <v>0</v>
      </c>
      <c r="N889" s="61">
        <v>0</v>
      </c>
      <c r="O889" s="62" t="s">
        <v>48</v>
      </c>
      <c r="P889" s="63"/>
      <c r="Q889" s="64"/>
    </row>
    <row r="890" spans="1:17" ht="54" x14ac:dyDescent="0.25">
      <c r="A890" s="1">
        <v>24</v>
      </c>
      <c r="B890" s="57">
        <f t="shared" si="78"/>
        <v>14</v>
      </c>
      <c r="C890" s="58" t="s">
        <v>1185</v>
      </c>
      <c r="D890" s="59" t="s">
        <v>29</v>
      </c>
      <c r="E890" s="60">
        <v>0</v>
      </c>
      <c r="F890" s="61">
        <v>2970</v>
      </c>
      <c r="G890" s="60">
        <v>0</v>
      </c>
      <c r="H890" s="61">
        <v>2970</v>
      </c>
      <c r="I890" s="60">
        <v>0</v>
      </c>
      <c r="J890" s="61">
        <v>2968.36</v>
      </c>
      <c r="K890" s="60">
        <v>0</v>
      </c>
      <c r="L890" s="61">
        <v>2968.36</v>
      </c>
      <c r="M890" s="60">
        <v>0</v>
      </c>
      <c r="N890" s="61">
        <v>0</v>
      </c>
      <c r="O890" s="62" t="s">
        <v>48</v>
      </c>
      <c r="P890" s="63"/>
      <c r="Q890" s="64"/>
    </row>
    <row r="891" spans="1:17" ht="90" x14ac:dyDescent="0.25">
      <c r="A891" s="1">
        <v>24</v>
      </c>
      <c r="B891" s="57">
        <f t="shared" si="78"/>
        <v>15</v>
      </c>
      <c r="C891" s="58" t="s">
        <v>1186</v>
      </c>
      <c r="D891" s="59" t="s">
        <v>29</v>
      </c>
      <c r="E891" s="60">
        <v>0</v>
      </c>
      <c r="F891" s="61">
        <f>4144.5-1600</f>
        <v>2544.5</v>
      </c>
      <c r="G891" s="60">
        <v>0</v>
      </c>
      <c r="H891" s="61">
        <v>2544.5</v>
      </c>
      <c r="I891" s="60">
        <v>0</v>
      </c>
      <c r="J891" s="61">
        <v>2542.7199999999998</v>
      </c>
      <c r="K891" s="60">
        <v>0</v>
      </c>
      <c r="L891" s="61">
        <v>2542.7199999999998</v>
      </c>
      <c r="M891" s="60">
        <v>0</v>
      </c>
      <c r="N891" s="61">
        <v>0</v>
      </c>
      <c r="O891" s="62" t="s">
        <v>30</v>
      </c>
      <c r="P891" s="63"/>
      <c r="Q891" s="64"/>
    </row>
    <row r="892" spans="1:17" ht="54" x14ac:dyDescent="0.25">
      <c r="A892" s="1">
        <v>24</v>
      </c>
      <c r="B892" s="57">
        <f t="shared" si="78"/>
        <v>16</v>
      </c>
      <c r="C892" s="58" t="s">
        <v>1187</v>
      </c>
      <c r="D892" s="59" t="s">
        <v>1188</v>
      </c>
      <c r="E892" s="60">
        <v>0</v>
      </c>
      <c r="F892" s="61">
        <v>3484.1179999999999</v>
      </c>
      <c r="G892" s="60">
        <v>0</v>
      </c>
      <c r="H892" s="61">
        <v>3484.1179999999999</v>
      </c>
      <c r="I892" s="60">
        <v>0</v>
      </c>
      <c r="J892" s="61">
        <v>3484.1179999999999</v>
      </c>
      <c r="K892" s="60">
        <v>0</v>
      </c>
      <c r="L892" s="61">
        <v>3484.1179999999999</v>
      </c>
      <c r="M892" s="60">
        <v>0</v>
      </c>
      <c r="N892" s="61">
        <v>0</v>
      </c>
      <c r="O892" s="62" t="s">
        <v>52</v>
      </c>
      <c r="P892" s="63" t="s">
        <v>118</v>
      </c>
      <c r="Q892" s="64" t="s">
        <v>527</v>
      </c>
    </row>
    <row r="893" spans="1:17" ht="90" x14ac:dyDescent="0.25">
      <c r="A893" s="1">
        <v>24</v>
      </c>
      <c r="B893" s="57">
        <f t="shared" si="78"/>
        <v>17</v>
      </c>
      <c r="C893" s="58" t="s">
        <v>1189</v>
      </c>
      <c r="D893" s="59" t="s">
        <v>105</v>
      </c>
      <c r="E893" s="60">
        <v>0</v>
      </c>
      <c r="F893" s="61">
        <v>2466.1559999999999</v>
      </c>
      <c r="G893" s="60">
        <v>0</v>
      </c>
      <c r="H893" s="61">
        <v>2466.1559999999999</v>
      </c>
      <c r="I893" s="60">
        <v>0</v>
      </c>
      <c r="J893" s="61">
        <v>2425.1799999999998</v>
      </c>
      <c r="K893" s="60">
        <v>0</v>
      </c>
      <c r="L893" s="61">
        <v>2425.1799999999998</v>
      </c>
      <c r="M893" s="60">
        <v>0</v>
      </c>
      <c r="N893" s="61">
        <v>0</v>
      </c>
      <c r="O893" s="62" t="s">
        <v>52</v>
      </c>
      <c r="P893" s="63" t="s">
        <v>1177</v>
      </c>
      <c r="Q893" s="64" t="s">
        <v>41</v>
      </c>
    </row>
    <row r="894" spans="1:17" ht="54" x14ac:dyDescent="0.25">
      <c r="A894" s="1">
        <v>24</v>
      </c>
      <c r="B894" s="57">
        <f t="shared" si="78"/>
        <v>18</v>
      </c>
      <c r="C894" s="58" t="s">
        <v>1190</v>
      </c>
      <c r="D894" s="59" t="s">
        <v>55</v>
      </c>
      <c r="E894" s="60">
        <v>0</v>
      </c>
      <c r="F894" s="61">
        <v>5754.1959999999999</v>
      </c>
      <c r="G894" s="60">
        <v>0</v>
      </c>
      <c r="H894" s="61">
        <v>5754.1959999999999</v>
      </c>
      <c r="I894" s="60">
        <v>0</v>
      </c>
      <c r="J894" s="61">
        <v>5753.2359999999999</v>
      </c>
      <c r="K894" s="60">
        <v>0</v>
      </c>
      <c r="L894" s="61">
        <v>5753.2359999999999</v>
      </c>
      <c r="M894" s="60">
        <v>0</v>
      </c>
      <c r="N894" s="61">
        <v>0</v>
      </c>
      <c r="O894" s="62" t="s">
        <v>209</v>
      </c>
      <c r="P894" s="63"/>
      <c r="Q894" s="64"/>
    </row>
    <row r="895" spans="1:17" ht="72" x14ac:dyDescent="0.25">
      <c r="A895" s="1">
        <v>24</v>
      </c>
      <c r="B895" s="57">
        <f t="shared" si="78"/>
        <v>19</v>
      </c>
      <c r="C895" s="58" t="s">
        <v>1191</v>
      </c>
      <c r="D895" s="59" t="s">
        <v>29</v>
      </c>
      <c r="E895" s="60">
        <v>0</v>
      </c>
      <c r="F895" s="61">
        <v>5400</v>
      </c>
      <c r="G895" s="60">
        <v>0</v>
      </c>
      <c r="H895" s="61">
        <v>5400</v>
      </c>
      <c r="I895" s="60">
        <v>0</v>
      </c>
      <c r="J895" s="61">
        <v>5399.7049999999999</v>
      </c>
      <c r="K895" s="60">
        <v>0</v>
      </c>
      <c r="L895" s="61">
        <v>5399.7049999999999</v>
      </c>
      <c r="M895" s="60">
        <v>0</v>
      </c>
      <c r="N895" s="61">
        <v>0</v>
      </c>
      <c r="O895" s="62" t="s">
        <v>48</v>
      </c>
      <c r="P895" s="63"/>
      <c r="Q895" s="64"/>
    </row>
    <row r="896" spans="1:17" ht="72" x14ac:dyDescent="0.25">
      <c r="A896" s="1">
        <v>24</v>
      </c>
      <c r="B896" s="57">
        <f t="shared" si="78"/>
        <v>20</v>
      </c>
      <c r="C896" s="58" t="s">
        <v>1192</v>
      </c>
      <c r="D896" s="59" t="s">
        <v>38</v>
      </c>
      <c r="E896" s="60">
        <v>0</v>
      </c>
      <c r="F896" s="61">
        <v>615.21500000000003</v>
      </c>
      <c r="G896" s="60">
        <v>0</v>
      </c>
      <c r="H896" s="61">
        <v>615.21500000000003</v>
      </c>
      <c r="I896" s="60">
        <v>0</v>
      </c>
      <c r="J896" s="61">
        <v>615.21500000000003</v>
      </c>
      <c r="K896" s="60">
        <v>0</v>
      </c>
      <c r="L896" s="61">
        <v>615.21500000000003</v>
      </c>
      <c r="M896" s="60">
        <v>0</v>
      </c>
      <c r="N896" s="61">
        <v>0</v>
      </c>
      <c r="O896" s="62" t="s">
        <v>52</v>
      </c>
      <c r="P896" s="63" t="s">
        <v>954</v>
      </c>
      <c r="Q896" s="64" t="s">
        <v>527</v>
      </c>
    </row>
    <row r="897" spans="1:17" ht="72" x14ac:dyDescent="0.25">
      <c r="A897" s="1">
        <v>24</v>
      </c>
      <c r="B897" s="57">
        <f t="shared" si="78"/>
        <v>21</v>
      </c>
      <c r="C897" s="58" t="s">
        <v>1193</v>
      </c>
      <c r="D897" s="59" t="s">
        <v>105</v>
      </c>
      <c r="E897" s="60">
        <v>0</v>
      </c>
      <c r="F897" s="61">
        <f>2274.74+1630.787</f>
        <v>3905.527</v>
      </c>
      <c r="G897" s="60">
        <v>0</v>
      </c>
      <c r="H897" s="61">
        <v>3905.527</v>
      </c>
      <c r="I897" s="60">
        <v>0</v>
      </c>
      <c r="J897" s="61">
        <v>3905.527</v>
      </c>
      <c r="K897" s="60">
        <v>0</v>
      </c>
      <c r="L897" s="61">
        <v>3905.527</v>
      </c>
      <c r="M897" s="60">
        <v>0</v>
      </c>
      <c r="N897" s="61">
        <v>0</v>
      </c>
      <c r="O897" s="62" t="s">
        <v>52</v>
      </c>
      <c r="P897" s="63" t="s">
        <v>280</v>
      </c>
      <c r="Q897" s="64" t="s">
        <v>527</v>
      </c>
    </row>
    <row r="898" spans="1:17" ht="72" x14ac:dyDescent="0.25">
      <c r="A898" s="1">
        <v>24</v>
      </c>
      <c r="B898" s="57">
        <f t="shared" si="78"/>
        <v>22</v>
      </c>
      <c r="C898" s="58" t="s">
        <v>1194</v>
      </c>
      <c r="D898" s="59" t="s">
        <v>405</v>
      </c>
      <c r="E898" s="60">
        <v>0</v>
      </c>
      <c r="F898" s="61">
        <v>2927.3449999999998</v>
      </c>
      <c r="G898" s="60">
        <v>0</v>
      </c>
      <c r="H898" s="61">
        <v>2927.3449999999998</v>
      </c>
      <c r="I898" s="60">
        <v>0</v>
      </c>
      <c r="J898" s="61">
        <v>2927.3449999999998</v>
      </c>
      <c r="K898" s="60">
        <v>0</v>
      </c>
      <c r="L898" s="61">
        <v>2927.3449999999998</v>
      </c>
      <c r="M898" s="60">
        <v>0</v>
      </c>
      <c r="N898" s="61">
        <v>0</v>
      </c>
      <c r="O898" s="62" t="s">
        <v>52</v>
      </c>
      <c r="P898" s="63" t="s">
        <v>40</v>
      </c>
      <c r="Q898" s="64" t="s">
        <v>41</v>
      </c>
    </row>
    <row r="899" spans="1:17" ht="54.75" thickBot="1" x14ac:dyDescent="0.3">
      <c r="A899" s="1">
        <v>24</v>
      </c>
      <c r="B899" s="84">
        <f t="shared" si="78"/>
        <v>23</v>
      </c>
      <c r="C899" s="85" t="s">
        <v>1195</v>
      </c>
      <c r="D899" s="86" t="s">
        <v>407</v>
      </c>
      <c r="E899" s="87">
        <v>0</v>
      </c>
      <c r="F899" s="88">
        <v>3791.799</v>
      </c>
      <c r="G899" s="87">
        <v>0</v>
      </c>
      <c r="H899" s="88">
        <v>3791.799</v>
      </c>
      <c r="I899" s="87">
        <v>0</v>
      </c>
      <c r="J899" s="88">
        <v>3791.799</v>
      </c>
      <c r="K899" s="87">
        <v>0</v>
      </c>
      <c r="L899" s="88">
        <v>3791.799</v>
      </c>
      <c r="M899" s="87">
        <v>0</v>
      </c>
      <c r="N899" s="88">
        <v>0</v>
      </c>
      <c r="O899" s="89" t="s">
        <v>106</v>
      </c>
      <c r="P899" s="93" t="s">
        <v>1196</v>
      </c>
      <c r="Q899" s="94" t="s">
        <v>41</v>
      </c>
    </row>
    <row r="900" spans="1:17" ht="18" x14ac:dyDescent="0.25">
      <c r="A900" s="1">
        <v>25</v>
      </c>
      <c r="B900" s="149" t="s">
        <v>1197</v>
      </c>
      <c r="C900" s="150"/>
      <c r="D900" s="150"/>
      <c r="E900" s="150"/>
      <c r="F900" s="150"/>
      <c r="G900" s="150"/>
      <c r="H900" s="150"/>
      <c r="I900" s="150"/>
      <c r="J900" s="150"/>
      <c r="K900" s="150"/>
      <c r="L900" s="150"/>
      <c r="M900" s="150"/>
      <c r="N900" s="150"/>
      <c r="O900" s="150"/>
      <c r="P900" s="150"/>
      <c r="Q900" s="151"/>
    </row>
    <row r="901" spans="1:17" ht="18" x14ac:dyDescent="0.25">
      <c r="A901" s="1">
        <v>25</v>
      </c>
      <c r="B901" s="78"/>
      <c r="C901" s="41" t="s">
        <v>27</v>
      </c>
      <c r="D901" s="42"/>
      <c r="E901" s="43">
        <f t="shared" ref="E901:N901" si="79">SUM(E902,E904:E943)</f>
        <v>32158.159999999996</v>
      </c>
      <c r="F901" s="44">
        <f t="shared" si="79"/>
        <v>80395.39899999999</v>
      </c>
      <c r="G901" s="43">
        <f t="shared" si="79"/>
        <v>32158.159999999996</v>
      </c>
      <c r="H901" s="44">
        <f t="shared" si="79"/>
        <v>80395.39899999999</v>
      </c>
      <c r="I901" s="43">
        <f t="shared" si="79"/>
        <v>31758.583999999999</v>
      </c>
      <c r="J901" s="44">
        <f t="shared" si="79"/>
        <v>79987.955999999991</v>
      </c>
      <c r="K901" s="43">
        <f t="shared" si="79"/>
        <v>31758.593999999997</v>
      </c>
      <c r="L901" s="44">
        <f t="shared" si="79"/>
        <v>79987.956659999996</v>
      </c>
      <c r="M901" s="43">
        <f t="shared" si="79"/>
        <v>0</v>
      </c>
      <c r="N901" s="44">
        <f t="shared" si="79"/>
        <v>0</v>
      </c>
      <c r="O901" s="95"/>
      <c r="P901" s="48">
        <v>32</v>
      </c>
      <c r="Q901" s="49"/>
    </row>
    <row r="902" spans="1:17" ht="18" x14ac:dyDescent="0.25">
      <c r="A902" s="1">
        <v>25</v>
      </c>
      <c r="B902" s="79"/>
      <c r="C902" s="50" t="s">
        <v>24</v>
      </c>
      <c r="D902" s="51"/>
      <c r="E902" s="52">
        <v>0</v>
      </c>
      <c r="F902" s="53">
        <v>0</v>
      </c>
      <c r="G902" s="52">
        <v>0</v>
      </c>
      <c r="H902" s="53">
        <v>0</v>
      </c>
      <c r="I902" s="52"/>
      <c r="J902" s="53"/>
      <c r="K902" s="52"/>
      <c r="L902" s="53"/>
      <c r="M902" s="52"/>
      <c r="N902" s="53"/>
      <c r="O902" s="96"/>
      <c r="P902" s="30"/>
      <c r="Q902" s="31"/>
    </row>
    <row r="903" spans="1:17" ht="36" x14ac:dyDescent="0.25">
      <c r="A903" s="1">
        <v>25</v>
      </c>
      <c r="B903" s="79"/>
      <c r="C903" s="50" t="s">
        <v>25</v>
      </c>
      <c r="D903" s="51"/>
      <c r="E903" s="52">
        <f t="shared" ref="E903:N903" si="80">SUM(E904:E943)</f>
        <v>32158.159999999996</v>
      </c>
      <c r="F903" s="53">
        <f t="shared" si="80"/>
        <v>80395.39899999999</v>
      </c>
      <c r="G903" s="52">
        <f t="shared" si="80"/>
        <v>32158.159999999996</v>
      </c>
      <c r="H903" s="53">
        <f t="shared" si="80"/>
        <v>80395.39899999999</v>
      </c>
      <c r="I903" s="52">
        <f t="shared" si="80"/>
        <v>31758.583999999999</v>
      </c>
      <c r="J903" s="53">
        <f t="shared" si="80"/>
        <v>79987.955999999991</v>
      </c>
      <c r="K903" s="52">
        <f t="shared" si="80"/>
        <v>31758.593999999997</v>
      </c>
      <c r="L903" s="53">
        <f t="shared" si="80"/>
        <v>79987.956659999996</v>
      </c>
      <c r="M903" s="52">
        <f t="shared" si="80"/>
        <v>0</v>
      </c>
      <c r="N903" s="53">
        <f t="shared" si="80"/>
        <v>0</v>
      </c>
      <c r="O903" s="96"/>
      <c r="P903" s="30"/>
      <c r="Q903" s="31"/>
    </row>
    <row r="904" spans="1:17" ht="108" x14ac:dyDescent="0.25">
      <c r="A904" s="1">
        <v>25</v>
      </c>
      <c r="B904" s="57">
        <v>1</v>
      </c>
      <c r="C904" s="58" t="s">
        <v>1198</v>
      </c>
      <c r="D904" s="59" t="s">
        <v>105</v>
      </c>
      <c r="E904" s="60">
        <f>996.977+216</f>
        <v>1212.9769999999999</v>
      </c>
      <c r="F904" s="61">
        <v>0</v>
      </c>
      <c r="G904" s="60">
        <v>1212.9770000000001</v>
      </c>
      <c r="H904" s="61">
        <v>0</v>
      </c>
      <c r="I904" s="60">
        <v>1189.1279999999999</v>
      </c>
      <c r="J904" s="61">
        <v>0</v>
      </c>
      <c r="K904" s="60">
        <v>1189.1279999999999</v>
      </c>
      <c r="L904" s="61">
        <v>0</v>
      </c>
      <c r="M904" s="60">
        <v>0</v>
      </c>
      <c r="N904" s="61">
        <v>0</v>
      </c>
      <c r="O904" s="62" t="s">
        <v>175</v>
      </c>
      <c r="P904" s="63"/>
      <c r="Q904" s="64"/>
    </row>
    <row r="905" spans="1:17" ht="54" x14ac:dyDescent="0.25">
      <c r="A905" s="1">
        <v>25</v>
      </c>
      <c r="B905" s="57">
        <f>B904+1</f>
        <v>2</v>
      </c>
      <c r="C905" s="58" t="s">
        <v>1199</v>
      </c>
      <c r="D905" s="59" t="s">
        <v>105</v>
      </c>
      <c r="E905" s="60">
        <v>0</v>
      </c>
      <c r="F905" s="61">
        <f>1304.714-24.66</f>
        <v>1280.0539999999999</v>
      </c>
      <c r="G905" s="60">
        <v>0</v>
      </c>
      <c r="H905" s="61">
        <v>1280.0540000000001</v>
      </c>
      <c r="I905" s="60">
        <v>0</v>
      </c>
      <c r="J905" s="61">
        <v>1280.0540000000001</v>
      </c>
      <c r="K905" s="60">
        <v>0</v>
      </c>
      <c r="L905" s="61">
        <v>1280.0540000000001</v>
      </c>
      <c r="M905" s="60">
        <v>0</v>
      </c>
      <c r="N905" s="61">
        <v>0</v>
      </c>
      <c r="O905" s="62" t="s">
        <v>1135</v>
      </c>
      <c r="P905" s="63" t="s">
        <v>273</v>
      </c>
      <c r="Q905" s="64" t="s">
        <v>527</v>
      </c>
    </row>
    <row r="906" spans="1:17" ht="72" x14ac:dyDescent="0.25">
      <c r="A906" s="1">
        <v>25</v>
      </c>
      <c r="B906" s="57">
        <f t="shared" ref="B906:B943" si="81">B905+1</f>
        <v>3</v>
      </c>
      <c r="C906" s="58" t="s">
        <v>1200</v>
      </c>
      <c r="D906" s="59" t="s">
        <v>35</v>
      </c>
      <c r="E906" s="60">
        <v>0</v>
      </c>
      <c r="F906" s="61">
        <f>2610.657-1671.355</f>
        <v>939.30200000000013</v>
      </c>
      <c r="G906" s="60">
        <v>0</v>
      </c>
      <c r="H906" s="61">
        <v>939.30200000000002</v>
      </c>
      <c r="I906" s="60">
        <v>0</v>
      </c>
      <c r="J906" s="61">
        <v>939.30200000000002</v>
      </c>
      <c r="K906" s="60">
        <v>0</v>
      </c>
      <c r="L906" s="61">
        <v>939.30200000000002</v>
      </c>
      <c r="M906" s="60">
        <v>0</v>
      </c>
      <c r="N906" s="61">
        <v>0</v>
      </c>
      <c r="O906" s="62" t="s">
        <v>36</v>
      </c>
      <c r="P906" s="63"/>
      <c r="Q906" s="64"/>
    </row>
    <row r="907" spans="1:17" ht="60" x14ac:dyDescent="0.25">
      <c r="A907" s="1">
        <v>25</v>
      </c>
      <c r="B907" s="57">
        <f t="shared" si="81"/>
        <v>4</v>
      </c>
      <c r="C907" s="58" t="s">
        <v>1201</v>
      </c>
      <c r="D907" s="59" t="s">
        <v>105</v>
      </c>
      <c r="E907" s="60">
        <v>0</v>
      </c>
      <c r="F907" s="61">
        <f>2699.883-308.872</f>
        <v>2391.011</v>
      </c>
      <c r="G907" s="60">
        <v>0</v>
      </c>
      <c r="H907" s="61">
        <v>2391.011</v>
      </c>
      <c r="I907" s="60">
        <v>0</v>
      </c>
      <c r="J907" s="61">
        <v>2391.011</v>
      </c>
      <c r="K907" s="60">
        <v>0</v>
      </c>
      <c r="L907" s="61">
        <v>2391.011</v>
      </c>
      <c r="M907" s="60">
        <v>0</v>
      </c>
      <c r="N907" s="61">
        <v>0</v>
      </c>
      <c r="O907" s="62" t="s">
        <v>1135</v>
      </c>
      <c r="P907" s="63" t="s">
        <v>1202</v>
      </c>
      <c r="Q907" s="64" t="s">
        <v>1203</v>
      </c>
    </row>
    <row r="908" spans="1:17" ht="60" x14ac:dyDescent="0.25">
      <c r="A908" s="1">
        <v>25</v>
      </c>
      <c r="B908" s="57">
        <f t="shared" si="81"/>
        <v>5</v>
      </c>
      <c r="C908" s="58" t="s">
        <v>1204</v>
      </c>
      <c r="D908" s="59" t="s">
        <v>105</v>
      </c>
      <c r="E908" s="60">
        <v>0</v>
      </c>
      <c r="F908" s="61">
        <v>1082.663</v>
      </c>
      <c r="G908" s="60">
        <v>0</v>
      </c>
      <c r="H908" s="61">
        <v>1082.663</v>
      </c>
      <c r="I908" s="60">
        <v>0</v>
      </c>
      <c r="J908" s="61">
        <v>1082.655</v>
      </c>
      <c r="K908" s="60">
        <v>0</v>
      </c>
      <c r="L908" s="61">
        <v>1082.655</v>
      </c>
      <c r="M908" s="60">
        <v>0</v>
      </c>
      <c r="N908" s="61">
        <v>0</v>
      </c>
      <c r="O908" s="62" t="s">
        <v>1135</v>
      </c>
      <c r="P908" s="63" t="s">
        <v>1205</v>
      </c>
      <c r="Q908" s="64" t="s">
        <v>1203</v>
      </c>
    </row>
    <row r="909" spans="1:17" ht="72" x14ac:dyDescent="0.25">
      <c r="A909" s="1">
        <v>25</v>
      </c>
      <c r="B909" s="57">
        <f t="shared" si="81"/>
        <v>6</v>
      </c>
      <c r="C909" s="58" t="s">
        <v>1206</v>
      </c>
      <c r="D909" s="59" t="s">
        <v>105</v>
      </c>
      <c r="E909" s="60">
        <f>993.531-61.931</f>
        <v>931.59999999999991</v>
      </c>
      <c r="F909" s="61">
        <v>0</v>
      </c>
      <c r="G909" s="60">
        <v>931.6</v>
      </c>
      <c r="H909" s="61">
        <v>0</v>
      </c>
      <c r="I909" s="60">
        <v>931.6</v>
      </c>
      <c r="J909" s="61">
        <v>0</v>
      </c>
      <c r="K909" s="60">
        <v>931.6</v>
      </c>
      <c r="L909" s="61">
        <v>0</v>
      </c>
      <c r="M909" s="60">
        <v>0</v>
      </c>
      <c r="N909" s="61">
        <v>0</v>
      </c>
      <c r="O909" s="62" t="s">
        <v>1135</v>
      </c>
      <c r="P909" s="63" t="s">
        <v>164</v>
      </c>
      <c r="Q909" s="64" t="s">
        <v>1203</v>
      </c>
    </row>
    <row r="910" spans="1:17" ht="144" x14ac:dyDescent="0.25">
      <c r="A910" s="1">
        <v>25</v>
      </c>
      <c r="B910" s="57">
        <f t="shared" si="81"/>
        <v>7</v>
      </c>
      <c r="C910" s="58" t="s">
        <v>1207</v>
      </c>
      <c r="D910" s="59" t="s">
        <v>105</v>
      </c>
      <c r="E910" s="60">
        <v>0</v>
      </c>
      <c r="F910" s="61">
        <f>1343.251-23.797</f>
        <v>1319.454</v>
      </c>
      <c r="G910" s="60">
        <v>0</v>
      </c>
      <c r="H910" s="61">
        <v>1319.454</v>
      </c>
      <c r="I910" s="60">
        <v>0</v>
      </c>
      <c r="J910" s="61">
        <v>1319.383</v>
      </c>
      <c r="K910" s="60">
        <v>0</v>
      </c>
      <c r="L910" s="61">
        <v>1319.383</v>
      </c>
      <c r="M910" s="60">
        <v>0</v>
      </c>
      <c r="N910" s="61">
        <v>0</v>
      </c>
      <c r="O910" s="62" t="s">
        <v>1135</v>
      </c>
      <c r="P910" s="63" t="s">
        <v>125</v>
      </c>
      <c r="Q910" s="64" t="s">
        <v>1203</v>
      </c>
    </row>
    <row r="911" spans="1:17" ht="126" x14ac:dyDescent="0.25">
      <c r="A911" s="1">
        <v>25</v>
      </c>
      <c r="B911" s="57">
        <f t="shared" si="81"/>
        <v>8</v>
      </c>
      <c r="C911" s="58" t="s">
        <v>1208</v>
      </c>
      <c r="D911" s="59" t="s">
        <v>105</v>
      </c>
      <c r="E911" s="60">
        <v>0</v>
      </c>
      <c r="F911" s="61">
        <f>4202.296-642.884</f>
        <v>3559.4120000000003</v>
      </c>
      <c r="G911" s="60">
        <v>0</v>
      </c>
      <c r="H911" s="61">
        <v>3559.4119999999998</v>
      </c>
      <c r="I911" s="60">
        <v>0</v>
      </c>
      <c r="J911" s="61">
        <v>3273.482</v>
      </c>
      <c r="K911" s="60">
        <v>0</v>
      </c>
      <c r="L911" s="61">
        <v>3273.482</v>
      </c>
      <c r="M911" s="60">
        <v>0</v>
      </c>
      <c r="N911" s="61">
        <v>0</v>
      </c>
      <c r="O911" s="62" t="s">
        <v>1135</v>
      </c>
      <c r="P911" s="63" t="s">
        <v>1209</v>
      </c>
      <c r="Q911" s="64" t="s">
        <v>1203</v>
      </c>
    </row>
    <row r="912" spans="1:17" ht="108" x14ac:dyDescent="0.25">
      <c r="A912" s="1">
        <v>25</v>
      </c>
      <c r="B912" s="57">
        <f t="shared" si="81"/>
        <v>9</v>
      </c>
      <c r="C912" s="58" t="s">
        <v>1210</v>
      </c>
      <c r="D912" s="59" t="s">
        <v>105</v>
      </c>
      <c r="E912" s="60">
        <v>1093.1379999999999</v>
      </c>
      <c r="F912" s="61">
        <v>0</v>
      </c>
      <c r="G912" s="60">
        <v>1093.1379999999999</v>
      </c>
      <c r="H912" s="61">
        <v>0</v>
      </c>
      <c r="I912" s="60">
        <v>1093.1379999999999</v>
      </c>
      <c r="J912" s="61">
        <v>0</v>
      </c>
      <c r="K912" s="60">
        <v>1093.1379999999999</v>
      </c>
      <c r="L912" s="61">
        <v>0</v>
      </c>
      <c r="M912" s="60">
        <v>0</v>
      </c>
      <c r="N912" s="61">
        <v>0</v>
      </c>
      <c r="O912" s="62" t="s">
        <v>1135</v>
      </c>
      <c r="P912" s="63" t="s">
        <v>164</v>
      </c>
      <c r="Q912" s="64" t="s">
        <v>1203</v>
      </c>
    </row>
    <row r="913" spans="1:17" ht="90" x14ac:dyDescent="0.25">
      <c r="A913" s="1">
        <v>25</v>
      </c>
      <c r="B913" s="57">
        <f t="shared" si="81"/>
        <v>10</v>
      </c>
      <c r="C913" s="58" t="s">
        <v>1211</v>
      </c>
      <c r="D913" s="59" t="s">
        <v>105</v>
      </c>
      <c r="E913" s="60">
        <f>766.8-8.571</f>
        <v>758.22899999999993</v>
      </c>
      <c r="F913" s="61">
        <v>0</v>
      </c>
      <c r="G913" s="60">
        <v>758.22900000000004</v>
      </c>
      <c r="H913" s="61">
        <v>0</v>
      </c>
      <c r="I913" s="60">
        <v>758.16700000000003</v>
      </c>
      <c r="J913" s="61">
        <v>0</v>
      </c>
      <c r="K913" s="60">
        <v>758.16700000000003</v>
      </c>
      <c r="L913" s="61">
        <v>0</v>
      </c>
      <c r="M913" s="60">
        <v>0</v>
      </c>
      <c r="N913" s="61">
        <v>0</v>
      </c>
      <c r="O913" s="62" t="s">
        <v>1135</v>
      </c>
      <c r="P913" s="63" t="s">
        <v>125</v>
      </c>
      <c r="Q913" s="64" t="s">
        <v>527</v>
      </c>
    </row>
    <row r="914" spans="1:17" ht="90" x14ac:dyDescent="0.25">
      <c r="A914" s="1">
        <v>25</v>
      </c>
      <c r="B914" s="57">
        <f t="shared" si="81"/>
        <v>11</v>
      </c>
      <c r="C914" s="58" t="s">
        <v>1212</v>
      </c>
      <c r="D914" s="59" t="s">
        <v>105</v>
      </c>
      <c r="E914" s="60">
        <v>697.94</v>
      </c>
      <c r="F914" s="61">
        <v>0</v>
      </c>
      <c r="G914" s="60">
        <v>697.94</v>
      </c>
      <c r="H914" s="61">
        <v>0</v>
      </c>
      <c r="I914" s="60">
        <v>697.94</v>
      </c>
      <c r="J914" s="61">
        <v>0</v>
      </c>
      <c r="K914" s="60">
        <v>697.94</v>
      </c>
      <c r="L914" s="61">
        <v>0</v>
      </c>
      <c r="M914" s="60">
        <v>0</v>
      </c>
      <c r="N914" s="61">
        <v>0</v>
      </c>
      <c r="O914" s="62" t="s">
        <v>1213</v>
      </c>
      <c r="P914" s="63" t="s">
        <v>164</v>
      </c>
      <c r="Q914" s="64" t="s">
        <v>1203</v>
      </c>
    </row>
    <row r="915" spans="1:17" ht="108" x14ac:dyDescent="0.25">
      <c r="A915" s="1">
        <v>25</v>
      </c>
      <c r="B915" s="57">
        <f t="shared" si="81"/>
        <v>12</v>
      </c>
      <c r="C915" s="58" t="s">
        <v>1214</v>
      </c>
      <c r="D915" s="59" t="s">
        <v>105</v>
      </c>
      <c r="E915" s="60">
        <v>471.72500000000002</v>
      </c>
      <c r="F915" s="61">
        <v>0</v>
      </c>
      <c r="G915" s="60">
        <v>471.72500000000002</v>
      </c>
      <c r="H915" s="61">
        <v>0</v>
      </c>
      <c r="I915" s="60">
        <v>471.72500000000002</v>
      </c>
      <c r="J915" s="61">
        <v>0</v>
      </c>
      <c r="K915" s="60">
        <v>471.72500000000002</v>
      </c>
      <c r="L915" s="61">
        <v>0</v>
      </c>
      <c r="M915" s="60">
        <v>0</v>
      </c>
      <c r="N915" s="61">
        <v>0</v>
      </c>
      <c r="O915" s="62" t="s">
        <v>52</v>
      </c>
      <c r="P915" s="63" t="s">
        <v>164</v>
      </c>
      <c r="Q915" s="64" t="s">
        <v>1215</v>
      </c>
    </row>
    <row r="916" spans="1:17" ht="126" x14ac:dyDescent="0.25">
      <c r="A916" s="1">
        <v>25</v>
      </c>
      <c r="B916" s="57">
        <f t="shared" si="81"/>
        <v>13</v>
      </c>
      <c r="C916" s="58" t="s">
        <v>1216</v>
      </c>
      <c r="D916" s="59" t="s">
        <v>38</v>
      </c>
      <c r="E916" s="60">
        <f>205.702-32.014</f>
        <v>173.68799999999999</v>
      </c>
      <c r="F916" s="61">
        <v>0</v>
      </c>
      <c r="G916" s="60">
        <v>173.68799999999999</v>
      </c>
      <c r="H916" s="61">
        <v>0</v>
      </c>
      <c r="I916" s="60">
        <v>172.45400000000001</v>
      </c>
      <c r="J916" s="61">
        <v>0</v>
      </c>
      <c r="K916" s="60">
        <v>172.464</v>
      </c>
      <c r="L916" s="61">
        <v>0</v>
      </c>
      <c r="M916" s="60">
        <v>0</v>
      </c>
      <c r="N916" s="61">
        <v>0</v>
      </c>
      <c r="O916" s="62" t="s">
        <v>1135</v>
      </c>
      <c r="P916" s="63" t="s">
        <v>1217</v>
      </c>
      <c r="Q916" s="64" t="s">
        <v>1203</v>
      </c>
    </row>
    <row r="917" spans="1:17" ht="72" x14ac:dyDescent="0.25">
      <c r="A917" s="1">
        <v>25</v>
      </c>
      <c r="B917" s="57">
        <f t="shared" si="81"/>
        <v>14</v>
      </c>
      <c r="C917" s="58" t="s">
        <v>1218</v>
      </c>
      <c r="D917" s="59" t="s">
        <v>38</v>
      </c>
      <c r="E917" s="60">
        <v>250.596</v>
      </c>
      <c r="F917" s="61">
        <v>0</v>
      </c>
      <c r="G917" s="60">
        <v>250.596</v>
      </c>
      <c r="H917" s="61">
        <v>0</v>
      </c>
      <c r="I917" s="60">
        <v>250.596</v>
      </c>
      <c r="J917" s="61">
        <v>0</v>
      </c>
      <c r="K917" s="60">
        <v>250.596</v>
      </c>
      <c r="L917" s="61">
        <v>0</v>
      </c>
      <c r="M917" s="60">
        <v>0</v>
      </c>
      <c r="N917" s="61">
        <v>0</v>
      </c>
      <c r="O917" s="62" t="s">
        <v>1135</v>
      </c>
      <c r="P917" s="63" t="s">
        <v>1219</v>
      </c>
      <c r="Q917" s="64" t="s">
        <v>1203</v>
      </c>
    </row>
    <row r="918" spans="1:17" ht="108" x14ac:dyDescent="0.25">
      <c r="A918" s="1">
        <v>25</v>
      </c>
      <c r="B918" s="57">
        <f t="shared" si="81"/>
        <v>15</v>
      </c>
      <c r="C918" s="58" t="s">
        <v>1220</v>
      </c>
      <c r="D918" s="59" t="s">
        <v>38</v>
      </c>
      <c r="E918" s="60">
        <f>1724.04-25.363</f>
        <v>1698.6769999999999</v>
      </c>
      <c r="F918" s="61">
        <v>0</v>
      </c>
      <c r="G918" s="60">
        <v>1698.6769999999999</v>
      </c>
      <c r="H918" s="61">
        <v>0</v>
      </c>
      <c r="I918" s="60">
        <v>1684.779</v>
      </c>
      <c r="J918" s="61">
        <v>0</v>
      </c>
      <c r="K918" s="60">
        <v>1684.779</v>
      </c>
      <c r="L918" s="61">
        <v>0</v>
      </c>
      <c r="M918" s="60">
        <v>0</v>
      </c>
      <c r="N918" s="61">
        <v>0</v>
      </c>
      <c r="O918" s="62" t="s">
        <v>1135</v>
      </c>
      <c r="P918" s="63" t="s">
        <v>1221</v>
      </c>
      <c r="Q918" s="64" t="s">
        <v>1203</v>
      </c>
    </row>
    <row r="919" spans="1:17" ht="90" x14ac:dyDescent="0.25">
      <c r="A919" s="1">
        <v>25</v>
      </c>
      <c r="B919" s="57">
        <f t="shared" si="81"/>
        <v>16</v>
      </c>
      <c r="C919" s="58" t="s">
        <v>1222</v>
      </c>
      <c r="D919" s="59" t="s">
        <v>38</v>
      </c>
      <c r="E919" s="60">
        <v>625.5</v>
      </c>
      <c r="F919" s="61">
        <v>0</v>
      </c>
      <c r="G919" s="60">
        <v>625.5</v>
      </c>
      <c r="H919" s="61">
        <v>0</v>
      </c>
      <c r="I919" s="60">
        <v>607.69500000000005</v>
      </c>
      <c r="J919" s="61">
        <v>0</v>
      </c>
      <c r="K919" s="60">
        <v>607.69500000000005</v>
      </c>
      <c r="L919" s="61">
        <v>0</v>
      </c>
      <c r="M919" s="60">
        <v>0</v>
      </c>
      <c r="N919" s="61">
        <v>0</v>
      </c>
      <c r="O919" s="62" t="s">
        <v>1135</v>
      </c>
      <c r="P919" s="63" t="s">
        <v>1223</v>
      </c>
      <c r="Q919" s="64" t="s">
        <v>527</v>
      </c>
    </row>
    <row r="920" spans="1:17" ht="54" x14ac:dyDescent="0.25">
      <c r="A920" s="1">
        <v>25</v>
      </c>
      <c r="B920" s="57">
        <f t="shared" si="81"/>
        <v>17</v>
      </c>
      <c r="C920" s="58" t="s">
        <v>1224</v>
      </c>
      <c r="D920" s="59" t="s">
        <v>1043</v>
      </c>
      <c r="E920" s="60">
        <v>1809.998</v>
      </c>
      <c r="F920" s="61">
        <v>0</v>
      </c>
      <c r="G920" s="60">
        <v>1809.998</v>
      </c>
      <c r="H920" s="61">
        <v>0</v>
      </c>
      <c r="I920" s="60">
        <v>1809.998</v>
      </c>
      <c r="J920" s="61">
        <v>0</v>
      </c>
      <c r="K920" s="60">
        <v>1809.998</v>
      </c>
      <c r="L920" s="61">
        <v>0</v>
      </c>
      <c r="M920" s="60">
        <v>0</v>
      </c>
      <c r="N920" s="61">
        <v>0</v>
      </c>
      <c r="O920" s="62" t="s">
        <v>36</v>
      </c>
      <c r="P920" s="63"/>
      <c r="Q920" s="64"/>
    </row>
    <row r="921" spans="1:17" ht="90" x14ac:dyDescent="0.25">
      <c r="A921" s="1">
        <v>25</v>
      </c>
      <c r="B921" s="57">
        <f t="shared" si="81"/>
        <v>18</v>
      </c>
      <c r="C921" s="58" t="s">
        <v>1225</v>
      </c>
      <c r="D921" s="59" t="s">
        <v>38</v>
      </c>
      <c r="E921" s="60">
        <v>400</v>
      </c>
      <c r="F921" s="61">
        <v>0</v>
      </c>
      <c r="G921" s="60">
        <v>400</v>
      </c>
      <c r="H921" s="61">
        <v>0</v>
      </c>
      <c r="I921" s="60">
        <v>174.738</v>
      </c>
      <c r="J921" s="61">
        <v>0</v>
      </c>
      <c r="K921" s="60">
        <v>174.738</v>
      </c>
      <c r="L921" s="61">
        <v>0</v>
      </c>
      <c r="M921" s="60">
        <v>0</v>
      </c>
      <c r="N921" s="61">
        <v>0</v>
      </c>
      <c r="O921" s="62" t="s">
        <v>30</v>
      </c>
      <c r="P921" s="63"/>
      <c r="Q921" s="64"/>
    </row>
    <row r="922" spans="1:17" ht="72" x14ac:dyDescent="0.25">
      <c r="A922" s="1">
        <v>25</v>
      </c>
      <c r="B922" s="57">
        <f t="shared" si="81"/>
        <v>19</v>
      </c>
      <c r="C922" s="58" t="s">
        <v>1226</v>
      </c>
      <c r="D922" s="59" t="s">
        <v>703</v>
      </c>
      <c r="E922" s="60">
        <v>1000</v>
      </c>
      <c r="F922" s="61">
        <v>0</v>
      </c>
      <c r="G922" s="60">
        <v>1000</v>
      </c>
      <c r="H922" s="61">
        <v>0</v>
      </c>
      <c r="I922" s="60">
        <v>983.54300000000001</v>
      </c>
      <c r="J922" s="61">
        <v>0</v>
      </c>
      <c r="K922" s="60">
        <v>983.54300000000001</v>
      </c>
      <c r="L922" s="61">
        <v>0</v>
      </c>
      <c r="M922" s="60">
        <v>0</v>
      </c>
      <c r="N922" s="61">
        <v>0</v>
      </c>
      <c r="O922" s="62" t="s">
        <v>36</v>
      </c>
      <c r="P922" s="63"/>
      <c r="Q922" s="64"/>
    </row>
    <row r="923" spans="1:17" ht="72" x14ac:dyDescent="0.25">
      <c r="A923" s="1">
        <v>25</v>
      </c>
      <c r="B923" s="57">
        <f t="shared" si="81"/>
        <v>20</v>
      </c>
      <c r="C923" s="58" t="s">
        <v>1227</v>
      </c>
      <c r="D923" s="59" t="s">
        <v>51</v>
      </c>
      <c r="E923" s="60">
        <f>0+1941.449</f>
        <v>1941.4490000000001</v>
      </c>
      <c r="F923" s="61">
        <v>9180</v>
      </c>
      <c r="G923" s="60">
        <v>1941.4490000000001</v>
      </c>
      <c r="H923" s="61">
        <v>9180</v>
      </c>
      <c r="I923" s="60">
        <v>1941.4490000000001</v>
      </c>
      <c r="J923" s="61">
        <v>9180</v>
      </c>
      <c r="K923" s="60">
        <v>1941.4490000000001</v>
      </c>
      <c r="L923" s="61">
        <v>9180</v>
      </c>
      <c r="M923" s="60">
        <v>0</v>
      </c>
      <c r="N923" s="61">
        <v>0</v>
      </c>
      <c r="O923" s="62" t="s">
        <v>97</v>
      </c>
      <c r="P923" s="63"/>
      <c r="Q923" s="64"/>
    </row>
    <row r="924" spans="1:17" ht="90" x14ac:dyDescent="0.25">
      <c r="A924" s="1">
        <v>25</v>
      </c>
      <c r="B924" s="57">
        <f t="shared" si="81"/>
        <v>21</v>
      </c>
      <c r="C924" s="58" t="s">
        <v>1228</v>
      </c>
      <c r="D924" s="59" t="s">
        <v>105</v>
      </c>
      <c r="E924" s="60">
        <f>3126.071-189.596</f>
        <v>2936.4749999999999</v>
      </c>
      <c r="F924" s="61">
        <v>0</v>
      </c>
      <c r="G924" s="60">
        <v>2936.4749999999999</v>
      </c>
      <c r="H924" s="61">
        <v>0</v>
      </c>
      <c r="I924" s="60">
        <v>2934.8989999999999</v>
      </c>
      <c r="J924" s="61">
        <v>0</v>
      </c>
      <c r="K924" s="60">
        <v>2934.8989999999999</v>
      </c>
      <c r="L924" s="61">
        <v>0</v>
      </c>
      <c r="M924" s="60">
        <v>0</v>
      </c>
      <c r="N924" s="61">
        <v>0</v>
      </c>
      <c r="O924" s="62" t="s">
        <v>1135</v>
      </c>
      <c r="P924" s="63" t="s">
        <v>1057</v>
      </c>
      <c r="Q924" s="64" t="s">
        <v>1229</v>
      </c>
    </row>
    <row r="925" spans="1:17" ht="90" x14ac:dyDescent="0.25">
      <c r="A925" s="1">
        <v>25</v>
      </c>
      <c r="B925" s="57">
        <f t="shared" si="81"/>
        <v>22</v>
      </c>
      <c r="C925" s="58" t="s">
        <v>1230</v>
      </c>
      <c r="D925" s="59" t="s">
        <v>105</v>
      </c>
      <c r="E925" s="60">
        <v>0</v>
      </c>
      <c r="F925" s="61">
        <f>1293.379-65.379</f>
        <v>1228</v>
      </c>
      <c r="G925" s="60">
        <v>0</v>
      </c>
      <c r="H925" s="61">
        <v>1228</v>
      </c>
      <c r="I925" s="60">
        <v>0</v>
      </c>
      <c r="J925" s="61">
        <v>1228</v>
      </c>
      <c r="K925" s="60">
        <v>0</v>
      </c>
      <c r="L925" s="61">
        <v>1228</v>
      </c>
      <c r="M925" s="60">
        <v>0</v>
      </c>
      <c r="N925" s="61">
        <v>0</v>
      </c>
      <c r="O925" s="62" t="s">
        <v>1135</v>
      </c>
      <c r="P925" s="63" t="s">
        <v>477</v>
      </c>
      <c r="Q925" s="64" t="s">
        <v>527</v>
      </c>
    </row>
    <row r="926" spans="1:17" ht="90" x14ac:dyDescent="0.25">
      <c r="A926" s="1">
        <v>25</v>
      </c>
      <c r="B926" s="57">
        <f t="shared" si="81"/>
        <v>23</v>
      </c>
      <c r="C926" s="58" t="s">
        <v>1231</v>
      </c>
      <c r="D926" s="59" t="s">
        <v>105</v>
      </c>
      <c r="E926" s="60">
        <f>599.483-17.565</f>
        <v>581.91799999999989</v>
      </c>
      <c r="F926" s="61">
        <v>0</v>
      </c>
      <c r="G926" s="60">
        <v>581.91800000000001</v>
      </c>
      <c r="H926" s="61">
        <v>0</v>
      </c>
      <c r="I926" s="60">
        <v>581.91700000000003</v>
      </c>
      <c r="J926" s="61">
        <v>0</v>
      </c>
      <c r="K926" s="60">
        <v>581.91700000000003</v>
      </c>
      <c r="L926" s="61">
        <v>0</v>
      </c>
      <c r="M926" s="60">
        <v>0</v>
      </c>
      <c r="N926" s="61">
        <v>0</v>
      </c>
      <c r="O926" s="62" t="s">
        <v>1135</v>
      </c>
      <c r="P926" s="63" t="s">
        <v>180</v>
      </c>
      <c r="Q926" s="64" t="s">
        <v>1229</v>
      </c>
    </row>
    <row r="927" spans="1:17" ht="90" x14ac:dyDescent="0.25">
      <c r="A927" s="1">
        <v>25</v>
      </c>
      <c r="B927" s="57">
        <f t="shared" si="81"/>
        <v>24</v>
      </c>
      <c r="C927" s="58" t="s">
        <v>1232</v>
      </c>
      <c r="D927" s="59" t="s">
        <v>105</v>
      </c>
      <c r="E927" s="60">
        <v>602.94299999999998</v>
      </c>
      <c r="F927" s="61">
        <v>0</v>
      </c>
      <c r="G927" s="60">
        <v>602.94299999999998</v>
      </c>
      <c r="H927" s="61">
        <v>0</v>
      </c>
      <c r="I927" s="60">
        <v>602.94299999999998</v>
      </c>
      <c r="J927" s="61">
        <v>0</v>
      </c>
      <c r="K927" s="60">
        <v>602.94299999999998</v>
      </c>
      <c r="L927" s="61">
        <v>0</v>
      </c>
      <c r="M927" s="60">
        <v>0</v>
      </c>
      <c r="N927" s="61">
        <v>0</v>
      </c>
      <c r="O927" s="62" t="s">
        <v>1135</v>
      </c>
      <c r="P927" s="63" t="s">
        <v>180</v>
      </c>
      <c r="Q927" s="64" t="s">
        <v>1203</v>
      </c>
    </row>
    <row r="928" spans="1:17" ht="90" x14ac:dyDescent="0.25">
      <c r="A928" s="1">
        <v>25</v>
      </c>
      <c r="B928" s="57">
        <f t="shared" si="81"/>
        <v>25</v>
      </c>
      <c r="C928" s="58" t="s">
        <v>1233</v>
      </c>
      <c r="D928" s="59" t="s">
        <v>105</v>
      </c>
      <c r="E928" s="60">
        <f>914.911+36.564</f>
        <v>951.47499999999991</v>
      </c>
      <c r="F928" s="61">
        <v>0</v>
      </c>
      <c r="G928" s="60">
        <v>951.47500000000002</v>
      </c>
      <c r="H928" s="61">
        <v>0</v>
      </c>
      <c r="I928" s="60">
        <v>951.47400000000005</v>
      </c>
      <c r="J928" s="61">
        <v>0</v>
      </c>
      <c r="K928" s="60">
        <v>951.47400000000005</v>
      </c>
      <c r="L928" s="61">
        <v>0</v>
      </c>
      <c r="M928" s="60">
        <v>0</v>
      </c>
      <c r="N928" s="61">
        <v>0</v>
      </c>
      <c r="O928" s="62" t="s">
        <v>1135</v>
      </c>
      <c r="P928" s="63" t="s">
        <v>685</v>
      </c>
      <c r="Q928" s="64" t="s">
        <v>1229</v>
      </c>
    </row>
    <row r="929" spans="1:17" ht="126" x14ac:dyDescent="0.25">
      <c r="A929" s="1">
        <v>25</v>
      </c>
      <c r="B929" s="57">
        <f t="shared" si="81"/>
        <v>26</v>
      </c>
      <c r="C929" s="58" t="s">
        <v>1234</v>
      </c>
      <c r="D929" s="59" t="s">
        <v>38</v>
      </c>
      <c r="E929" s="60">
        <f>977.336-97.818</f>
        <v>879.51800000000003</v>
      </c>
      <c r="F929" s="61">
        <v>0</v>
      </c>
      <c r="G929" s="60">
        <v>879.51800000000003</v>
      </c>
      <c r="H929" s="61">
        <v>0</v>
      </c>
      <c r="I929" s="60">
        <v>879.51800000000003</v>
      </c>
      <c r="J929" s="61">
        <v>0</v>
      </c>
      <c r="K929" s="60">
        <v>879.51800000000003</v>
      </c>
      <c r="L929" s="61">
        <v>0</v>
      </c>
      <c r="M929" s="60">
        <v>0</v>
      </c>
      <c r="N929" s="61">
        <v>0</v>
      </c>
      <c r="O929" s="62" t="s">
        <v>1135</v>
      </c>
      <c r="P929" s="63" t="s">
        <v>114</v>
      </c>
      <c r="Q929" s="64" t="s">
        <v>527</v>
      </c>
    </row>
    <row r="930" spans="1:17" ht="90" x14ac:dyDescent="0.25">
      <c r="A930" s="1">
        <v>25</v>
      </c>
      <c r="B930" s="57">
        <f t="shared" si="81"/>
        <v>27</v>
      </c>
      <c r="C930" s="58" t="s">
        <v>1235</v>
      </c>
      <c r="D930" s="59" t="s">
        <v>105</v>
      </c>
      <c r="E930" s="60">
        <f>1276.903-58.255</f>
        <v>1218.6479999999999</v>
      </c>
      <c r="F930" s="61">
        <v>0</v>
      </c>
      <c r="G930" s="60">
        <v>1218.6479999999999</v>
      </c>
      <c r="H930" s="61">
        <v>0</v>
      </c>
      <c r="I930" s="60">
        <v>1218.626</v>
      </c>
      <c r="J930" s="61">
        <v>0</v>
      </c>
      <c r="K930" s="60">
        <v>1218.626</v>
      </c>
      <c r="L930" s="61">
        <v>0</v>
      </c>
      <c r="M930" s="60">
        <v>0</v>
      </c>
      <c r="N930" s="61">
        <v>0</v>
      </c>
      <c r="O930" s="62" t="s">
        <v>1135</v>
      </c>
      <c r="P930" s="63" t="s">
        <v>685</v>
      </c>
      <c r="Q930" s="64" t="s">
        <v>1229</v>
      </c>
    </row>
    <row r="931" spans="1:17" ht="126" x14ac:dyDescent="0.25">
      <c r="A931" s="1">
        <v>25</v>
      </c>
      <c r="B931" s="57">
        <f t="shared" si="81"/>
        <v>28</v>
      </c>
      <c r="C931" s="58" t="s">
        <v>1236</v>
      </c>
      <c r="D931" s="59" t="s">
        <v>105</v>
      </c>
      <c r="E931" s="60">
        <f>0+1056.424</f>
        <v>1056.424</v>
      </c>
      <c r="F931" s="61">
        <f>40000+3353.036</f>
        <v>43353.036</v>
      </c>
      <c r="G931" s="60">
        <v>1056.424</v>
      </c>
      <c r="H931" s="61">
        <v>43353.036</v>
      </c>
      <c r="I931" s="60">
        <v>1056.424</v>
      </c>
      <c r="J931" s="61">
        <v>43353.036</v>
      </c>
      <c r="K931" s="60">
        <v>1056.424</v>
      </c>
      <c r="L931" s="61">
        <v>43353.036</v>
      </c>
      <c r="M931" s="60">
        <v>0</v>
      </c>
      <c r="N931" s="61">
        <v>0</v>
      </c>
      <c r="O931" s="62" t="s">
        <v>747</v>
      </c>
      <c r="P931" s="63" t="s">
        <v>1237</v>
      </c>
      <c r="Q931" s="64" t="s">
        <v>108</v>
      </c>
    </row>
    <row r="932" spans="1:17" ht="126" x14ac:dyDescent="0.25">
      <c r="A932" s="1">
        <v>25</v>
      </c>
      <c r="B932" s="57">
        <f t="shared" si="81"/>
        <v>29</v>
      </c>
      <c r="C932" s="58" t="s">
        <v>1238</v>
      </c>
      <c r="D932" s="59" t="s">
        <v>105</v>
      </c>
      <c r="E932" s="60">
        <v>0</v>
      </c>
      <c r="F932" s="61">
        <f>8058.15-181.59</f>
        <v>7876.5599999999995</v>
      </c>
      <c r="G932" s="60">
        <v>0</v>
      </c>
      <c r="H932" s="61">
        <v>7876.56</v>
      </c>
      <c r="I932" s="60">
        <v>0</v>
      </c>
      <c r="J932" s="61">
        <v>7873.3180000000002</v>
      </c>
      <c r="K932" s="60">
        <v>0</v>
      </c>
      <c r="L932" s="61">
        <v>7873.318659999999</v>
      </c>
      <c r="M932" s="60">
        <v>0</v>
      </c>
      <c r="N932" s="61">
        <v>0</v>
      </c>
      <c r="O932" s="62" t="s">
        <v>1135</v>
      </c>
      <c r="P932" s="63" t="s">
        <v>554</v>
      </c>
      <c r="Q932" s="64" t="s">
        <v>1203</v>
      </c>
    </row>
    <row r="933" spans="1:17" ht="72" x14ac:dyDescent="0.25">
      <c r="A933" s="1">
        <v>25</v>
      </c>
      <c r="B933" s="57">
        <f t="shared" si="81"/>
        <v>30</v>
      </c>
      <c r="C933" s="58" t="s">
        <v>1239</v>
      </c>
      <c r="D933" s="59" t="s">
        <v>105</v>
      </c>
      <c r="E933" s="60">
        <v>1285.729</v>
      </c>
      <c r="F933" s="61">
        <v>0</v>
      </c>
      <c r="G933" s="60">
        <v>1285.729</v>
      </c>
      <c r="H933" s="61">
        <v>0</v>
      </c>
      <c r="I933" s="60">
        <v>1245.8969999999999</v>
      </c>
      <c r="J933" s="61">
        <v>0</v>
      </c>
      <c r="K933" s="60">
        <v>1245.8969999999999</v>
      </c>
      <c r="L933" s="61">
        <v>0</v>
      </c>
      <c r="M933" s="60">
        <v>0</v>
      </c>
      <c r="N933" s="61">
        <v>0</v>
      </c>
      <c r="O933" s="62" t="s">
        <v>1135</v>
      </c>
      <c r="P933" s="63" t="s">
        <v>164</v>
      </c>
      <c r="Q933" s="64" t="s">
        <v>1203</v>
      </c>
    </row>
    <row r="934" spans="1:17" ht="90" x14ac:dyDescent="0.25">
      <c r="A934" s="1">
        <v>25</v>
      </c>
      <c r="B934" s="57">
        <f t="shared" si="81"/>
        <v>31</v>
      </c>
      <c r="C934" s="58" t="s">
        <v>1240</v>
      </c>
      <c r="D934" s="59" t="s">
        <v>105</v>
      </c>
      <c r="E934" s="60">
        <f>1132.575-10.411</f>
        <v>1122.164</v>
      </c>
      <c r="F934" s="61">
        <v>0</v>
      </c>
      <c r="G934" s="60">
        <v>1122.164</v>
      </c>
      <c r="H934" s="61">
        <v>0</v>
      </c>
      <c r="I934" s="60">
        <v>1122.164</v>
      </c>
      <c r="J934" s="61">
        <v>0</v>
      </c>
      <c r="K934" s="60">
        <v>1122.164</v>
      </c>
      <c r="L934" s="61">
        <v>0</v>
      </c>
      <c r="M934" s="60">
        <v>0</v>
      </c>
      <c r="N934" s="61">
        <v>0</v>
      </c>
      <c r="O934" s="62" t="s">
        <v>1135</v>
      </c>
      <c r="P934" s="63" t="s">
        <v>1241</v>
      </c>
      <c r="Q934" s="64" t="s">
        <v>1229</v>
      </c>
    </row>
    <row r="935" spans="1:17" ht="54" x14ac:dyDescent="0.25">
      <c r="A935" s="1">
        <v>25</v>
      </c>
      <c r="B935" s="57">
        <f t="shared" si="81"/>
        <v>32</v>
      </c>
      <c r="C935" s="58" t="s">
        <v>1242</v>
      </c>
      <c r="D935" s="59" t="s">
        <v>1043</v>
      </c>
      <c r="E935" s="60">
        <v>0</v>
      </c>
      <c r="F935" s="61">
        <v>1500</v>
      </c>
      <c r="G935" s="60">
        <v>0</v>
      </c>
      <c r="H935" s="61">
        <v>1500</v>
      </c>
      <c r="I935" s="60">
        <v>0</v>
      </c>
      <c r="J935" s="61">
        <v>1406.1369999999999</v>
      </c>
      <c r="K935" s="60">
        <v>0</v>
      </c>
      <c r="L935" s="61">
        <v>1406.1369999999999</v>
      </c>
      <c r="M935" s="60">
        <v>0</v>
      </c>
      <c r="N935" s="61">
        <v>0</v>
      </c>
      <c r="O935" s="62" t="s">
        <v>36</v>
      </c>
      <c r="P935" s="63"/>
      <c r="Q935" s="64"/>
    </row>
    <row r="936" spans="1:17" ht="108" x14ac:dyDescent="0.25">
      <c r="A936" s="1">
        <v>25</v>
      </c>
      <c r="B936" s="57">
        <f t="shared" si="81"/>
        <v>33</v>
      </c>
      <c r="C936" s="58" t="s">
        <v>1243</v>
      </c>
      <c r="D936" s="59" t="s">
        <v>105</v>
      </c>
      <c r="E936" s="60">
        <v>391.44400000000002</v>
      </c>
      <c r="F936" s="61">
        <v>0</v>
      </c>
      <c r="G936" s="60">
        <v>391.44400000000002</v>
      </c>
      <c r="H936" s="61">
        <v>0</v>
      </c>
      <c r="I936" s="60">
        <v>383.37200000000001</v>
      </c>
      <c r="J936" s="61">
        <v>0</v>
      </c>
      <c r="K936" s="60">
        <v>383.37200000000001</v>
      </c>
      <c r="L936" s="61">
        <v>0</v>
      </c>
      <c r="M936" s="60">
        <v>0</v>
      </c>
      <c r="N936" s="61">
        <v>0</v>
      </c>
      <c r="O936" s="62" t="s">
        <v>1135</v>
      </c>
      <c r="P936" s="63" t="s">
        <v>192</v>
      </c>
      <c r="Q936" s="64" t="s">
        <v>527</v>
      </c>
    </row>
    <row r="937" spans="1:17" ht="90" x14ac:dyDescent="0.25">
      <c r="A937" s="1">
        <v>25</v>
      </c>
      <c r="B937" s="57">
        <f t="shared" si="81"/>
        <v>34</v>
      </c>
      <c r="C937" s="58" t="s">
        <v>1244</v>
      </c>
      <c r="D937" s="59" t="s">
        <v>105</v>
      </c>
      <c r="E937" s="60">
        <f>557.132-54.334</f>
        <v>502.79799999999994</v>
      </c>
      <c r="F937" s="61">
        <v>0</v>
      </c>
      <c r="G937" s="60">
        <v>502.798</v>
      </c>
      <c r="H937" s="61">
        <v>0</v>
      </c>
      <c r="I937" s="60">
        <v>476.34800000000001</v>
      </c>
      <c r="J937" s="61">
        <v>0</v>
      </c>
      <c r="K937" s="60">
        <v>476.34800000000001</v>
      </c>
      <c r="L937" s="61">
        <v>0</v>
      </c>
      <c r="M937" s="60">
        <v>0</v>
      </c>
      <c r="N937" s="61">
        <v>0</v>
      </c>
      <c r="O937" s="62" t="s">
        <v>1135</v>
      </c>
      <c r="P937" s="63" t="s">
        <v>125</v>
      </c>
      <c r="Q937" s="64" t="s">
        <v>1229</v>
      </c>
    </row>
    <row r="938" spans="1:17" ht="54" x14ac:dyDescent="0.25">
      <c r="A938" s="1">
        <v>25</v>
      </c>
      <c r="B938" s="57">
        <f t="shared" si="81"/>
        <v>35</v>
      </c>
      <c r="C938" s="58" t="s">
        <v>1245</v>
      </c>
      <c r="D938" s="59" t="s">
        <v>105</v>
      </c>
      <c r="E938" s="60">
        <v>407.35899999999998</v>
      </c>
      <c r="F938" s="61">
        <v>0</v>
      </c>
      <c r="G938" s="60">
        <v>407.35899999999998</v>
      </c>
      <c r="H938" s="61">
        <v>0</v>
      </c>
      <c r="I938" s="60">
        <v>407.35899999999998</v>
      </c>
      <c r="J938" s="61">
        <v>0</v>
      </c>
      <c r="K938" s="60">
        <v>407.35899999999998</v>
      </c>
      <c r="L938" s="61">
        <v>0</v>
      </c>
      <c r="M938" s="60">
        <v>0</v>
      </c>
      <c r="N938" s="61">
        <v>0</v>
      </c>
      <c r="O938" s="62" t="s">
        <v>1135</v>
      </c>
      <c r="P938" s="63" t="s">
        <v>164</v>
      </c>
      <c r="Q938" s="64" t="s">
        <v>41</v>
      </c>
    </row>
    <row r="939" spans="1:17" ht="108" x14ac:dyDescent="0.25">
      <c r="A939" s="1">
        <v>25</v>
      </c>
      <c r="B939" s="57">
        <f t="shared" si="81"/>
        <v>36</v>
      </c>
      <c r="C939" s="58" t="s">
        <v>1246</v>
      </c>
      <c r="D939" s="59" t="s">
        <v>105</v>
      </c>
      <c r="E939" s="60">
        <v>1285.7560000000001</v>
      </c>
      <c r="F939" s="61">
        <v>0</v>
      </c>
      <c r="G939" s="60">
        <v>1285.7560000000001</v>
      </c>
      <c r="H939" s="61">
        <v>0</v>
      </c>
      <c r="I939" s="60">
        <v>1260.702</v>
      </c>
      <c r="J939" s="61">
        <v>0</v>
      </c>
      <c r="K939" s="60">
        <v>1260.702</v>
      </c>
      <c r="L939" s="61">
        <v>0</v>
      </c>
      <c r="M939" s="60">
        <v>0</v>
      </c>
      <c r="N939" s="61">
        <v>0</v>
      </c>
      <c r="O939" s="62" t="s">
        <v>1135</v>
      </c>
      <c r="P939" s="63" t="s">
        <v>938</v>
      </c>
      <c r="Q939" s="64" t="s">
        <v>527</v>
      </c>
    </row>
    <row r="940" spans="1:17" ht="90" x14ac:dyDescent="0.25">
      <c r="A940" s="1">
        <v>25</v>
      </c>
      <c r="B940" s="68">
        <f t="shared" si="81"/>
        <v>37</v>
      </c>
      <c r="C940" s="69" t="s">
        <v>1247</v>
      </c>
      <c r="D940" s="70" t="s">
        <v>29</v>
      </c>
      <c r="E940" s="80">
        <v>2169.3530000000001</v>
      </c>
      <c r="F940" s="81">
        <v>1796.1079999999999</v>
      </c>
      <c r="G940" s="80">
        <v>2169.3530000000001</v>
      </c>
      <c r="H940" s="81">
        <v>1796.1079999999999</v>
      </c>
      <c r="I940" s="80">
        <v>2169.3530000000001</v>
      </c>
      <c r="J940" s="81">
        <v>1796.1079999999999</v>
      </c>
      <c r="K940" s="80">
        <v>2169.3530000000001</v>
      </c>
      <c r="L940" s="81">
        <v>1796.1079999999999</v>
      </c>
      <c r="M940" s="80">
        <v>0</v>
      </c>
      <c r="N940" s="81">
        <v>0</v>
      </c>
      <c r="O940" s="73" t="s">
        <v>36</v>
      </c>
      <c r="P940" s="74"/>
      <c r="Q940" s="75"/>
    </row>
    <row r="941" spans="1:17" ht="108" x14ac:dyDescent="0.25">
      <c r="A941" s="1">
        <v>25</v>
      </c>
      <c r="B941" s="68">
        <f t="shared" si="81"/>
        <v>38</v>
      </c>
      <c r="C941" s="69" t="s">
        <v>1248</v>
      </c>
      <c r="D941" s="59" t="s">
        <v>105</v>
      </c>
      <c r="E941" s="80">
        <f>1433.145-47.791</f>
        <v>1385.354</v>
      </c>
      <c r="F941" s="81">
        <v>0</v>
      </c>
      <c r="G941" s="80">
        <v>1385.354</v>
      </c>
      <c r="H941" s="81">
        <v>0</v>
      </c>
      <c r="I941" s="80">
        <v>1385.354</v>
      </c>
      <c r="J941" s="81">
        <v>0</v>
      </c>
      <c r="K941" s="80">
        <v>1385.354</v>
      </c>
      <c r="L941" s="81">
        <v>0</v>
      </c>
      <c r="M941" s="80">
        <v>0</v>
      </c>
      <c r="N941" s="81">
        <v>0</v>
      </c>
      <c r="O941" s="73" t="s">
        <v>1135</v>
      </c>
      <c r="P941" s="74" t="s">
        <v>658</v>
      </c>
      <c r="Q941" s="75" t="s">
        <v>1229</v>
      </c>
    </row>
    <row r="942" spans="1:17" ht="126" x14ac:dyDescent="0.25">
      <c r="A942" s="1">
        <v>25</v>
      </c>
      <c r="B942" s="68">
        <f t="shared" si="81"/>
        <v>39</v>
      </c>
      <c r="C942" s="69" t="s">
        <v>1249</v>
      </c>
      <c r="D942" s="70" t="s">
        <v>105</v>
      </c>
      <c r="E942" s="80">
        <f>2588.354-273.069</f>
        <v>2315.2849999999999</v>
      </c>
      <c r="F942" s="81">
        <v>0</v>
      </c>
      <c r="G942" s="80">
        <v>2315.2849999999999</v>
      </c>
      <c r="H942" s="81">
        <v>0</v>
      </c>
      <c r="I942" s="80">
        <v>2315.2840000000001</v>
      </c>
      <c r="J942" s="81">
        <v>0</v>
      </c>
      <c r="K942" s="80">
        <v>2315.2840000000001</v>
      </c>
      <c r="L942" s="81">
        <v>0</v>
      </c>
      <c r="M942" s="80">
        <v>0</v>
      </c>
      <c r="N942" s="81">
        <v>0</v>
      </c>
      <c r="O942" s="73" t="s">
        <v>1135</v>
      </c>
      <c r="P942" s="74" t="s">
        <v>1057</v>
      </c>
      <c r="Q942" s="75" t="s">
        <v>1229</v>
      </c>
    </row>
    <row r="943" spans="1:17" ht="144.75" thickBot="1" x14ac:dyDescent="0.3">
      <c r="A943" s="1">
        <v>25</v>
      </c>
      <c r="B943" s="84">
        <f t="shared" si="81"/>
        <v>40</v>
      </c>
      <c r="C943" s="85" t="s">
        <v>1250</v>
      </c>
      <c r="D943" s="86" t="s">
        <v>105</v>
      </c>
      <c r="E943" s="87">
        <v>0</v>
      </c>
      <c r="F943" s="88">
        <v>4889.799</v>
      </c>
      <c r="G943" s="87">
        <v>0</v>
      </c>
      <c r="H943" s="88">
        <v>4889.799</v>
      </c>
      <c r="I943" s="87">
        <v>0</v>
      </c>
      <c r="J943" s="88">
        <v>4865.47</v>
      </c>
      <c r="K943" s="87">
        <v>0</v>
      </c>
      <c r="L943" s="88">
        <v>4865.47</v>
      </c>
      <c r="M943" s="87">
        <v>0</v>
      </c>
      <c r="N943" s="88">
        <v>0</v>
      </c>
      <c r="O943" s="89" t="s">
        <v>747</v>
      </c>
      <c r="P943" s="93" t="s">
        <v>1251</v>
      </c>
      <c r="Q943" s="94" t="s">
        <v>108</v>
      </c>
    </row>
    <row r="944" spans="1:17" ht="18" x14ac:dyDescent="0.25">
      <c r="A944" s="1">
        <v>26</v>
      </c>
      <c r="B944" s="149" t="s">
        <v>1252</v>
      </c>
      <c r="C944" s="150"/>
      <c r="D944" s="150"/>
      <c r="E944" s="150"/>
      <c r="F944" s="150"/>
      <c r="G944" s="150"/>
      <c r="H944" s="150"/>
      <c r="I944" s="150"/>
      <c r="J944" s="150"/>
      <c r="K944" s="150"/>
      <c r="L944" s="150"/>
      <c r="M944" s="150"/>
      <c r="N944" s="150"/>
      <c r="O944" s="150"/>
      <c r="P944" s="150"/>
      <c r="Q944" s="151"/>
    </row>
    <row r="945" spans="1:17" ht="18" x14ac:dyDescent="0.25">
      <c r="A945" s="1">
        <v>26</v>
      </c>
      <c r="B945" s="78"/>
      <c r="C945" s="41" t="s">
        <v>27</v>
      </c>
      <c r="D945" s="42"/>
      <c r="E945" s="43">
        <f>SUM(E946,E947)</f>
        <v>54578.762000000002</v>
      </c>
      <c r="F945" s="44">
        <f t="shared" ref="F945:M945" si="82">SUM(F946,F947)</f>
        <v>136446.90400000001</v>
      </c>
      <c r="G945" s="43">
        <f t="shared" si="82"/>
        <v>54578.762000000002</v>
      </c>
      <c r="H945" s="44">
        <f t="shared" si="82"/>
        <v>136446.90400000001</v>
      </c>
      <c r="I945" s="43">
        <f t="shared" si="82"/>
        <v>54578.762000000002</v>
      </c>
      <c r="J945" s="44">
        <f t="shared" si="82"/>
        <v>117675.886</v>
      </c>
      <c r="K945" s="43">
        <f t="shared" si="82"/>
        <v>54578.762000000002</v>
      </c>
      <c r="L945" s="44">
        <f t="shared" si="82"/>
        <v>117675.886</v>
      </c>
      <c r="M945" s="43">
        <f t="shared" si="82"/>
        <v>0</v>
      </c>
      <c r="N945" s="44">
        <f>SUM(N946,N947)</f>
        <v>0</v>
      </c>
      <c r="O945" s="47"/>
      <c r="P945" s="48">
        <v>2</v>
      </c>
      <c r="Q945" s="49"/>
    </row>
    <row r="946" spans="1:17" ht="18" x14ac:dyDescent="0.25">
      <c r="A946" s="1">
        <v>26</v>
      </c>
      <c r="B946" s="79"/>
      <c r="C946" s="50" t="s">
        <v>24</v>
      </c>
      <c r="D946" s="51"/>
      <c r="E946" s="52">
        <v>0</v>
      </c>
      <c r="F946" s="53">
        <v>0</v>
      </c>
      <c r="G946" s="52">
        <v>0</v>
      </c>
      <c r="H946" s="53">
        <v>0</v>
      </c>
      <c r="I946" s="52"/>
      <c r="J946" s="53"/>
      <c r="K946" s="52"/>
      <c r="L946" s="53"/>
      <c r="M946" s="52"/>
      <c r="N946" s="53"/>
      <c r="O946" s="56"/>
      <c r="P946" s="30"/>
      <c r="Q946" s="31"/>
    </row>
    <row r="947" spans="1:17" ht="36" x14ac:dyDescent="0.25">
      <c r="A947" s="1">
        <v>26</v>
      </c>
      <c r="B947" s="79"/>
      <c r="C947" s="50" t="s">
        <v>25</v>
      </c>
      <c r="D947" s="51"/>
      <c r="E947" s="52">
        <f>SUM(E948:E954)</f>
        <v>54578.762000000002</v>
      </c>
      <c r="F947" s="53">
        <f t="shared" ref="F947:N947" si="83">SUM(F948:F954)</f>
        <v>136446.90400000001</v>
      </c>
      <c r="G947" s="52">
        <f t="shared" si="83"/>
        <v>54578.762000000002</v>
      </c>
      <c r="H947" s="53">
        <f t="shared" si="83"/>
        <v>136446.90400000001</v>
      </c>
      <c r="I947" s="52">
        <f t="shared" si="83"/>
        <v>54578.762000000002</v>
      </c>
      <c r="J947" s="53">
        <f t="shared" si="83"/>
        <v>117675.886</v>
      </c>
      <c r="K947" s="52">
        <f t="shared" si="83"/>
        <v>54578.762000000002</v>
      </c>
      <c r="L947" s="53">
        <f t="shared" si="83"/>
        <v>117675.886</v>
      </c>
      <c r="M947" s="52">
        <f t="shared" si="83"/>
        <v>0</v>
      </c>
      <c r="N947" s="53">
        <f t="shared" si="83"/>
        <v>0</v>
      </c>
      <c r="O947" s="56"/>
      <c r="P947" s="30"/>
      <c r="Q947" s="31"/>
    </row>
    <row r="948" spans="1:17" ht="128.25" x14ac:dyDescent="0.25">
      <c r="A948" s="1">
        <v>26</v>
      </c>
      <c r="B948" s="57">
        <v>1</v>
      </c>
      <c r="C948" s="58" t="s">
        <v>1253</v>
      </c>
      <c r="D948" s="59" t="s">
        <v>1109</v>
      </c>
      <c r="E948" s="60">
        <f>62820.53-8241.768</f>
        <v>54578.762000000002</v>
      </c>
      <c r="F948" s="61">
        <v>8241.768</v>
      </c>
      <c r="G948" s="60">
        <v>54578.762000000002</v>
      </c>
      <c r="H948" s="61">
        <v>8241.768</v>
      </c>
      <c r="I948" s="60">
        <v>54578.762000000002</v>
      </c>
      <c r="J948" s="61">
        <v>8241.768</v>
      </c>
      <c r="K948" s="60">
        <v>54578.762000000002</v>
      </c>
      <c r="L948" s="61">
        <v>8241.768</v>
      </c>
      <c r="M948" s="60">
        <v>0</v>
      </c>
      <c r="N948" s="61">
        <v>0</v>
      </c>
      <c r="O948" s="62" t="s">
        <v>106</v>
      </c>
      <c r="P948" s="63" t="s">
        <v>1254</v>
      </c>
      <c r="Q948" s="144" t="s">
        <v>1255</v>
      </c>
    </row>
    <row r="949" spans="1:17" ht="126" x14ac:dyDescent="0.25">
      <c r="A949" s="1">
        <v>26</v>
      </c>
      <c r="B949" s="57">
        <f t="shared" ref="B949:B954" si="84">B948+1</f>
        <v>2</v>
      </c>
      <c r="C949" s="58" t="s">
        <v>1256</v>
      </c>
      <c r="D949" s="59" t="s">
        <v>1257</v>
      </c>
      <c r="E949" s="60">
        <v>0</v>
      </c>
      <c r="F949" s="61">
        <v>40000</v>
      </c>
      <c r="G949" s="60">
        <v>0</v>
      </c>
      <c r="H949" s="61">
        <v>40000</v>
      </c>
      <c r="I949" s="60">
        <v>0</v>
      </c>
      <c r="J949" s="61">
        <v>39999.985999999997</v>
      </c>
      <c r="K949" s="60">
        <v>0</v>
      </c>
      <c r="L949" s="61">
        <v>39999.985999999997</v>
      </c>
      <c r="M949" s="60">
        <v>0</v>
      </c>
      <c r="N949" s="61">
        <v>0</v>
      </c>
      <c r="O949" s="62" t="s">
        <v>36</v>
      </c>
      <c r="P949" s="63"/>
      <c r="Q949" s="82"/>
    </row>
    <row r="950" spans="1:17" ht="90" x14ac:dyDescent="0.25">
      <c r="A950" s="1">
        <v>26</v>
      </c>
      <c r="B950" s="57">
        <f t="shared" si="84"/>
        <v>3</v>
      </c>
      <c r="C950" s="58" t="s">
        <v>1258</v>
      </c>
      <c r="D950" s="59" t="s">
        <v>1259</v>
      </c>
      <c r="E950" s="60">
        <v>0</v>
      </c>
      <c r="F950" s="61">
        <v>50000</v>
      </c>
      <c r="G950" s="60">
        <v>0</v>
      </c>
      <c r="H950" s="61">
        <v>50000</v>
      </c>
      <c r="I950" s="60">
        <v>0</v>
      </c>
      <c r="J950" s="61">
        <v>50000</v>
      </c>
      <c r="K950" s="60">
        <v>0</v>
      </c>
      <c r="L950" s="61">
        <v>50000</v>
      </c>
      <c r="M950" s="60">
        <v>0</v>
      </c>
      <c r="N950" s="61">
        <v>0</v>
      </c>
      <c r="O950" s="62" t="s">
        <v>102</v>
      </c>
      <c r="P950" s="63"/>
      <c r="Q950" s="82"/>
    </row>
    <row r="951" spans="1:17" ht="72" x14ac:dyDescent="0.25">
      <c r="A951" s="1">
        <v>26</v>
      </c>
      <c r="B951" s="57">
        <f t="shared" si="84"/>
        <v>4</v>
      </c>
      <c r="C951" s="58" t="s">
        <v>1260</v>
      </c>
      <c r="D951" s="59" t="s">
        <v>105</v>
      </c>
      <c r="E951" s="60">
        <v>0</v>
      </c>
      <c r="F951" s="61">
        <v>9613.01</v>
      </c>
      <c r="G951" s="60">
        <v>0</v>
      </c>
      <c r="H951" s="61">
        <v>9613.01</v>
      </c>
      <c r="I951" s="60">
        <v>0</v>
      </c>
      <c r="J951" s="61">
        <v>9613.01</v>
      </c>
      <c r="K951" s="60">
        <v>0</v>
      </c>
      <c r="L951" s="61">
        <v>9613.01</v>
      </c>
      <c r="M951" s="60">
        <v>0</v>
      </c>
      <c r="N951" s="61">
        <v>0</v>
      </c>
      <c r="O951" s="62" t="s">
        <v>52</v>
      </c>
      <c r="P951" s="63" t="s">
        <v>1261</v>
      </c>
      <c r="Q951" s="64" t="s">
        <v>41</v>
      </c>
    </row>
    <row r="952" spans="1:17" ht="54" x14ac:dyDescent="0.25">
      <c r="A952" s="1">
        <v>26</v>
      </c>
      <c r="B952" s="68">
        <f t="shared" si="84"/>
        <v>5</v>
      </c>
      <c r="C952" s="69" t="s">
        <v>1262</v>
      </c>
      <c r="D952" s="70" t="s">
        <v>29</v>
      </c>
      <c r="E952" s="80">
        <v>0</v>
      </c>
      <c r="F952" s="81">
        <v>9821.1219999999994</v>
      </c>
      <c r="G952" s="80">
        <v>0</v>
      </c>
      <c r="H952" s="81">
        <v>9821.1219999999994</v>
      </c>
      <c r="I952" s="80">
        <v>0</v>
      </c>
      <c r="J952" s="81">
        <v>9821.1219999999994</v>
      </c>
      <c r="K952" s="80">
        <v>0</v>
      </c>
      <c r="L952" s="81">
        <v>9821.1219999999994</v>
      </c>
      <c r="M952" s="80">
        <v>0</v>
      </c>
      <c r="N952" s="81">
        <v>0</v>
      </c>
      <c r="O952" s="62" t="s">
        <v>36</v>
      </c>
      <c r="P952" s="74"/>
      <c r="Q952" s="135"/>
    </row>
    <row r="953" spans="1:17" ht="72" x14ac:dyDescent="0.25">
      <c r="A953" s="1">
        <v>26</v>
      </c>
      <c r="B953" s="68">
        <f t="shared" si="84"/>
        <v>6</v>
      </c>
      <c r="C953" s="69" t="s">
        <v>1263</v>
      </c>
      <c r="D953" s="70" t="s">
        <v>29</v>
      </c>
      <c r="E953" s="80">
        <v>0</v>
      </c>
      <c r="F953" s="81">
        <v>9489.57</v>
      </c>
      <c r="G953" s="80">
        <v>0</v>
      </c>
      <c r="H953" s="81">
        <v>9489.57</v>
      </c>
      <c r="I953" s="80">
        <v>0</v>
      </c>
      <c r="J953" s="81">
        <v>0</v>
      </c>
      <c r="K953" s="80">
        <v>0</v>
      </c>
      <c r="L953" s="81">
        <v>0</v>
      </c>
      <c r="M953" s="80">
        <v>0</v>
      </c>
      <c r="N953" s="81">
        <v>0</v>
      </c>
      <c r="O953" s="73" t="s">
        <v>30</v>
      </c>
      <c r="P953" s="74"/>
      <c r="Q953" s="135"/>
    </row>
    <row r="954" spans="1:17" ht="90.75" thickBot="1" x14ac:dyDescent="0.3">
      <c r="A954" s="1">
        <v>26</v>
      </c>
      <c r="B954" s="84">
        <f t="shared" si="84"/>
        <v>7</v>
      </c>
      <c r="C954" s="85" t="s">
        <v>1264</v>
      </c>
      <c r="D954" s="86" t="s">
        <v>29</v>
      </c>
      <c r="E954" s="87">
        <v>0</v>
      </c>
      <c r="F954" s="88">
        <v>9281.4339999999993</v>
      </c>
      <c r="G954" s="87">
        <v>0</v>
      </c>
      <c r="H954" s="88">
        <v>9281.4339999999993</v>
      </c>
      <c r="I954" s="87">
        <v>0</v>
      </c>
      <c r="J954" s="88">
        <v>0</v>
      </c>
      <c r="K954" s="87">
        <v>0</v>
      </c>
      <c r="L954" s="88">
        <v>0</v>
      </c>
      <c r="M954" s="87">
        <v>0</v>
      </c>
      <c r="N954" s="88">
        <v>0</v>
      </c>
      <c r="O954" s="89" t="s">
        <v>36</v>
      </c>
      <c r="P954" s="93"/>
      <c r="Q954" s="91"/>
    </row>
    <row r="955" spans="1:17" x14ac:dyDescent="0.25">
      <c r="P955" s="145"/>
      <c r="Q955" s="145"/>
    </row>
    <row r="956" spans="1:17" ht="18" x14ac:dyDescent="0.25">
      <c r="B956" s="146"/>
      <c r="C956" s="147"/>
      <c r="P956" s="145"/>
      <c r="Q956" s="145"/>
    </row>
    <row r="957" spans="1:17" ht="18" x14ac:dyDescent="0.25">
      <c r="B957" s="146"/>
      <c r="C957" s="147"/>
      <c r="E957" s="148"/>
      <c r="P957" s="145"/>
      <c r="Q957" s="145"/>
    </row>
    <row r="958" spans="1:17" ht="18" x14ac:dyDescent="0.25">
      <c r="C958" s="147"/>
      <c r="P958" s="145"/>
      <c r="Q958" s="145"/>
    </row>
  </sheetData>
  <autoFilter ref="A11:Q954" xr:uid="{5F5F9D4A-174A-4E4F-9090-54FD5EE8715E}"/>
  <mergeCells count="44">
    <mergeCell ref="B1:Q1"/>
    <mergeCell ref="B2:Q2"/>
    <mergeCell ref="B3:Q3"/>
    <mergeCell ref="B4:Q4"/>
    <mergeCell ref="B5:Q5"/>
    <mergeCell ref="E8:N8"/>
    <mergeCell ref="O8:O10"/>
    <mergeCell ref="E9:F9"/>
    <mergeCell ref="G9:H9"/>
    <mergeCell ref="I9:J9"/>
    <mergeCell ref="K9:L9"/>
    <mergeCell ref="M9:N9"/>
    <mergeCell ref="B101:Q101"/>
    <mergeCell ref="B7:B10"/>
    <mergeCell ref="C7:C10"/>
    <mergeCell ref="D7:D10"/>
    <mergeCell ref="E7:O7"/>
    <mergeCell ref="P7:Q8"/>
    <mergeCell ref="P9:P10"/>
    <mergeCell ref="Q9:Q10"/>
    <mergeCell ref="B15:Q15"/>
    <mergeCell ref="B62:Q62"/>
    <mergeCell ref="B88:Q88"/>
    <mergeCell ref="B582:Q582"/>
    <mergeCell ref="B152:Q152"/>
    <mergeCell ref="B189:Q189"/>
    <mergeCell ref="B265:Q265"/>
    <mergeCell ref="B298:Q298"/>
    <mergeCell ref="B352:Q352"/>
    <mergeCell ref="B375:Q375"/>
    <mergeCell ref="B387:Q387"/>
    <mergeCell ref="B448:Q448"/>
    <mergeCell ref="B516:Q516"/>
    <mergeCell ref="B540:Q540"/>
    <mergeCell ref="B559:Q559"/>
    <mergeCell ref="B873:Q873"/>
    <mergeCell ref="B900:Q900"/>
    <mergeCell ref="B944:Q944"/>
    <mergeCell ref="B600:Q600"/>
    <mergeCell ref="B671:Q671"/>
    <mergeCell ref="B734:Q734"/>
    <mergeCell ref="B750:Q750"/>
    <mergeCell ref="B789:Q789"/>
    <mergeCell ref="B846:Q846"/>
  </mergeCells>
  <printOptions horizontalCentered="1"/>
  <pageMargins left="0" right="0" top="0" bottom="0.31496062992125984" header="0" footer="0.15748031496062992"/>
  <pageSetup paperSize="9" scale="35" fitToHeight="100" orientation="landscape"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vt:i4>
      </vt:variant>
      <vt:variant>
        <vt:lpstr>Іменовані діапазони</vt:lpstr>
      </vt:variant>
      <vt:variant>
        <vt:i4>2</vt:i4>
      </vt:variant>
    </vt:vector>
  </HeadingPairs>
  <TitlesOfParts>
    <vt:vector size="3" baseType="lpstr">
      <vt:lpstr>на 01_01_2018 Річна</vt:lpstr>
      <vt:lpstr>'на 01_01_2018 Річна'!Заголовки_для_друку</vt:lpstr>
      <vt:lpstr>'на 01_01_2018 Річна'!Область_друку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Діденко Леся Петрівна</dc:creator>
  <cp:lastModifiedBy>Діденко Леся Петрівна</cp:lastModifiedBy>
  <dcterms:created xsi:type="dcterms:W3CDTF">2022-09-29T09:12:06Z</dcterms:created>
  <dcterms:modified xsi:type="dcterms:W3CDTF">2022-09-30T14:22:31Z</dcterms:modified>
</cp:coreProperties>
</file>